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908"/>
  <workbookPr codeName="ThisWorkbook"/>
  <mc:AlternateContent xmlns:mc="http://schemas.openxmlformats.org/markup-compatibility/2006">
    <mc:Choice Requires="x15">
      <x15ac:absPath xmlns:x15ac="http://schemas.microsoft.com/office/spreadsheetml/2010/11/ac" url="/Users/Indi/Desktop/Corporate Finance/"/>
    </mc:Choice>
  </mc:AlternateContent>
  <bookViews>
    <workbookView xWindow="25600" yWindow="0" windowWidth="38400" windowHeight="21600" tabRatio="767"/>
  </bookViews>
  <sheets>
    <sheet name="Earnings Model" sheetId="3" r:id="rId1"/>
    <sheet name="Std Dev" sheetId="4" r:id="rId2"/>
    <sheet name="SBUX Beta ST" sheetId="5" r:id="rId3"/>
    <sheet name="SBUX Beta LT" sheetId="6" r:id="rId4"/>
    <sheet name="PEs" sheetId="7" r:id="rId5"/>
    <sheet name="Constant Sharpe" sheetId="8" r:id="rId6"/>
  </sheets>
  <externalReferences>
    <externalReference r:id="rId7"/>
    <externalReference r:id="rId8"/>
    <externalReference r:id="rId9"/>
    <externalReference r:id="rId10"/>
    <externalReference r:id="rId11"/>
    <externalReference r:id="rId12"/>
  </externalReferences>
  <definedNames>
    <definedName name="__FDS_HYPERLINK_TOGGLE_STATE__" hidden="1">"ON"</definedName>
    <definedName name="BLPH1" hidden="1">'[4]Mthly Data'!$A$3</definedName>
    <definedName name="BLPH2" hidden="1">'[5]Mthly Data'!#REF!</definedName>
    <definedName name="BLPH3" hidden="1">'[5]Mthly Data'!#REF!</definedName>
    <definedName name="blph4" hidden="1">'[5]Mthly Data'!#REF!</definedName>
    <definedName name="DATA" localSheetId="5">'[6]Estimates by Analyst'!$B$6:$M$50</definedName>
    <definedName name="DATA" localSheetId="1">#REF!</definedName>
    <definedName name="DATA">#REF!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RATE" hidden="1">"c2192"</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40778.7738310185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5">'Constant Sharpe'!$B$5:$T$72</definedName>
    <definedName name="_xlnm.Print_Area" localSheetId="0">'Earnings Model'!$B$2:$AB$292</definedName>
    <definedName name="SPWS_WBID">"A9EF4D1B-1F9B-4EF3-B1B3-BD977E2191EF"</definedName>
    <definedName name="SPWS_WSID" localSheetId="5" hidden="1">"A6696A5E-25CA-4A57-A16A-4DB31A72C3CD"</definedName>
    <definedName name="TREAS1">'[3]Data-Interest Rates'!#REF!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45" i="3" l="1"/>
  <c r="L243" i="3"/>
  <c r="L206" i="3"/>
  <c r="L205" i="3"/>
  <c r="L204" i="3"/>
  <c r="L200" i="3"/>
  <c r="L196" i="3"/>
  <c r="L208" i="3"/>
  <c r="L213" i="3"/>
  <c r="L220" i="3"/>
  <c r="L195" i="3"/>
  <c r="L194" i="3"/>
  <c r="L193" i="3"/>
  <c r="L192" i="3"/>
  <c r="L191" i="3"/>
  <c r="L190" i="3"/>
  <c r="L188" i="3"/>
  <c r="L187" i="3"/>
  <c r="L185" i="3"/>
  <c r="L186" i="3"/>
  <c r="L259" i="3"/>
  <c r="L261" i="3"/>
  <c r="L262" i="3"/>
  <c r="L250" i="3"/>
  <c r="L251" i="3"/>
  <c r="L252" i="3"/>
  <c r="L253" i="3"/>
  <c r="L256" i="3"/>
  <c r="L254" i="3"/>
  <c r="L245" i="3"/>
  <c r="L257" i="3"/>
  <c r="L264" i="3"/>
  <c r="L272" i="3"/>
  <c r="L274" i="3"/>
  <c r="L276" i="3"/>
  <c r="L184" i="3"/>
  <c r="L29" i="3"/>
  <c r="AL67" i="3"/>
  <c r="AG67" i="3"/>
  <c r="AB67" i="3"/>
  <c r="W67" i="3"/>
  <c r="R67" i="3"/>
  <c r="M67" i="3"/>
  <c r="C306" i="3"/>
  <c r="C313" i="3"/>
  <c r="C322" i="3"/>
  <c r="N29" i="3"/>
  <c r="O29" i="3"/>
  <c r="P29" i="3"/>
  <c r="Q29" i="3"/>
  <c r="S29" i="3"/>
  <c r="T29" i="3"/>
  <c r="U29" i="3"/>
  <c r="V29" i="3"/>
  <c r="X29" i="3"/>
  <c r="Y29" i="3"/>
  <c r="Z29" i="3"/>
  <c r="AA29" i="3"/>
  <c r="AC29" i="3"/>
  <c r="AD29" i="3"/>
  <c r="AE29" i="3"/>
  <c r="AF29" i="3"/>
  <c r="AH29" i="3"/>
  <c r="N242" i="3"/>
  <c r="N72" i="3"/>
  <c r="N75" i="3"/>
  <c r="N78" i="3"/>
  <c r="O69" i="3"/>
  <c r="O70" i="3"/>
  <c r="O71" i="3"/>
  <c r="N192" i="3"/>
  <c r="O242" i="3"/>
  <c r="N105" i="3"/>
  <c r="N119" i="3"/>
  <c r="N133" i="3"/>
  <c r="O72" i="3"/>
  <c r="O73" i="3"/>
  <c r="O74" i="3"/>
  <c r="O75" i="3"/>
  <c r="O78" i="3"/>
  <c r="P69" i="3"/>
  <c r="P70" i="3"/>
  <c r="P71" i="3"/>
  <c r="O192" i="3"/>
  <c r="P242" i="3"/>
  <c r="O105" i="3"/>
  <c r="O119" i="3"/>
  <c r="O133" i="3"/>
  <c r="P72" i="3"/>
  <c r="P73" i="3"/>
  <c r="P74" i="3"/>
  <c r="P75" i="3"/>
  <c r="P78" i="3"/>
  <c r="Q69" i="3"/>
  <c r="Q70" i="3"/>
  <c r="Q71" i="3"/>
  <c r="P192" i="3"/>
  <c r="Q242" i="3"/>
  <c r="P105" i="3"/>
  <c r="P119" i="3"/>
  <c r="P133" i="3"/>
  <c r="Q72" i="3"/>
  <c r="Q73" i="3"/>
  <c r="Q74" i="3"/>
  <c r="Q75" i="3"/>
  <c r="Q78" i="3"/>
  <c r="S69" i="3"/>
  <c r="S70" i="3"/>
  <c r="S71" i="3"/>
  <c r="Q192" i="3"/>
  <c r="S242" i="3"/>
  <c r="Q105" i="3"/>
  <c r="Q119" i="3"/>
  <c r="Q133" i="3"/>
  <c r="S72" i="3"/>
  <c r="S73" i="3"/>
  <c r="S74" i="3"/>
  <c r="S75" i="3"/>
  <c r="S78" i="3"/>
  <c r="T69" i="3"/>
  <c r="T70" i="3"/>
  <c r="T71" i="3"/>
  <c r="S192" i="3"/>
  <c r="T242" i="3"/>
  <c r="S105" i="3"/>
  <c r="S119" i="3"/>
  <c r="S133" i="3"/>
  <c r="T72" i="3"/>
  <c r="T73" i="3"/>
  <c r="T74" i="3"/>
  <c r="T75" i="3"/>
  <c r="T78" i="3"/>
  <c r="U69" i="3"/>
  <c r="U70" i="3"/>
  <c r="U71" i="3"/>
  <c r="T192" i="3"/>
  <c r="U242" i="3"/>
  <c r="T105" i="3"/>
  <c r="T119" i="3"/>
  <c r="T133" i="3"/>
  <c r="U72" i="3"/>
  <c r="U73" i="3"/>
  <c r="U74" i="3"/>
  <c r="U75" i="3"/>
  <c r="U78" i="3"/>
  <c r="V69" i="3"/>
  <c r="V70" i="3"/>
  <c r="V71" i="3"/>
  <c r="U192" i="3"/>
  <c r="V242" i="3"/>
  <c r="U105" i="3"/>
  <c r="U119" i="3"/>
  <c r="U133" i="3"/>
  <c r="V72" i="3"/>
  <c r="V73" i="3"/>
  <c r="V74" i="3"/>
  <c r="V75" i="3"/>
  <c r="V78" i="3"/>
  <c r="X69" i="3"/>
  <c r="X70" i="3"/>
  <c r="X71" i="3"/>
  <c r="V192" i="3"/>
  <c r="X242" i="3"/>
  <c r="V105" i="3"/>
  <c r="V119" i="3"/>
  <c r="V133" i="3"/>
  <c r="X72" i="3"/>
  <c r="X73" i="3"/>
  <c r="X74" i="3"/>
  <c r="X75" i="3"/>
  <c r="X78" i="3"/>
  <c r="Y69" i="3"/>
  <c r="Y70" i="3"/>
  <c r="Y71" i="3"/>
  <c r="X192" i="3"/>
  <c r="Y242" i="3"/>
  <c r="X105" i="3"/>
  <c r="X119" i="3"/>
  <c r="X133" i="3"/>
  <c r="Y72" i="3"/>
  <c r="Y73" i="3"/>
  <c r="Y74" i="3"/>
  <c r="Y75" i="3"/>
  <c r="Y78" i="3"/>
  <c r="Z69" i="3"/>
  <c r="Z70" i="3"/>
  <c r="Z71" i="3"/>
  <c r="Y192" i="3"/>
  <c r="Z242" i="3"/>
  <c r="Y105" i="3"/>
  <c r="Y119" i="3"/>
  <c r="Y133" i="3"/>
  <c r="Z72" i="3"/>
  <c r="Z73" i="3"/>
  <c r="Z74" i="3"/>
  <c r="Z75" i="3"/>
  <c r="Z78" i="3"/>
  <c r="AA69" i="3"/>
  <c r="AA70" i="3"/>
  <c r="AA71" i="3"/>
  <c r="Z192" i="3"/>
  <c r="AA242" i="3"/>
  <c r="Z105" i="3"/>
  <c r="Z119" i="3"/>
  <c r="Z133" i="3"/>
  <c r="AA72" i="3"/>
  <c r="AA73" i="3"/>
  <c r="AA74" i="3"/>
  <c r="AA75" i="3"/>
  <c r="AA78" i="3"/>
  <c r="AC69" i="3"/>
  <c r="AC70" i="3"/>
  <c r="AC71" i="3"/>
  <c r="AA192" i="3"/>
  <c r="AC242" i="3"/>
  <c r="AA105" i="3"/>
  <c r="AA119" i="3"/>
  <c r="AA133" i="3"/>
  <c r="AC72" i="3"/>
  <c r="AC73" i="3"/>
  <c r="AC74" i="3"/>
  <c r="AC75" i="3"/>
  <c r="AC78" i="3"/>
  <c r="AD69" i="3"/>
  <c r="AD70" i="3"/>
  <c r="AD71" i="3"/>
  <c r="AC192" i="3"/>
  <c r="AD242" i="3"/>
  <c r="AC105" i="3"/>
  <c r="AC119" i="3"/>
  <c r="AC133" i="3"/>
  <c r="AD72" i="3"/>
  <c r="AD73" i="3"/>
  <c r="AD74" i="3"/>
  <c r="AD75" i="3"/>
  <c r="AD78" i="3"/>
  <c r="AE69" i="3"/>
  <c r="AE70" i="3"/>
  <c r="AE71" i="3"/>
  <c r="AD192" i="3"/>
  <c r="AE242" i="3"/>
  <c r="AD105" i="3"/>
  <c r="AD119" i="3"/>
  <c r="AD133" i="3"/>
  <c r="AE72" i="3"/>
  <c r="AE73" i="3"/>
  <c r="AE74" i="3"/>
  <c r="AE75" i="3"/>
  <c r="AE78" i="3"/>
  <c r="AF69" i="3"/>
  <c r="AF70" i="3"/>
  <c r="AF71" i="3"/>
  <c r="AE192" i="3"/>
  <c r="AF242" i="3"/>
  <c r="AE105" i="3"/>
  <c r="AE119" i="3"/>
  <c r="AE133" i="3"/>
  <c r="AF72" i="3"/>
  <c r="AF73" i="3"/>
  <c r="AF74" i="3"/>
  <c r="AF75" i="3"/>
  <c r="AF78" i="3"/>
  <c r="AH69" i="3"/>
  <c r="N108" i="3"/>
  <c r="N112" i="3"/>
  <c r="O102" i="3"/>
  <c r="O103" i="3"/>
  <c r="O104" i="3"/>
  <c r="O106" i="3"/>
  <c r="O107" i="3"/>
  <c r="O108" i="3"/>
  <c r="O112" i="3"/>
  <c r="P102" i="3"/>
  <c r="P103" i="3"/>
  <c r="P104" i="3"/>
  <c r="P106" i="3"/>
  <c r="P107" i="3"/>
  <c r="P108" i="3"/>
  <c r="P112" i="3"/>
  <c r="Q102" i="3"/>
  <c r="Q103" i="3"/>
  <c r="Q104" i="3"/>
  <c r="Q106" i="3"/>
  <c r="Q107" i="3"/>
  <c r="Q108" i="3"/>
  <c r="Q112" i="3"/>
  <c r="S102" i="3"/>
  <c r="S103" i="3"/>
  <c r="S104" i="3"/>
  <c r="S106" i="3"/>
  <c r="S107" i="3"/>
  <c r="S108" i="3"/>
  <c r="S112" i="3"/>
  <c r="T102" i="3"/>
  <c r="T103" i="3"/>
  <c r="T104" i="3"/>
  <c r="T106" i="3"/>
  <c r="T107" i="3"/>
  <c r="T108" i="3"/>
  <c r="T112" i="3"/>
  <c r="U102" i="3"/>
  <c r="U103" i="3"/>
  <c r="U104" i="3"/>
  <c r="U106" i="3"/>
  <c r="U107" i="3"/>
  <c r="U108" i="3"/>
  <c r="U112" i="3"/>
  <c r="V102" i="3"/>
  <c r="V103" i="3"/>
  <c r="V104" i="3"/>
  <c r="V106" i="3"/>
  <c r="V107" i="3"/>
  <c r="V108" i="3"/>
  <c r="V112" i="3"/>
  <c r="X102" i="3"/>
  <c r="X103" i="3"/>
  <c r="X104" i="3"/>
  <c r="X106" i="3"/>
  <c r="X107" i="3"/>
  <c r="X108" i="3"/>
  <c r="X112" i="3"/>
  <c r="Y102" i="3"/>
  <c r="Y103" i="3"/>
  <c r="Y104" i="3"/>
  <c r="Y106" i="3"/>
  <c r="Y107" i="3"/>
  <c r="Y108" i="3"/>
  <c r="Y112" i="3"/>
  <c r="Z102" i="3"/>
  <c r="Z103" i="3"/>
  <c r="Z104" i="3"/>
  <c r="Z106" i="3"/>
  <c r="Z107" i="3"/>
  <c r="Z108" i="3"/>
  <c r="Z112" i="3"/>
  <c r="AA102" i="3"/>
  <c r="AA103" i="3"/>
  <c r="AA104" i="3"/>
  <c r="AA106" i="3"/>
  <c r="AA107" i="3"/>
  <c r="AA108" i="3"/>
  <c r="AA112" i="3"/>
  <c r="AC102" i="3"/>
  <c r="AC103" i="3"/>
  <c r="AC104" i="3"/>
  <c r="AC106" i="3"/>
  <c r="AC107" i="3"/>
  <c r="AC108" i="3"/>
  <c r="AC112" i="3"/>
  <c r="AD102" i="3"/>
  <c r="AD103" i="3"/>
  <c r="AD104" i="3"/>
  <c r="AD106" i="3"/>
  <c r="AD107" i="3"/>
  <c r="AD108" i="3"/>
  <c r="AD112" i="3"/>
  <c r="AE102" i="3"/>
  <c r="AE103" i="3"/>
  <c r="AE104" i="3"/>
  <c r="AE106" i="3"/>
  <c r="AE107" i="3"/>
  <c r="AE108" i="3"/>
  <c r="AE112" i="3"/>
  <c r="AF102" i="3"/>
  <c r="AF103" i="3"/>
  <c r="AF104" i="3"/>
  <c r="AF105" i="3"/>
  <c r="AF106" i="3"/>
  <c r="AF107" i="3"/>
  <c r="AF108" i="3"/>
  <c r="AF112" i="3"/>
  <c r="AH102" i="3"/>
  <c r="N122" i="3"/>
  <c r="N126" i="3"/>
  <c r="O117" i="3"/>
  <c r="O118" i="3"/>
  <c r="O120" i="3"/>
  <c r="O121" i="3"/>
  <c r="O122" i="3"/>
  <c r="O126" i="3"/>
  <c r="P117" i="3"/>
  <c r="P118" i="3"/>
  <c r="P120" i="3"/>
  <c r="P121" i="3"/>
  <c r="P122" i="3"/>
  <c r="P126" i="3"/>
  <c r="Q117" i="3"/>
  <c r="Q118" i="3"/>
  <c r="Q120" i="3"/>
  <c r="Q121" i="3"/>
  <c r="Q122" i="3"/>
  <c r="Q126" i="3"/>
  <c r="S117" i="3"/>
  <c r="S118" i="3"/>
  <c r="S120" i="3"/>
  <c r="S121" i="3"/>
  <c r="S122" i="3"/>
  <c r="S126" i="3"/>
  <c r="T117" i="3"/>
  <c r="T118" i="3"/>
  <c r="T120" i="3"/>
  <c r="T121" i="3"/>
  <c r="T122" i="3"/>
  <c r="T126" i="3"/>
  <c r="U117" i="3"/>
  <c r="U118" i="3"/>
  <c r="U120" i="3"/>
  <c r="U121" i="3"/>
  <c r="U122" i="3"/>
  <c r="U126" i="3"/>
  <c r="V117" i="3"/>
  <c r="V118" i="3"/>
  <c r="V120" i="3"/>
  <c r="V121" i="3"/>
  <c r="V122" i="3"/>
  <c r="V126" i="3"/>
  <c r="X117" i="3"/>
  <c r="X118" i="3"/>
  <c r="X120" i="3"/>
  <c r="X121" i="3"/>
  <c r="X122" i="3"/>
  <c r="X126" i="3"/>
  <c r="Y117" i="3"/>
  <c r="Y118" i="3"/>
  <c r="Y120" i="3"/>
  <c r="Y121" i="3"/>
  <c r="Y122" i="3"/>
  <c r="Y126" i="3"/>
  <c r="Z117" i="3"/>
  <c r="Z118" i="3"/>
  <c r="Z120" i="3"/>
  <c r="Z121" i="3"/>
  <c r="Z122" i="3"/>
  <c r="Z126" i="3"/>
  <c r="AA117" i="3"/>
  <c r="AA118" i="3"/>
  <c r="AA120" i="3"/>
  <c r="AA121" i="3"/>
  <c r="AA122" i="3"/>
  <c r="AA126" i="3"/>
  <c r="AC117" i="3"/>
  <c r="AC118" i="3"/>
  <c r="AC120" i="3"/>
  <c r="AC121" i="3"/>
  <c r="AC122" i="3"/>
  <c r="AC126" i="3"/>
  <c r="AD117" i="3"/>
  <c r="AD118" i="3"/>
  <c r="AD120" i="3"/>
  <c r="AD121" i="3"/>
  <c r="AD122" i="3"/>
  <c r="AD126" i="3"/>
  <c r="AE117" i="3"/>
  <c r="AE118" i="3"/>
  <c r="AE120" i="3"/>
  <c r="AE121" i="3"/>
  <c r="AE122" i="3"/>
  <c r="AE126" i="3"/>
  <c r="AF117" i="3"/>
  <c r="AF118" i="3"/>
  <c r="AF119" i="3"/>
  <c r="AF120" i="3"/>
  <c r="AF121" i="3"/>
  <c r="AF122" i="3"/>
  <c r="AF126" i="3"/>
  <c r="AH117" i="3"/>
  <c r="AH17" i="3"/>
  <c r="AH70" i="3"/>
  <c r="AH103" i="3"/>
  <c r="AH18" i="3"/>
  <c r="AH71" i="3"/>
  <c r="AH104" i="3"/>
  <c r="AH118" i="3"/>
  <c r="AH19" i="3"/>
  <c r="AF192" i="3"/>
  <c r="AH242" i="3"/>
  <c r="AF133" i="3"/>
  <c r="AH72" i="3"/>
  <c r="AH105" i="3"/>
  <c r="AH119" i="3"/>
  <c r="AH133" i="3"/>
  <c r="AH20" i="3"/>
  <c r="AH106" i="3"/>
  <c r="AH73" i="3"/>
  <c r="AH120" i="3"/>
  <c r="AH21" i="3"/>
  <c r="AH74" i="3"/>
  <c r="AH107" i="3"/>
  <c r="AH121" i="3"/>
  <c r="AH22" i="3"/>
  <c r="AH23" i="3"/>
  <c r="AH25" i="3"/>
  <c r="AH31" i="3"/>
  <c r="AH32" i="3"/>
  <c r="AH33" i="3"/>
  <c r="AH241" i="3"/>
  <c r="N188" i="3"/>
  <c r="O188" i="3"/>
  <c r="P188" i="3"/>
  <c r="Q188" i="3"/>
  <c r="S188" i="3"/>
  <c r="T188" i="3"/>
  <c r="U188" i="3"/>
  <c r="V188" i="3"/>
  <c r="X188" i="3"/>
  <c r="Y188" i="3"/>
  <c r="Z188" i="3"/>
  <c r="AA188" i="3"/>
  <c r="AC188" i="3"/>
  <c r="AD188" i="3"/>
  <c r="AE188" i="3"/>
  <c r="AF188" i="3"/>
  <c r="AH188" i="3"/>
  <c r="AH252" i="3"/>
  <c r="AH187" i="3"/>
  <c r="AF17" i="3"/>
  <c r="AF187" i="3"/>
  <c r="AH251" i="3"/>
  <c r="AH200" i="3"/>
  <c r="AF21" i="3"/>
  <c r="AF200" i="3"/>
  <c r="AH253" i="3"/>
  <c r="AC17" i="3"/>
  <c r="AC18" i="3"/>
  <c r="AC19" i="3"/>
  <c r="AC20" i="3"/>
  <c r="AC21" i="3"/>
  <c r="AC22" i="3"/>
  <c r="AC23" i="3"/>
  <c r="AA17" i="3"/>
  <c r="AA18" i="3"/>
  <c r="AA19" i="3"/>
  <c r="AA20" i="3"/>
  <c r="AA21" i="3"/>
  <c r="AA22" i="3"/>
  <c r="AA23" i="3"/>
  <c r="Z17" i="3"/>
  <c r="Z18" i="3"/>
  <c r="Z19" i="3"/>
  <c r="Z20" i="3"/>
  <c r="Z21" i="3"/>
  <c r="Z22" i="3"/>
  <c r="Z23" i="3"/>
  <c r="Y17" i="3"/>
  <c r="Y18" i="3"/>
  <c r="Y19" i="3"/>
  <c r="Y20" i="3"/>
  <c r="Y21" i="3"/>
  <c r="Y22" i="3"/>
  <c r="Y23" i="3"/>
  <c r="X17" i="3"/>
  <c r="X18" i="3"/>
  <c r="X19" i="3"/>
  <c r="X20" i="3"/>
  <c r="X21" i="3"/>
  <c r="X22" i="3"/>
  <c r="X23" i="3"/>
  <c r="V17" i="3"/>
  <c r="V18" i="3"/>
  <c r="V19" i="3"/>
  <c r="V20" i="3"/>
  <c r="V21" i="3"/>
  <c r="V22" i="3"/>
  <c r="V23" i="3"/>
  <c r="U17" i="3"/>
  <c r="U18" i="3"/>
  <c r="U19" i="3"/>
  <c r="U20" i="3"/>
  <c r="U21" i="3"/>
  <c r="U22" i="3"/>
  <c r="U23" i="3"/>
  <c r="T17" i="3"/>
  <c r="T18" i="3"/>
  <c r="T19" i="3"/>
  <c r="T20" i="3"/>
  <c r="T21" i="3"/>
  <c r="T22" i="3"/>
  <c r="T23" i="3"/>
  <c r="S17" i="3"/>
  <c r="S18" i="3"/>
  <c r="S19" i="3"/>
  <c r="S20" i="3"/>
  <c r="S21" i="3"/>
  <c r="S22" i="3"/>
  <c r="S23" i="3"/>
  <c r="Q17" i="3"/>
  <c r="Q18" i="3"/>
  <c r="Q19" i="3"/>
  <c r="Q20" i="3"/>
  <c r="Q21" i="3"/>
  <c r="Q22" i="3"/>
  <c r="Q23" i="3"/>
  <c r="P17" i="3"/>
  <c r="P18" i="3"/>
  <c r="P19" i="3"/>
  <c r="P20" i="3"/>
  <c r="P21" i="3"/>
  <c r="P22" i="3"/>
  <c r="P23" i="3"/>
  <c r="O17" i="3"/>
  <c r="O18" i="3"/>
  <c r="O19" i="3"/>
  <c r="O20" i="3"/>
  <c r="O21" i="3"/>
  <c r="O22" i="3"/>
  <c r="O23" i="3"/>
  <c r="N20" i="3"/>
  <c r="N23" i="3"/>
  <c r="S201" i="3"/>
  <c r="T201" i="3"/>
  <c r="U201" i="3"/>
  <c r="V201" i="3"/>
  <c r="X201" i="3"/>
  <c r="Y201" i="3"/>
  <c r="Z201" i="3"/>
  <c r="AA201" i="3"/>
  <c r="AC201" i="3"/>
  <c r="AD201" i="3"/>
  <c r="AE201" i="3"/>
  <c r="AF201" i="3"/>
  <c r="AH201" i="3"/>
  <c r="N204" i="3"/>
  <c r="O204" i="3"/>
  <c r="P204" i="3"/>
  <c r="Q204" i="3"/>
  <c r="S204" i="3"/>
  <c r="T204" i="3"/>
  <c r="U204" i="3"/>
  <c r="V204" i="3"/>
  <c r="X204" i="3"/>
  <c r="Y204" i="3"/>
  <c r="Z204" i="3"/>
  <c r="AA204" i="3"/>
  <c r="AC204" i="3"/>
  <c r="AD204" i="3"/>
  <c r="AE204" i="3"/>
  <c r="AF204" i="3"/>
  <c r="AH204" i="3"/>
  <c r="AH256" i="3"/>
  <c r="N205" i="3"/>
  <c r="O205" i="3"/>
  <c r="P205" i="3"/>
  <c r="Q205" i="3"/>
  <c r="S205" i="3"/>
  <c r="T205" i="3"/>
  <c r="U205" i="3"/>
  <c r="V205" i="3"/>
  <c r="X205" i="3"/>
  <c r="Y205" i="3"/>
  <c r="Z205" i="3"/>
  <c r="AA205" i="3"/>
  <c r="AC205" i="3"/>
  <c r="AD205" i="3"/>
  <c r="AE205" i="3"/>
  <c r="AF205" i="3"/>
  <c r="AH205" i="3"/>
  <c r="AH194" i="3"/>
  <c r="AF194" i="3"/>
  <c r="AH243" i="3"/>
  <c r="AH254" i="3"/>
  <c r="AH245" i="3"/>
  <c r="AH257" i="3"/>
  <c r="AI29" i="3"/>
  <c r="AH75" i="3"/>
  <c r="AH78" i="3"/>
  <c r="AI69" i="3"/>
  <c r="AH108" i="3"/>
  <c r="AH112" i="3"/>
  <c r="AI102" i="3"/>
  <c r="AH122" i="3"/>
  <c r="AH126" i="3"/>
  <c r="AI117" i="3"/>
  <c r="AI17" i="3"/>
  <c r="AI70" i="3"/>
  <c r="AI103" i="3"/>
  <c r="AI18" i="3"/>
  <c r="AI71" i="3"/>
  <c r="AI104" i="3"/>
  <c r="AI118" i="3"/>
  <c r="AI19" i="3"/>
  <c r="AH192" i="3"/>
  <c r="AI242" i="3"/>
  <c r="AI72" i="3"/>
  <c r="AI105" i="3"/>
  <c r="AI119" i="3"/>
  <c r="AI133" i="3"/>
  <c r="AI20" i="3"/>
  <c r="AI106" i="3"/>
  <c r="AI73" i="3"/>
  <c r="AI120" i="3"/>
  <c r="AI21" i="3"/>
  <c r="AI74" i="3"/>
  <c r="AI107" i="3"/>
  <c r="AI121" i="3"/>
  <c r="AI22" i="3"/>
  <c r="AI23" i="3"/>
  <c r="AI25" i="3"/>
  <c r="AI31" i="3"/>
  <c r="AI32" i="3"/>
  <c r="AI33" i="3"/>
  <c r="AI241" i="3"/>
  <c r="AI188" i="3"/>
  <c r="AI252" i="3"/>
  <c r="AI187" i="3"/>
  <c r="AI251" i="3"/>
  <c r="AI200" i="3"/>
  <c r="AI253" i="3"/>
  <c r="AD17" i="3"/>
  <c r="AD18" i="3"/>
  <c r="AD19" i="3"/>
  <c r="AD20" i="3"/>
  <c r="AD21" i="3"/>
  <c r="AD22" i="3"/>
  <c r="AD23" i="3"/>
  <c r="AI201" i="3"/>
  <c r="AI204" i="3"/>
  <c r="AI256" i="3"/>
  <c r="AI205" i="3"/>
  <c r="AI194" i="3"/>
  <c r="AI243" i="3"/>
  <c r="AI254" i="3"/>
  <c r="AI245" i="3"/>
  <c r="AI257" i="3"/>
  <c r="AJ29" i="3"/>
  <c r="AI75" i="3"/>
  <c r="AI78" i="3"/>
  <c r="AJ69" i="3"/>
  <c r="AI108" i="3"/>
  <c r="AI112" i="3"/>
  <c r="AJ102" i="3"/>
  <c r="AI122" i="3"/>
  <c r="AI126" i="3"/>
  <c r="AJ117" i="3"/>
  <c r="AJ17" i="3"/>
  <c r="AJ70" i="3"/>
  <c r="AJ103" i="3"/>
  <c r="AJ18" i="3"/>
  <c r="AJ71" i="3"/>
  <c r="AJ104" i="3"/>
  <c r="AJ118" i="3"/>
  <c r="AJ19" i="3"/>
  <c r="AI192" i="3"/>
  <c r="AJ242" i="3"/>
  <c r="AJ72" i="3"/>
  <c r="AJ105" i="3"/>
  <c r="AJ119" i="3"/>
  <c r="AJ133" i="3"/>
  <c r="AJ20" i="3"/>
  <c r="AJ106" i="3"/>
  <c r="AJ73" i="3"/>
  <c r="AJ120" i="3"/>
  <c r="AJ21" i="3"/>
  <c r="AJ74" i="3"/>
  <c r="AJ107" i="3"/>
  <c r="AJ121" i="3"/>
  <c r="AJ22" i="3"/>
  <c r="AJ23" i="3"/>
  <c r="AJ25" i="3"/>
  <c r="AJ31" i="3"/>
  <c r="AJ32" i="3"/>
  <c r="AJ33" i="3"/>
  <c r="AJ241" i="3"/>
  <c r="AJ188" i="3"/>
  <c r="AJ252" i="3"/>
  <c r="AJ187" i="3"/>
  <c r="AJ251" i="3"/>
  <c r="AJ200" i="3"/>
  <c r="AJ253" i="3"/>
  <c r="AE17" i="3"/>
  <c r="AE18" i="3"/>
  <c r="AE19" i="3"/>
  <c r="AE20" i="3"/>
  <c r="AE21" i="3"/>
  <c r="AE22" i="3"/>
  <c r="AE23" i="3"/>
  <c r="AJ201" i="3"/>
  <c r="AJ204" i="3"/>
  <c r="AJ256" i="3"/>
  <c r="AJ205" i="3"/>
  <c r="AJ194" i="3"/>
  <c r="AJ243" i="3"/>
  <c r="AJ254" i="3"/>
  <c r="AJ245" i="3"/>
  <c r="AJ257" i="3"/>
  <c r="AK29" i="3"/>
  <c r="AJ75" i="3"/>
  <c r="AJ78" i="3"/>
  <c r="AK69" i="3"/>
  <c r="AJ108" i="3"/>
  <c r="AJ112" i="3"/>
  <c r="AK102" i="3"/>
  <c r="AJ122" i="3"/>
  <c r="AJ126" i="3"/>
  <c r="AK117" i="3"/>
  <c r="AK17" i="3"/>
  <c r="AK70" i="3"/>
  <c r="AK103" i="3"/>
  <c r="AK18" i="3"/>
  <c r="AK71" i="3"/>
  <c r="AK104" i="3"/>
  <c r="AK118" i="3"/>
  <c r="AK19" i="3"/>
  <c r="AJ192" i="3"/>
  <c r="AK242" i="3"/>
  <c r="AK72" i="3"/>
  <c r="AK105" i="3"/>
  <c r="AK119" i="3"/>
  <c r="AK133" i="3"/>
  <c r="AK20" i="3"/>
  <c r="AK106" i="3"/>
  <c r="AK73" i="3"/>
  <c r="AK120" i="3"/>
  <c r="AK21" i="3"/>
  <c r="AK74" i="3"/>
  <c r="AK107" i="3"/>
  <c r="AK121" i="3"/>
  <c r="AK22" i="3"/>
  <c r="AK23" i="3"/>
  <c r="AK25" i="3"/>
  <c r="AK31" i="3"/>
  <c r="AK32" i="3"/>
  <c r="AK33" i="3"/>
  <c r="AK241" i="3"/>
  <c r="AK188" i="3"/>
  <c r="AK252" i="3"/>
  <c r="AK187" i="3"/>
  <c r="AK251" i="3"/>
  <c r="AK200" i="3"/>
  <c r="AK253" i="3"/>
  <c r="AF18" i="3"/>
  <c r="AF19" i="3"/>
  <c r="AF20" i="3"/>
  <c r="AF22" i="3"/>
  <c r="AF23" i="3"/>
  <c r="AK201" i="3"/>
  <c r="AK204" i="3"/>
  <c r="AK256" i="3"/>
  <c r="AK205" i="3"/>
  <c r="AK194" i="3"/>
  <c r="AK243" i="3"/>
  <c r="AK254" i="3"/>
  <c r="AK245" i="3"/>
  <c r="AK257" i="3"/>
  <c r="AL257" i="3"/>
  <c r="C324" i="3"/>
  <c r="C317" i="3"/>
  <c r="N25" i="3"/>
  <c r="N30" i="3"/>
  <c r="N31" i="3"/>
  <c r="N32" i="3"/>
  <c r="N33" i="3"/>
  <c r="N241" i="3"/>
  <c r="N250" i="3"/>
  <c r="N251" i="3"/>
  <c r="N252" i="3"/>
  <c r="N194" i="3"/>
  <c r="N243" i="3"/>
  <c r="N253" i="3"/>
  <c r="N256" i="3"/>
  <c r="N254" i="3"/>
  <c r="N245" i="3"/>
  <c r="N257" i="3"/>
  <c r="N277" i="3"/>
  <c r="N279" i="3"/>
  <c r="O25" i="3"/>
  <c r="N206" i="3"/>
  <c r="O30" i="3"/>
  <c r="O31" i="3"/>
  <c r="O32" i="3"/>
  <c r="O33" i="3"/>
  <c r="O241" i="3"/>
  <c r="O252" i="3"/>
  <c r="O187" i="3"/>
  <c r="O251" i="3"/>
  <c r="O200" i="3"/>
  <c r="O253" i="3"/>
  <c r="O256" i="3"/>
  <c r="O194" i="3"/>
  <c r="O243" i="3"/>
  <c r="O254" i="3"/>
  <c r="O245" i="3"/>
  <c r="O257" i="3"/>
  <c r="O277" i="3"/>
  <c r="O279" i="3"/>
  <c r="P25" i="3"/>
  <c r="O206" i="3"/>
  <c r="P30" i="3"/>
  <c r="P31" i="3"/>
  <c r="P32" i="3"/>
  <c r="P33" i="3"/>
  <c r="P241" i="3"/>
  <c r="P252" i="3"/>
  <c r="P187" i="3"/>
  <c r="P251" i="3"/>
  <c r="P200" i="3"/>
  <c r="P253" i="3"/>
  <c r="P256" i="3"/>
  <c r="P194" i="3"/>
  <c r="P243" i="3"/>
  <c r="P254" i="3"/>
  <c r="P245" i="3"/>
  <c r="P257" i="3"/>
  <c r="P277" i="3"/>
  <c r="P279" i="3"/>
  <c r="Q25" i="3"/>
  <c r="P206" i="3"/>
  <c r="Q30" i="3"/>
  <c r="Q31" i="3"/>
  <c r="Q32" i="3"/>
  <c r="Q33" i="3"/>
  <c r="Q241" i="3"/>
  <c r="Q252" i="3"/>
  <c r="Q187" i="3"/>
  <c r="Q251" i="3"/>
  <c r="Q200" i="3"/>
  <c r="Q253" i="3"/>
  <c r="Q256" i="3"/>
  <c r="Q194" i="3"/>
  <c r="Q243" i="3"/>
  <c r="Q254" i="3"/>
  <c r="Q245" i="3"/>
  <c r="Q257" i="3"/>
  <c r="Q277" i="3"/>
  <c r="Q279" i="3"/>
  <c r="R279" i="3"/>
  <c r="S25" i="3"/>
  <c r="S31" i="3"/>
  <c r="S32" i="3"/>
  <c r="S33" i="3"/>
  <c r="S241" i="3"/>
  <c r="S252" i="3"/>
  <c r="S187" i="3"/>
  <c r="S251" i="3"/>
  <c r="S200" i="3"/>
  <c r="S253" i="3"/>
  <c r="S256" i="3"/>
  <c r="S194" i="3"/>
  <c r="S243" i="3"/>
  <c r="S254" i="3"/>
  <c r="S245" i="3"/>
  <c r="S257" i="3"/>
  <c r="S277" i="3"/>
  <c r="S279" i="3"/>
  <c r="T25" i="3"/>
  <c r="T31" i="3"/>
  <c r="T32" i="3"/>
  <c r="T33" i="3"/>
  <c r="T241" i="3"/>
  <c r="T252" i="3"/>
  <c r="T187" i="3"/>
  <c r="T251" i="3"/>
  <c r="T200" i="3"/>
  <c r="T253" i="3"/>
  <c r="T256" i="3"/>
  <c r="T194" i="3"/>
  <c r="T243" i="3"/>
  <c r="T254" i="3"/>
  <c r="T245" i="3"/>
  <c r="T257" i="3"/>
  <c r="T277" i="3"/>
  <c r="T279" i="3"/>
  <c r="U25" i="3"/>
  <c r="U31" i="3"/>
  <c r="U32" i="3"/>
  <c r="U33" i="3"/>
  <c r="U241" i="3"/>
  <c r="U252" i="3"/>
  <c r="U187" i="3"/>
  <c r="U251" i="3"/>
  <c r="U200" i="3"/>
  <c r="U253" i="3"/>
  <c r="U256" i="3"/>
  <c r="U194" i="3"/>
  <c r="U243" i="3"/>
  <c r="U254" i="3"/>
  <c r="U245" i="3"/>
  <c r="U257" i="3"/>
  <c r="U277" i="3"/>
  <c r="U279" i="3"/>
  <c r="V25" i="3"/>
  <c r="V31" i="3"/>
  <c r="V32" i="3"/>
  <c r="V33" i="3"/>
  <c r="V241" i="3"/>
  <c r="V252" i="3"/>
  <c r="V187" i="3"/>
  <c r="V251" i="3"/>
  <c r="V200" i="3"/>
  <c r="V253" i="3"/>
  <c r="V256" i="3"/>
  <c r="V194" i="3"/>
  <c r="V243" i="3"/>
  <c r="V254" i="3"/>
  <c r="V245" i="3"/>
  <c r="V257" i="3"/>
  <c r="V277" i="3"/>
  <c r="V279" i="3"/>
  <c r="W279" i="3"/>
  <c r="X25" i="3"/>
  <c r="X31" i="3"/>
  <c r="X32" i="3"/>
  <c r="X33" i="3"/>
  <c r="X241" i="3"/>
  <c r="X252" i="3"/>
  <c r="X187" i="3"/>
  <c r="X251" i="3"/>
  <c r="X200" i="3"/>
  <c r="X253" i="3"/>
  <c r="X256" i="3"/>
  <c r="X194" i="3"/>
  <c r="X243" i="3"/>
  <c r="X254" i="3"/>
  <c r="X245" i="3"/>
  <c r="X257" i="3"/>
  <c r="X277" i="3"/>
  <c r="X279" i="3"/>
  <c r="Y25" i="3"/>
  <c r="Y31" i="3"/>
  <c r="Y32" i="3"/>
  <c r="Y33" i="3"/>
  <c r="Y241" i="3"/>
  <c r="Y252" i="3"/>
  <c r="Y187" i="3"/>
  <c r="Y251" i="3"/>
  <c r="Y200" i="3"/>
  <c r="Y253" i="3"/>
  <c r="Y256" i="3"/>
  <c r="Y194" i="3"/>
  <c r="Y243" i="3"/>
  <c r="Y254" i="3"/>
  <c r="Y245" i="3"/>
  <c r="Y257" i="3"/>
  <c r="Y277" i="3"/>
  <c r="Y279" i="3"/>
  <c r="Z25" i="3"/>
  <c r="Z31" i="3"/>
  <c r="Z32" i="3"/>
  <c r="Z33" i="3"/>
  <c r="Z241" i="3"/>
  <c r="Z252" i="3"/>
  <c r="Z187" i="3"/>
  <c r="Z251" i="3"/>
  <c r="Z200" i="3"/>
  <c r="Z253" i="3"/>
  <c r="Z256" i="3"/>
  <c r="Z194" i="3"/>
  <c r="Z243" i="3"/>
  <c r="Z254" i="3"/>
  <c r="Z245" i="3"/>
  <c r="Z257" i="3"/>
  <c r="Z277" i="3"/>
  <c r="Z279" i="3"/>
  <c r="AA25" i="3"/>
  <c r="AA31" i="3"/>
  <c r="AA32" i="3"/>
  <c r="AA33" i="3"/>
  <c r="AA241" i="3"/>
  <c r="AA252" i="3"/>
  <c r="AA187" i="3"/>
  <c r="AA251" i="3"/>
  <c r="AA200" i="3"/>
  <c r="AA253" i="3"/>
  <c r="AA256" i="3"/>
  <c r="AA194" i="3"/>
  <c r="AA243" i="3"/>
  <c r="AA254" i="3"/>
  <c r="AA245" i="3"/>
  <c r="AA257" i="3"/>
  <c r="AA277" i="3"/>
  <c r="AA279" i="3"/>
  <c r="AB279" i="3"/>
  <c r="AC25" i="3"/>
  <c r="AC31" i="3"/>
  <c r="AC32" i="3"/>
  <c r="AC33" i="3"/>
  <c r="AC241" i="3"/>
  <c r="AC252" i="3"/>
  <c r="AC187" i="3"/>
  <c r="AC251" i="3"/>
  <c r="AC200" i="3"/>
  <c r="AC253" i="3"/>
  <c r="AC256" i="3"/>
  <c r="AC194" i="3"/>
  <c r="AC243" i="3"/>
  <c r="AC254" i="3"/>
  <c r="AC245" i="3"/>
  <c r="AC257" i="3"/>
  <c r="AC277" i="3"/>
  <c r="AC279" i="3"/>
  <c r="AD25" i="3"/>
  <c r="AD31" i="3"/>
  <c r="AD32" i="3"/>
  <c r="AD33" i="3"/>
  <c r="AD241" i="3"/>
  <c r="AD252" i="3"/>
  <c r="AD187" i="3"/>
  <c r="AD251" i="3"/>
  <c r="AD200" i="3"/>
  <c r="AD253" i="3"/>
  <c r="AD256" i="3"/>
  <c r="AD194" i="3"/>
  <c r="AD243" i="3"/>
  <c r="AD254" i="3"/>
  <c r="AD245" i="3"/>
  <c r="AD257" i="3"/>
  <c r="AD277" i="3"/>
  <c r="AD279" i="3"/>
  <c r="AE25" i="3"/>
  <c r="AE31" i="3"/>
  <c r="AE32" i="3"/>
  <c r="AE33" i="3"/>
  <c r="AE241" i="3"/>
  <c r="AE252" i="3"/>
  <c r="AE187" i="3"/>
  <c r="AE251" i="3"/>
  <c r="AE200" i="3"/>
  <c r="AE253" i="3"/>
  <c r="AE256" i="3"/>
  <c r="AE194" i="3"/>
  <c r="AE243" i="3"/>
  <c r="AE254" i="3"/>
  <c r="AE245" i="3"/>
  <c r="AE257" i="3"/>
  <c r="AE277" i="3"/>
  <c r="AE279" i="3"/>
  <c r="AF25" i="3"/>
  <c r="AF31" i="3"/>
  <c r="AF32" i="3"/>
  <c r="AF33" i="3"/>
  <c r="AF241" i="3"/>
  <c r="AF252" i="3"/>
  <c r="AF251" i="3"/>
  <c r="AF253" i="3"/>
  <c r="AF256" i="3"/>
  <c r="AF243" i="3"/>
  <c r="AF254" i="3"/>
  <c r="AF245" i="3"/>
  <c r="AF257" i="3"/>
  <c r="AF277" i="3"/>
  <c r="AF279" i="3"/>
  <c r="AG279" i="3"/>
  <c r="AH277" i="3"/>
  <c r="AH279" i="3"/>
  <c r="AI277" i="3"/>
  <c r="AI279" i="3"/>
  <c r="AJ277" i="3"/>
  <c r="AJ279" i="3"/>
  <c r="AK277" i="3"/>
  <c r="AK279" i="3"/>
  <c r="AL279" i="3"/>
  <c r="C325" i="3"/>
  <c r="C327" i="3"/>
  <c r="N27" i="3"/>
  <c r="N37" i="3"/>
  <c r="O169" i="3"/>
  <c r="O173" i="3"/>
  <c r="O174" i="3"/>
  <c r="O176" i="3"/>
  <c r="O26" i="3"/>
  <c r="O27" i="3"/>
  <c r="O178" i="3"/>
  <c r="O36" i="3"/>
  <c r="O37" i="3"/>
  <c r="P169" i="3"/>
  <c r="P173" i="3"/>
  <c r="P174" i="3"/>
  <c r="P176" i="3"/>
  <c r="P26" i="3"/>
  <c r="P27" i="3"/>
  <c r="P178" i="3"/>
  <c r="P36" i="3"/>
  <c r="P37" i="3"/>
  <c r="Q169" i="3"/>
  <c r="Q173" i="3"/>
  <c r="Q174" i="3"/>
  <c r="Q176" i="3"/>
  <c r="Q26" i="3"/>
  <c r="Q27" i="3"/>
  <c r="Q178" i="3"/>
  <c r="Q36" i="3"/>
  <c r="Q37" i="3"/>
  <c r="R37" i="3"/>
  <c r="N35" i="3"/>
  <c r="R29" i="3"/>
  <c r="R23" i="3"/>
  <c r="R25" i="3"/>
  <c r="R30" i="3"/>
  <c r="R31" i="3"/>
  <c r="R32" i="3"/>
  <c r="R33" i="3"/>
  <c r="R35" i="3"/>
  <c r="O35" i="3"/>
  <c r="P35" i="3"/>
  <c r="Q35" i="3"/>
  <c r="R39" i="3"/>
  <c r="R42" i="3"/>
  <c r="C300" i="3"/>
  <c r="C332" i="3"/>
  <c r="C334" i="3"/>
  <c r="C333" i="3"/>
  <c r="C331" i="3"/>
  <c r="C330" i="3"/>
  <c r="L201" i="3"/>
  <c r="L174" i="3"/>
  <c r="N173" i="3"/>
  <c r="N174" i="3"/>
  <c r="L31" i="3"/>
  <c r="L32" i="3"/>
  <c r="M32" i="3"/>
  <c r="M29" i="3"/>
  <c r="M31" i="3"/>
  <c r="M150" i="3"/>
  <c r="P115" i="3"/>
  <c r="S109" i="3"/>
  <c r="O109" i="3"/>
  <c r="N109" i="3"/>
  <c r="L109" i="3"/>
  <c r="S88" i="3"/>
  <c r="N88" i="3"/>
  <c r="N55" i="3"/>
  <c r="L55" i="3"/>
  <c r="O88" i="3"/>
  <c r="P88" i="3"/>
  <c r="Q88" i="3"/>
  <c r="P109" i="3"/>
  <c r="Q109" i="3"/>
  <c r="L24" i="3"/>
  <c r="L56" i="3"/>
  <c r="L13" i="3"/>
  <c r="L16" i="3"/>
  <c r="L68" i="3"/>
  <c r="L69" i="3"/>
  <c r="L17" i="3"/>
  <c r="L70" i="3"/>
  <c r="L18" i="3"/>
  <c r="L71" i="3"/>
  <c r="L19" i="3"/>
  <c r="L73" i="3"/>
  <c r="L21" i="3"/>
  <c r="L74" i="3"/>
  <c r="L22" i="3"/>
  <c r="L23" i="3"/>
  <c r="L25" i="3"/>
  <c r="M24" i="3"/>
  <c r="M13" i="3"/>
  <c r="M16" i="3"/>
  <c r="M23" i="3"/>
  <c r="M25" i="3"/>
  <c r="N115" i="3"/>
  <c r="N121" i="3"/>
  <c r="N87" i="3"/>
  <c r="N84" i="3"/>
  <c r="N89" i="3"/>
  <c r="N101" i="3"/>
  <c r="N107" i="3"/>
  <c r="N56" i="3"/>
  <c r="N68" i="3"/>
  <c r="L75" i="3"/>
  <c r="L78" i="3"/>
  <c r="N74" i="3"/>
  <c r="N22" i="3"/>
  <c r="N169" i="3"/>
  <c r="N117" i="3"/>
  <c r="N118" i="3"/>
  <c r="N120" i="3"/>
  <c r="L260" i="3"/>
  <c r="O87" i="3"/>
  <c r="O84" i="3"/>
  <c r="O89" i="3"/>
  <c r="O101" i="3"/>
  <c r="N102" i="3"/>
  <c r="N103" i="3"/>
  <c r="N104" i="3"/>
  <c r="N106" i="3"/>
  <c r="O55" i="3"/>
  <c r="O56" i="3"/>
  <c r="O68" i="3"/>
  <c r="N69" i="3"/>
  <c r="N70" i="3"/>
  <c r="N71" i="3"/>
  <c r="N73" i="3"/>
  <c r="L33" i="3"/>
  <c r="L241" i="3"/>
  <c r="L244" i="3"/>
  <c r="L247" i="3"/>
  <c r="L277" i="3"/>
  <c r="M277" i="3"/>
  <c r="N176" i="3"/>
  <c r="N26" i="3"/>
  <c r="N15" i="3"/>
  <c r="N13" i="3"/>
  <c r="N16" i="3"/>
  <c r="N17" i="3"/>
  <c r="N19" i="3"/>
  <c r="N21" i="3"/>
  <c r="N18" i="3"/>
  <c r="N24" i="3"/>
  <c r="N260" i="3"/>
  <c r="O24" i="3"/>
  <c r="O13" i="3"/>
  <c r="O16" i="3"/>
  <c r="P55" i="3"/>
  <c r="P56" i="3"/>
  <c r="P68" i="3"/>
  <c r="P87" i="3"/>
  <c r="P84" i="3"/>
  <c r="P89" i="3"/>
  <c r="P101" i="3"/>
  <c r="O260" i="3"/>
  <c r="P15" i="3"/>
  <c r="P13" i="3"/>
  <c r="P16" i="3"/>
  <c r="P24" i="3"/>
  <c r="Q55" i="3"/>
  <c r="Q56" i="3"/>
  <c r="Q68" i="3"/>
  <c r="Q87" i="3"/>
  <c r="Q84" i="3"/>
  <c r="Q89" i="3"/>
  <c r="Q101" i="3"/>
  <c r="P260" i="3"/>
  <c r="Q24" i="3"/>
  <c r="Q13" i="3"/>
  <c r="Q16" i="3"/>
  <c r="N201" i="3"/>
  <c r="O201" i="3"/>
  <c r="P201" i="3"/>
  <c r="Q201" i="3"/>
  <c r="S55" i="3"/>
  <c r="S56" i="3"/>
  <c r="S68" i="3"/>
  <c r="S87" i="3"/>
  <c r="S84" i="3"/>
  <c r="S89" i="3"/>
  <c r="S101" i="3"/>
  <c r="S115" i="3"/>
  <c r="Q260" i="3"/>
  <c r="T55" i="3"/>
  <c r="T56" i="3"/>
  <c r="T68" i="3"/>
  <c r="T88" i="3"/>
  <c r="T87" i="3"/>
  <c r="T84" i="3"/>
  <c r="T89" i="3"/>
  <c r="T101" i="3"/>
  <c r="S15" i="3"/>
  <c r="S13" i="3"/>
  <c r="S16" i="3"/>
  <c r="S260" i="3"/>
  <c r="U55" i="3"/>
  <c r="U56" i="3"/>
  <c r="U68" i="3"/>
  <c r="U88" i="3"/>
  <c r="U87" i="3"/>
  <c r="U84" i="3"/>
  <c r="U89" i="3"/>
  <c r="U101" i="3"/>
  <c r="U115" i="3"/>
  <c r="T13" i="3"/>
  <c r="T16" i="3"/>
  <c r="T260" i="3"/>
  <c r="V55" i="3"/>
  <c r="V56" i="3"/>
  <c r="V68" i="3"/>
  <c r="V88" i="3"/>
  <c r="V87" i="3"/>
  <c r="V84" i="3"/>
  <c r="V89" i="3"/>
  <c r="V101" i="3"/>
  <c r="U15" i="3"/>
  <c r="U13" i="3"/>
  <c r="U16" i="3"/>
  <c r="U260" i="3"/>
  <c r="X55" i="3"/>
  <c r="X56" i="3"/>
  <c r="X68" i="3"/>
  <c r="X88" i="3"/>
  <c r="X87" i="3"/>
  <c r="X84" i="3"/>
  <c r="X89" i="3"/>
  <c r="X101" i="3"/>
  <c r="X115" i="3"/>
  <c r="V13" i="3"/>
  <c r="V16" i="3"/>
  <c r="V260" i="3"/>
  <c r="Y55" i="3"/>
  <c r="Y56" i="3"/>
  <c r="Y68" i="3"/>
  <c r="Y88" i="3"/>
  <c r="Y87" i="3"/>
  <c r="Y84" i="3"/>
  <c r="Y89" i="3"/>
  <c r="Y101" i="3"/>
  <c r="X15" i="3"/>
  <c r="X13" i="3"/>
  <c r="X16" i="3"/>
  <c r="X260" i="3"/>
  <c r="Z55" i="3"/>
  <c r="Z56" i="3"/>
  <c r="Z68" i="3"/>
  <c r="Z88" i="3"/>
  <c r="Z87" i="3"/>
  <c r="Z84" i="3"/>
  <c r="Z89" i="3"/>
  <c r="Z101" i="3"/>
  <c r="Z115" i="3"/>
  <c r="Y13" i="3"/>
  <c r="Y16" i="3"/>
  <c r="Y260" i="3"/>
  <c r="AA55" i="3"/>
  <c r="AA56" i="3"/>
  <c r="AA68" i="3"/>
  <c r="AA88" i="3"/>
  <c r="AA87" i="3"/>
  <c r="AA84" i="3"/>
  <c r="AA89" i="3"/>
  <c r="AA101" i="3"/>
  <c r="Z15" i="3"/>
  <c r="Z13" i="3"/>
  <c r="Z16" i="3"/>
  <c r="Z260" i="3"/>
  <c r="AC55" i="3"/>
  <c r="AC56" i="3"/>
  <c r="AC68" i="3"/>
  <c r="AC88" i="3"/>
  <c r="AC87" i="3"/>
  <c r="AC84" i="3"/>
  <c r="AC89" i="3"/>
  <c r="AC101" i="3"/>
  <c r="AC115" i="3"/>
  <c r="AA13" i="3"/>
  <c r="AA16" i="3"/>
  <c r="AA260" i="3"/>
  <c r="AH115" i="3"/>
  <c r="AH15" i="3"/>
  <c r="AD88" i="3"/>
  <c r="AE88" i="3"/>
  <c r="AF88" i="3"/>
  <c r="AH88" i="3"/>
  <c r="AH87" i="3"/>
  <c r="AH84" i="3"/>
  <c r="AH89" i="3"/>
  <c r="AD55" i="3"/>
  <c r="AE55" i="3"/>
  <c r="AF55" i="3"/>
  <c r="AH55" i="3"/>
  <c r="AH56" i="3"/>
  <c r="AH13" i="3"/>
  <c r="AH16" i="3"/>
  <c r="AD56" i="3"/>
  <c r="AD68" i="3"/>
  <c r="AC15" i="3"/>
  <c r="AC13" i="3"/>
  <c r="AC16" i="3"/>
  <c r="AC260" i="3"/>
  <c r="AE56" i="3"/>
  <c r="AE68" i="3"/>
  <c r="AD87" i="3"/>
  <c r="AD84" i="3"/>
  <c r="AD89" i="3"/>
  <c r="AD13" i="3"/>
  <c r="AD16" i="3"/>
  <c r="AD260" i="3"/>
  <c r="AF56" i="3"/>
  <c r="AF68" i="3"/>
  <c r="AE115" i="3"/>
  <c r="AE15" i="3"/>
  <c r="AE87" i="3"/>
  <c r="AE84" i="3"/>
  <c r="AE89" i="3"/>
  <c r="AE13" i="3"/>
  <c r="AE16" i="3"/>
  <c r="AE260" i="3"/>
  <c r="AH68" i="3"/>
  <c r="AD101" i="3"/>
  <c r="AE101" i="3"/>
  <c r="AF87" i="3"/>
  <c r="AF84" i="3"/>
  <c r="AF89" i="3"/>
  <c r="AF101" i="3"/>
  <c r="AH101" i="3"/>
  <c r="AF13" i="3"/>
  <c r="AF16" i="3"/>
  <c r="AF260" i="3"/>
  <c r="T109" i="3"/>
  <c r="U109" i="3"/>
  <c r="V109" i="3"/>
  <c r="X109" i="3"/>
  <c r="Y109" i="3"/>
  <c r="Z109" i="3"/>
  <c r="AA109" i="3"/>
  <c r="AC109" i="3"/>
  <c r="AD109" i="3"/>
  <c r="AE109" i="3"/>
  <c r="AF109" i="3"/>
  <c r="AH109" i="3"/>
  <c r="AH24" i="3"/>
  <c r="AH247" i="3"/>
  <c r="AH186" i="3"/>
  <c r="AF186" i="3"/>
  <c r="AH250" i="3"/>
  <c r="AH244" i="3"/>
  <c r="AI55" i="3"/>
  <c r="AI56" i="3"/>
  <c r="AI68" i="3"/>
  <c r="AI88" i="3"/>
  <c r="AI87" i="3"/>
  <c r="AI84" i="3"/>
  <c r="AI89" i="3"/>
  <c r="AI101" i="3"/>
  <c r="AH260" i="3"/>
  <c r="AI109" i="3"/>
  <c r="AI24" i="3"/>
  <c r="AI13" i="3"/>
  <c r="AI16" i="3"/>
  <c r="AI186" i="3"/>
  <c r="AI250" i="3"/>
  <c r="AI244" i="3"/>
  <c r="AI247" i="3"/>
  <c r="AJ55" i="3"/>
  <c r="AJ56" i="3"/>
  <c r="AJ68" i="3"/>
  <c r="AJ88" i="3"/>
  <c r="AJ87" i="3"/>
  <c r="AJ84" i="3"/>
  <c r="AJ89" i="3"/>
  <c r="AJ101" i="3"/>
  <c r="AJ115" i="3"/>
  <c r="AI260" i="3"/>
  <c r="AJ15" i="3"/>
  <c r="AJ13" i="3"/>
  <c r="AJ16" i="3"/>
  <c r="AJ109" i="3"/>
  <c r="AJ24" i="3"/>
  <c r="AJ247" i="3"/>
  <c r="AJ186" i="3"/>
  <c r="AJ250" i="3"/>
  <c r="AJ244" i="3"/>
  <c r="AK55" i="3"/>
  <c r="AK56" i="3"/>
  <c r="AK68" i="3"/>
  <c r="AK88" i="3"/>
  <c r="AK87" i="3"/>
  <c r="AK84" i="3"/>
  <c r="AK89" i="3"/>
  <c r="AK101" i="3"/>
  <c r="AJ260" i="3"/>
  <c r="AK109" i="3"/>
  <c r="AK24" i="3"/>
  <c r="AK13" i="3"/>
  <c r="AK16" i="3"/>
  <c r="AK186" i="3"/>
  <c r="AK250" i="3"/>
  <c r="AK244" i="3"/>
  <c r="AK247" i="3"/>
  <c r="AL15" i="3"/>
  <c r="AL13" i="3"/>
  <c r="AL16" i="3"/>
  <c r="N247" i="3"/>
  <c r="N186" i="3"/>
  <c r="N187" i="3"/>
  <c r="N200" i="3"/>
  <c r="N244" i="3"/>
  <c r="O186" i="3"/>
  <c r="O250" i="3"/>
  <c r="O244" i="3"/>
  <c r="O247" i="3"/>
  <c r="P247" i="3"/>
  <c r="P186" i="3"/>
  <c r="P250" i="3"/>
  <c r="P244" i="3"/>
  <c r="Q186" i="3"/>
  <c r="Q250" i="3"/>
  <c r="Q244" i="3"/>
  <c r="Q247" i="3"/>
  <c r="S24" i="3"/>
  <c r="S247" i="3"/>
  <c r="S186" i="3"/>
  <c r="S250" i="3"/>
  <c r="S244" i="3"/>
  <c r="T24" i="3"/>
  <c r="T186" i="3"/>
  <c r="T250" i="3"/>
  <c r="T244" i="3"/>
  <c r="T247" i="3"/>
  <c r="U24" i="3"/>
  <c r="U247" i="3"/>
  <c r="U186" i="3"/>
  <c r="U250" i="3"/>
  <c r="U244" i="3"/>
  <c r="V24" i="3"/>
  <c r="V186" i="3"/>
  <c r="V250" i="3"/>
  <c r="V244" i="3"/>
  <c r="V247" i="3"/>
  <c r="X24" i="3"/>
  <c r="X247" i="3"/>
  <c r="X186" i="3"/>
  <c r="X250" i="3"/>
  <c r="X244" i="3"/>
  <c r="Y24" i="3"/>
  <c r="Y186" i="3"/>
  <c r="Y250" i="3"/>
  <c r="Y244" i="3"/>
  <c r="Y247" i="3"/>
  <c r="Z24" i="3"/>
  <c r="Z247" i="3"/>
  <c r="Z186" i="3"/>
  <c r="Z250" i="3"/>
  <c r="Z244" i="3"/>
  <c r="AA24" i="3"/>
  <c r="AA186" i="3"/>
  <c r="AA250" i="3"/>
  <c r="AA244" i="3"/>
  <c r="AA247" i="3"/>
  <c r="AC24" i="3"/>
  <c r="AC247" i="3"/>
  <c r="AC186" i="3"/>
  <c r="AC250" i="3"/>
  <c r="AC244" i="3"/>
  <c r="AD24" i="3"/>
  <c r="AD186" i="3"/>
  <c r="AD250" i="3"/>
  <c r="AD244" i="3"/>
  <c r="AD247" i="3"/>
  <c r="AE24" i="3"/>
  <c r="AE247" i="3"/>
  <c r="AE186" i="3"/>
  <c r="AE250" i="3"/>
  <c r="AE244" i="3"/>
  <c r="AF24" i="3"/>
  <c r="AF250" i="3"/>
  <c r="AF244" i="3"/>
  <c r="AF247" i="3"/>
  <c r="AK260" i="3"/>
  <c r="L87" i="3"/>
  <c r="L84" i="3"/>
  <c r="L89" i="3"/>
  <c r="L101" i="3"/>
  <c r="L107" i="3"/>
  <c r="L102" i="3"/>
  <c r="L103" i="3"/>
  <c r="L104" i="3"/>
  <c r="L106" i="3"/>
  <c r="L108" i="3"/>
  <c r="L112" i="3"/>
  <c r="AH169" i="3"/>
  <c r="AI169" i="3"/>
  <c r="AJ169" i="3"/>
  <c r="AK169" i="3"/>
  <c r="AL169" i="3"/>
  <c r="AL170" i="3"/>
  <c r="AL171" i="3"/>
  <c r="AL172" i="3"/>
  <c r="X169" i="3"/>
  <c r="S169" i="3"/>
  <c r="S173" i="3"/>
  <c r="S174" i="3"/>
  <c r="T169" i="3"/>
  <c r="T173" i="3"/>
  <c r="T174" i="3"/>
  <c r="U169" i="3"/>
  <c r="U173" i="3"/>
  <c r="U174" i="3"/>
  <c r="V169" i="3"/>
  <c r="V173" i="3"/>
  <c r="V174" i="3"/>
  <c r="X173" i="3"/>
  <c r="X174" i="3"/>
  <c r="Y169" i="3"/>
  <c r="Y173" i="3"/>
  <c r="Y174" i="3"/>
  <c r="Z169" i="3"/>
  <c r="Z173" i="3"/>
  <c r="Z174" i="3"/>
  <c r="AA169" i="3"/>
  <c r="AA173" i="3"/>
  <c r="AA174" i="3"/>
  <c r="AC169" i="3"/>
  <c r="AC173" i="3"/>
  <c r="AC174" i="3"/>
  <c r="AD169" i="3"/>
  <c r="AD173" i="3"/>
  <c r="AD174" i="3"/>
  <c r="AE169" i="3"/>
  <c r="AE173" i="3"/>
  <c r="AE174" i="3"/>
  <c r="AF169" i="3"/>
  <c r="AF173" i="3"/>
  <c r="AF174" i="3"/>
  <c r="AH173" i="3"/>
  <c r="AH174" i="3"/>
  <c r="AI173" i="3"/>
  <c r="AI174" i="3"/>
  <c r="AJ173" i="3"/>
  <c r="AJ174" i="3"/>
  <c r="AK173" i="3"/>
  <c r="AL173" i="3"/>
  <c r="AL174" i="3"/>
  <c r="AG169" i="3"/>
  <c r="AG170" i="3"/>
  <c r="AG171" i="3"/>
  <c r="AG172" i="3"/>
  <c r="AG173" i="3"/>
  <c r="AG174" i="3"/>
  <c r="AB169" i="3"/>
  <c r="AB170" i="3"/>
  <c r="AB171" i="3"/>
  <c r="AB172" i="3"/>
  <c r="AB173" i="3"/>
  <c r="AB174" i="3"/>
  <c r="W169" i="3"/>
  <c r="W170" i="3"/>
  <c r="W171" i="3"/>
  <c r="W172" i="3"/>
  <c r="W173" i="3"/>
  <c r="W174" i="3"/>
  <c r="R169" i="3"/>
  <c r="R170" i="3"/>
  <c r="R171" i="3"/>
  <c r="R172" i="3"/>
  <c r="R173" i="3"/>
  <c r="R174" i="3"/>
  <c r="M169" i="3"/>
  <c r="M170" i="3"/>
  <c r="M171" i="3"/>
  <c r="M172" i="3"/>
  <c r="M173" i="3"/>
  <c r="M174" i="3"/>
  <c r="AL161" i="3"/>
  <c r="AL160" i="3"/>
  <c r="AG161" i="3"/>
  <c r="AG160" i="3"/>
  <c r="AB161" i="3"/>
  <c r="AB160" i="3"/>
  <c r="W161" i="3"/>
  <c r="W160" i="3"/>
  <c r="R161" i="3"/>
  <c r="R160" i="3"/>
  <c r="M161" i="3"/>
  <c r="M160" i="3"/>
  <c r="L176" i="3"/>
  <c r="L26" i="3"/>
  <c r="L27" i="3"/>
  <c r="M27" i="3"/>
  <c r="M149" i="3"/>
  <c r="M148" i="3"/>
  <c r="AH124" i="3"/>
  <c r="AI124" i="3"/>
  <c r="AJ124" i="3"/>
  <c r="AK122" i="3"/>
  <c r="AK124" i="3"/>
  <c r="AL124" i="3"/>
  <c r="AL115" i="3"/>
  <c r="AL125" i="3"/>
  <c r="AC124" i="3"/>
  <c r="AD124" i="3"/>
  <c r="AE124" i="3"/>
  <c r="AF124" i="3"/>
  <c r="AG124" i="3"/>
  <c r="AG115" i="3"/>
  <c r="AG125" i="3"/>
  <c r="X124" i="3"/>
  <c r="Y124" i="3"/>
  <c r="Z124" i="3"/>
  <c r="AA124" i="3"/>
  <c r="AB124" i="3"/>
  <c r="AB115" i="3"/>
  <c r="AB125" i="3"/>
  <c r="S124" i="3"/>
  <c r="T124" i="3"/>
  <c r="U124" i="3"/>
  <c r="V124" i="3"/>
  <c r="W124" i="3"/>
  <c r="W115" i="3"/>
  <c r="W125" i="3"/>
  <c r="N124" i="3"/>
  <c r="O124" i="3"/>
  <c r="P124" i="3"/>
  <c r="Q124" i="3"/>
  <c r="R124" i="3"/>
  <c r="R115" i="3"/>
  <c r="R125" i="3"/>
  <c r="M124" i="3"/>
  <c r="M115" i="3"/>
  <c r="M125" i="3"/>
  <c r="AH110" i="3"/>
  <c r="AI110" i="3"/>
  <c r="AJ110" i="3"/>
  <c r="AK108" i="3"/>
  <c r="AK110" i="3"/>
  <c r="AL110" i="3"/>
  <c r="AL101" i="3"/>
  <c r="AL111" i="3"/>
  <c r="AL93" i="3"/>
  <c r="AL82" i="3"/>
  <c r="AL100" i="3"/>
  <c r="AC110" i="3"/>
  <c r="AD110" i="3"/>
  <c r="AE110" i="3"/>
  <c r="AF110" i="3"/>
  <c r="AG110" i="3"/>
  <c r="AG101" i="3"/>
  <c r="AG111" i="3"/>
  <c r="AG93" i="3"/>
  <c r="AG82" i="3"/>
  <c r="AG100" i="3"/>
  <c r="X110" i="3"/>
  <c r="Y110" i="3"/>
  <c r="Z110" i="3"/>
  <c r="AA110" i="3"/>
  <c r="AB110" i="3"/>
  <c r="AB101" i="3"/>
  <c r="AB111" i="3"/>
  <c r="AB93" i="3"/>
  <c r="AB82" i="3"/>
  <c r="AB100" i="3"/>
  <c r="S110" i="3"/>
  <c r="T110" i="3"/>
  <c r="U110" i="3"/>
  <c r="V110" i="3"/>
  <c r="W110" i="3"/>
  <c r="W101" i="3"/>
  <c r="W111" i="3"/>
  <c r="W93" i="3"/>
  <c r="W82" i="3"/>
  <c r="W100" i="3"/>
  <c r="N110" i="3"/>
  <c r="O110" i="3"/>
  <c r="P110" i="3"/>
  <c r="Q110" i="3"/>
  <c r="R110" i="3"/>
  <c r="R101" i="3"/>
  <c r="R111" i="3"/>
  <c r="R93" i="3"/>
  <c r="R82" i="3"/>
  <c r="R100" i="3"/>
  <c r="L110" i="3"/>
  <c r="M110" i="3"/>
  <c r="M101" i="3"/>
  <c r="M111" i="3"/>
  <c r="M93" i="3"/>
  <c r="M82" i="3"/>
  <c r="M100" i="3"/>
  <c r="AL68" i="3"/>
  <c r="AL60" i="3"/>
  <c r="AG68" i="3"/>
  <c r="AG60" i="3"/>
  <c r="AB68" i="3"/>
  <c r="AB60" i="3"/>
  <c r="W68" i="3"/>
  <c r="W60" i="3"/>
  <c r="R68" i="3"/>
  <c r="R60" i="3"/>
  <c r="M68" i="3"/>
  <c r="AL49" i="3"/>
  <c r="AG49" i="3"/>
  <c r="AB49" i="3"/>
  <c r="W49" i="3"/>
  <c r="R49" i="3"/>
  <c r="AK54" i="3"/>
  <c r="AJ54" i="3"/>
  <c r="AI54" i="3"/>
  <c r="AH54" i="3"/>
  <c r="AF54" i="3"/>
  <c r="AE54" i="3"/>
  <c r="AD54" i="3"/>
  <c r="AC54" i="3"/>
  <c r="AA54" i="3"/>
  <c r="Z54" i="3"/>
  <c r="Y54" i="3"/>
  <c r="X54" i="3"/>
  <c r="V54" i="3"/>
  <c r="U54" i="3"/>
  <c r="T54" i="3"/>
  <c r="S54" i="3"/>
  <c r="O54" i="3"/>
  <c r="P54" i="3"/>
  <c r="Q54" i="3"/>
  <c r="N54" i="3"/>
  <c r="L54" i="3"/>
  <c r="AK53" i="3"/>
  <c r="AJ53" i="3"/>
  <c r="AI53" i="3"/>
  <c r="AH53" i="3"/>
  <c r="AF53" i="3"/>
  <c r="AE53" i="3"/>
  <c r="AD53" i="3"/>
  <c r="AC53" i="3"/>
  <c r="AA53" i="3"/>
  <c r="Z53" i="3"/>
  <c r="Y53" i="3"/>
  <c r="X53" i="3"/>
  <c r="L50" i="3"/>
  <c r="K289" i="3"/>
  <c r="L288" i="3"/>
  <c r="L51" i="3"/>
  <c r="Q51" i="3"/>
  <c r="V51" i="3"/>
  <c r="AA51" i="3"/>
  <c r="N51" i="3"/>
  <c r="S51" i="3"/>
  <c r="X51" i="3"/>
  <c r="O51" i="3"/>
  <c r="T51" i="3"/>
  <c r="Y51" i="3"/>
  <c r="P51" i="3"/>
  <c r="U51" i="3"/>
  <c r="Z51" i="3"/>
  <c r="AB13" i="3"/>
  <c r="AB15" i="3"/>
  <c r="AB16" i="3"/>
  <c r="W13" i="3"/>
  <c r="W15" i="3"/>
  <c r="W16" i="3"/>
  <c r="AF51" i="3"/>
  <c r="AC51" i="3"/>
  <c r="AD51" i="3"/>
  <c r="AE51" i="3"/>
  <c r="AH51" i="3"/>
  <c r="AI51" i="3"/>
  <c r="AJ51" i="3"/>
  <c r="AK51" i="3"/>
  <c r="R13" i="3"/>
  <c r="R15" i="3"/>
  <c r="R16" i="3"/>
  <c r="C297" i="3"/>
  <c r="C296" i="3"/>
  <c r="C295" i="3"/>
  <c r="C298" i="3"/>
  <c r="C311" i="3"/>
  <c r="C308" i="3"/>
  <c r="C309" i="3"/>
  <c r="J135" i="8"/>
  <c r="J134" i="8"/>
  <c r="J133" i="8"/>
  <c r="J132" i="8"/>
  <c r="J131" i="8"/>
  <c r="C11" i="8"/>
  <c r="N23" i="8"/>
  <c r="N24" i="8"/>
  <c r="N25" i="8"/>
  <c r="N26" i="8"/>
  <c r="O23" i="8"/>
  <c r="D11" i="8"/>
  <c r="E11" i="8"/>
  <c r="N27" i="8"/>
  <c r="N28" i="8"/>
  <c r="N29" i="8"/>
  <c r="N30" i="8"/>
  <c r="O27" i="8"/>
  <c r="D12"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70" i="8"/>
  <c r="H24" i="8"/>
  <c r="H25" i="8"/>
  <c r="H26" i="8"/>
  <c r="H27" i="8"/>
  <c r="J24" i="8"/>
  <c r="R24" i="8"/>
  <c r="H28" i="8"/>
  <c r="J25" i="8"/>
  <c r="R25" i="8"/>
  <c r="H29" i="8"/>
  <c r="J26" i="8"/>
  <c r="R26" i="8"/>
  <c r="E67" i="8"/>
  <c r="E68" i="8"/>
  <c r="E69" i="8"/>
  <c r="H30" i="8"/>
  <c r="J27" i="8"/>
  <c r="R27" i="8"/>
  <c r="H31" i="8"/>
  <c r="J28" i="8"/>
  <c r="R28" i="8"/>
  <c r="H32" i="8"/>
  <c r="J29" i="8"/>
  <c r="R29" i="8"/>
  <c r="H33" i="8"/>
  <c r="J30" i="8"/>
  <c r="R30" i="8"/>
  <c r="H34" i="8"/>
  <c r="J31" i="8"/>
  <c r="R31" i="8"/>
  <c r="H35" i="8"/>
  <c r="J32" i="8"/>
  <c r="R32" i="8"/>
  <c r="H36" i="8"/>
  <c r="J33" i="8"/>
  <c r="R33" i="8"/>
  <c r="H37" i="8"/>
  <c r="J34" i="8"/>
  <c r="R34" i="8"/>
  <c r="H38" i="8"/>
  <c r="J35" i="8"/>
  <c r="R35" i="8"/>
  <c r="H39" i="8"/>
  <c r="J36" i="8"/>
  <c r="R36" i="8"/>
  <c r="H40" i="8"/>
  <c r="J37" i="8"/>
  <c r="R37" i="8"/>
  <c r="H41" i="8"/>
  <c r="J38" i="8"/>
  <c r="R38" i="8"/>
  <c r="H42" i="8"/>
  <c r="J39" i="8"/>
  <c r="R39" i="8"/>
  <c r="H43" i="8"/>
  <c r="J40" i="8"/>
  <c r="R40" i="8"/>
  <c r="H44" i="8"/>
  <c r="J41" i="8"/>
  <c r="R41" i="8"/>
  <c r="H45" i="8"/>
  <c r="J42" i="8"/>
  <c r="R42" i="8"/>
  <c r="H46" i="8"/>
  <c r="J43" i="8"/>
  <c r="R43" i="8"/>
  <c r="H47" i="8"/>
  <c r="J44" i="8"/>
  <c r="R44" i="8"/>
  <c r="H48" i="8"/>
  <c r="J45" i="8"/>
  <c r="R45" i="8"/>
  <c r="H49" i="8"/>
  <c r="J46" i="8"/>
  <c r="R46" i="8"/>
  <c r="H50" i="8"/>
  <c r="J47" i="8"/>
  <c r="R47" i="8"/>
  <c r="H51" i="8"/>
  <c r="J48" i="8"/>
  <c r="R48" i="8"/>
  <c r="H52" i="8"/>
  <c r="J49" i="8"/>
  <c r="R49" i="8"/>
  <c r="H53" i="8"/>
  <c r="J50" i="8"/>
  <c r="R50" i="8"/>
  <c r="H54" i="8"/>
  <c r="J51" i="8"/>
  <c r="R51" i="8"/>
  <c r="H55" i="8"/>
  <c r="J52" i="8"/>
  <c r="R52" i="8"/>
  <c r="H56" i="8"/>
  <c r="J53" i="8"/>
  <c r="R53" i="8"/>
  <c r="H57" i="8"/>
  <c r="J54" i="8"/>
  <c r="R54" i="8"/>
  <c r="H58" i="8"/>
  <c r="J55" i="8"/>
  <c r="R55" i="8"/>
  <c r="H59" i="8"/>
  <c r="J56" i="8"/>
  <c r="R56" i="8"/>
  <c r="H60" i="8"/>
  <c r="J57" i="8"/>
  <c r="R57" i="8"/>
  <c r="H61" i="8"/>
  <c r="J58" i="8"/>
  <c r="R58" i="8"/>
  <c r="H62" i="8"/>
  <c r="J59" i="8"/>
  <c r="R59" i="8"/>
  <c r="H63" i="8"/>
  <c r="J60" i="8"/>
  <c r="R60" i="8"/>
  <c r="H64" i="8"/>
  <c r="J61" i="8"/>
  <c r="R61" i="8"/>
  <c r="H65" i="8"/>
  <c r="J62" i="8"/>
  <c r="R62" i="8"/>
  <c r="H66" i="8"/>
  <c r="J63" i="8"/>
  <c r="R63" i="8"/>
  <c r="H67" i="8"/>
  <c r="J64" i="8"/>
  <c r="R64" i="8"/>
  <c r="H68" i="8"/>
  <c r="J65" i="8"/>
  <c r="R65" i="8"/>
  <c r="H69" i="8"/>
  <c r="J66" i="8"/>
  <c r="R66" i="8"/>
  <c r="H70" i="8"/>
  <c r="J67" i="8"/>
  <c r="R67" i="8"/>
  <c r="H71" i="8"/>
  <c r="J68" i="8"/>
  <c r="R68" i="8"/>
  <c r="H72" i="8"/>
  <c r="J69" i="8"/>
  <c r="R69" i="8"/>
  <c r="H73" i="8"/>
  <c r="J70" i="8"/>
  <c r="R70" i="8"/>
  <c r="H74" i="8"/>
  <c r="J71" i="8"/>
  <c r="R71" i="8"/>
  <c r="H75" i="8"/>
  <c r="J72" i="8"/>
  <c r="R72" i="8"/>
  <c r="H76" i="8"/>
  <c r="J73" i="8"/>
  <c r="R73" i="8"/>
  <c r="H77" i="8"/>
  <c r="J74" i="8"/>
  <c r="R74" i="8"/>
  <c r="H78" i="8"/>
  <c r="J75" i="8"/>
  <c r="R75" i="8"/>
  <c r="J76" i="8"/>
  <c r="R76" i="8"/>
  <c r="J77" i="8"/>
  <c r="R77" i="8"/>
  <c r="J78" i="8"/>
  <c r="R78" i="8"/>
  <c r="J79" i="8"/>
  <c r="R79" i="8"/>
  <c r="J80" i="8"/>
  <c r="R80" i="8"/>
  <c r="J81" i="8"/>
  <c r="R81" i="8"/>
  <c r="J82" i="8"/>
  <c r="R82" i="8"/>
  <c r="J83" i="8"/>
  <c r="R83" i="8"/>
  <c r="J84" i="8"/>
  <c r="R84" i="8"/>
  <c r="J85" i="8"/>
  <c r="R85" i="8"/>
  <c r="J86" i="8"/>
  <c r="R86" i="8"/>
  <c r="J87" i="8"/>
  <c r="R87" i="8"/>
  <c r="J88" i="8"/>
  <c r="R88" i="8"/>
  <c r="J89" i="8"/>
  <c r="R89" i="8"/>
  <c r="J90" i="8"/>
  <c r="R90" i="8"/>
  <c r="J91" i="8"/>
  <c r="R91" i="8"/>
  <c r="J92" i="8"/>
  <c r="R92" i="8"/>
  <c r="J93" i="8"/>
  <c r="R93" i="8"/>
  <c r="J94" i="8"/>
  <c r="R94" i="8"/>
  <c r="J95" i="8"/>
  <c r="R95" i="8"/>
  <c r="J96" i="8"/>
  <c r="R96" i="8"/>
  <c r="J97" i="8"/>
  <c r="R97" i="8"/>
  <c r="J98" i="8"/>
  <c r="R98" i="8"/>
  <c r="J99" i="8"/>
  <c r="R99" i="8"/>
  <c r="J100" i="8"/>
  <c r="R100" i="8"/>
  <c r="J101" i="8"/>
  <c r="R101" i="8"/>
  <c r="J102" i="8"/>
  <c r="R102" i="8"/>
  <c r="J103" i="8"/>
  <c r="R103" i="8"/>
  <c r="J104" i="8"/>
  <c r="R104" i="8"/>
  <c r="J105" i="8"/>
  <c r="R105" i="8"/>
  <c r="J106" i="8"/>
  <c r="R106" i="8"/>
  <c r="J107" i="8"/>
  <c r="R107" i="8"/>
  <c r="J108" i="8"/>
  <c r="R108" i="8"/>
  <c r="J109" i="8"/>
  <c r="R109" i="8"/>
  <c r="J110" i="8"/>
  <c r="R110" i="8"/>
  <c r="J111" i="8"/>
  <c r="R111" i="8"/>
  <c r="J112" i="8"/>
  <c r="R112" i="8"/>
  <c r="J113" i="8"/>
  <c r="R113" i="8"/>
  <c r="J114" i="8"/>
  <c r="R114" i="8"/>
  <c r="J115" i="8"/>
  <c r="R115" i="8"/>
  <c r="J116" i="8"/>
  <c r="R116" i="8"/>
  <c r="J117" i="8"/>
  <c r="R117" i="8"/>
  <c r="J118" i="8"/>
  <c r="R118" i="8"/>
  <c r="J119" i="8"/>
  <c r="R119" i="8"/>
  <c r="J120" i="8"/>
  <c r="R120" i="8"/>
  <c r="J121" i="8"/>
  <c r="R121" i="8"/>
  <c r="J122" i="8"/>
  <c r="R122" i="8"/>
  <c r="J123" i="8"/>
  <c r="R123" i="8"/>
  <c r="J124" i="8"/>
  <c r="R124" i="8"/>
  <c r="J125" i="8"/>
  <c r="R125" i="8"/>
  <c r="J126" i="8"/>
  <c r="R126" i="8"/>
  <c r="J127" i="8"/>
  <c r="R127" i="8"/>
  <c r="J128" i="8"/>
  <c r="R128" i="8"/>
  <c r="J129" i="8"/>
  <c r="R129" i="8"/>
  <c r="J130" i="8"/>
  <c r="R130"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N78" i="8"/>
  <c r="N22" i="8"/>
  <c r="K22" i="8"/>
  <c r="L22" i="8"/>
  <c r="K23" i="8"/>
  <c r="L23" i="8"/>
  <c r="K24" i="8"/>
  <c r="L24" i="8"/>
  <c r="K25" i="8"/>
  <c r="L25" i="8"/>
  <c r="K26" i="8"/>
  <c r="L26" i="8"/>
  <c r="K27" i="8"/>
  <c r="L27" i="8"/>
  <c r="K28" i="8"/>
  <c r="L28" i="8"/>
  <c r="K29" i="8"/>
  <c r="L29" i="8"/>
  <c r="K30" i="8"/>
  <c r="L30" i="8"/>
  <c r="N31" i="8"/>
  <c r="K31" i="8"/>
  <c r="L31" i="8"/>
  <c r="N32" i="8"/>
  <c r="K32" i="8"/>
  <c r="L32" i="8"/>
  <c r="N33" i="8"/>
  <c r="K33" i="8"/>
  <c r="L33" i="8"/>
  <c r="N34" i="8"/>
  <c r="K34" i="8"/>
  <c r="L34" i="8"/>
  <c r="N35" i="8"/>
  <c r="K35" i="8"/>
  <c r="L35" i="8"/>
  <c r="N36" i="8"/>
  <c r="K36" i="8"/>
  <c r="L36" i="8"/>
  <c r="N37" i="8"/>
  <c r="K37" i="8"/>
  <c r="L37" i="8"/>
  <c r="N38" i="8"/>
  <c r="K38" i="8"/>
  <c r="L38" i="8"/>
  <c r="N39" i="8"/>
  <c r="K39" i="8"/>
  <c r="L39" i="8"/>
  <c r="N40" i="8"/>
  <c r="K40" i="8"/>
  <c r="L40" i="8"/>
  <c r="N41" i="8"/>
  <c r="K41" i="8"/>
  <c r="L41" i="8"/>
  <c r="N42" i="8"/>
  <c r="K42" i="8"/>
  <c r="L42" i="8"/>
  <c r="N43" i="8"/>
  <c r="K43" i="8"/>
  <c r="L43" i="8"/>
  <c r="N44" i="8"/>
  <c r="K44" i="8"/>
  <c r="L44" i="8"/>
  <c r="N45" i="8"/>
  <c r="K45" i="8"/>
  <c r="L45" i="8"/>
  <c r="N46" i="8"/>
  <c r="K46" i="8"/>
  <c r="L46" i="8"/>
  <c r="N47" i="8"/>
  <c r="K47" i="8"/>
  <c r="L47" i="8"/>
  <c r="N48" i="8"/>
  <c r="K48" i="8"/>
  <c r="L48" i="8"/>
  <c r="N49" i="8"/>
  <c r="K49" i="8"/>
  <c r="L49" i="8"/>
  <c r="N50" i="8"/>
  <c r="K50" i="8"/>
  <c r="L50" i="8"/>
  <c r="N51" i="8"/>
  <c r="K51" i="8"/>
  <c r="L51" i="8"/>
  <c r="N52" i="8"/>
  <c r="K52" i="8"/>
  <c r="L52" i="8"/>
  <c r="N53" i="8"/>
  <c r="K53" i="8"/>
  <c r="L53" i="8"/>
  <c r="N54" i="8"/>
  <c r="K54" i="8"/>
  <c r="L54" i="8"/>
  <c r="N55" i="8"/>
  <c r="K55" i="8"/>
  <c r="L55" i="8"/>
  <c r="N56" i="8"/>
  <c r="K56" i="8"/>
  <c r="L56" i="8"/>
  <c r="N57" i="8"/>
  <c r="K57" i="8"/>
  <c r="L57" i="8"/>
  <c r="N58" i="8"/>
  <c r="K58" i="8"/>
  <c r="L58" i="8"/>
  <c r="N59" i="8"/>
  <c r="K59" i="8"/>
  <c r="L59" i="8"/>
  <c r="N60" i="8"/>
  <c r="K60" i="8"/>
  <c r="L60" i="8"/>
  <c r="N61" i="8"/>
  <c r="K61" i="8"/>
  <c r="L61" i="8"/>
  <c r="N62" i="8"/>
  <c r="K62" i="8"/>
  <c r="L62" i="8"/>
  <c r="N63" i="8"/>
  <c r="K63" i="8"/>
  <c r="L63" i="8"/>
  <c r="N64" i="8"/>
  <c r="K64" i="8"/>
  <c r="L64" i="8"/>
  <c r="N65" i="8"/>
  <c r="K65" i="8"/>
  <c r="L65" i="8"/>
  <c r="N66" i="8"/>
  <c r="K66" i="8"/>
  <c r="L66" i="8"/>
  <c r="N67" i="8"/>
  <c r="K67" i="8"/>
  <c r="L67" i="8"/>
  <c r="N68" i="8"/>
  <c r="K68" i="8"/>
  <c r="L68" i="8"/>
  <c r="N69" i="8"/>
  <c r="K69" i="8"/>
  <c r="L69" i="8"/>
  <c r="N70" i="8"/>
  <c r="K70" i="8"/>
  <c r="L70" i="8"/>
  <c r="N71" i="8"/>
  <c r="K71" i="8"/>
  <c r="L71" i="8"/>
  <c r="N72" i="8"/>
  <c r="K72" i="8"/>
  <c r="L72" i="8"/>
  <c r="N73" i="8"/>
  <c r="K73" i="8"/>
  <c r="L73" i="8"/>
  <c r="N74" i="8"/>
  <c r="K74" i="8"/>
  <c r="L74" i="8"/>
  <c r="N75" i="8"/>
  <c r="K75" i="8"/>
  <c r="L75" i="8"/>
  <c r="N76" i="8"/>
  <c r="K76" i="8"/>
  <c r="L76" i="8"/>
  <c r="N77" i="8"/>
  <c r="K77" i="8"/>
  <c r="L77" i="8"/>
  <c r="K78" i="8"/>
  <c r="L78"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I78" i="8"/>
  <c r="I77" i="8"/>
  <c r="I76" i="8"/>
  <c r="O75" i="8"/>
  <c r="I75" i="8"/>
  <c r="N19" i="8"/>
  <c r="N20" i="8"/>
  <c r="N21" i="8"/>
  <c r="O19" i="8"/>
  <c r="D10" i="8"/>
  <c r="E75" i="8"/>
  <c r="O74" i="8"/>
  <c r="T74" i="8"/>
  <c r="P74" i="8"/>
  <c r="I74" i="8"/>
  <c r="C7" i="8"/>
  <c r="L9" i="8"/>
  <c r="L8" i="8"/>
  <c r="L7" i="8"/>
  <c r="N7" i="8"/>
  <c r="N8" i="8"/>
  <c r="N9" i="8"/>
  <c r="N10" i="8"/>
  <c r="O7" i="8"/>
  <c r="D7" i="8"/>
  <c r="E7" i="8"/>
  <c r="C8" i="8"/>
  <c r="K14" i="8"/>
  <c r="K13" i="8"/>
  <c r="K12" i="8"/>
  <c r="K11" i="8"/>
  <c r="N11" i="8"/>
  <c r="N12" i="8"/>
  <c r="N13" i="8"/>
  <c r="N14" i="8"/>
  <c r="O11" i="8"/>
  <c r="D8" i="8"/>
  <c r="E8" i="8"/>
  <c r="P16" i="8"/>
  <c r="P17" i="8"/>
  <c r="P18" i="8"/>
  <c r="C9" i="8"/>
  <c r="K15" i="8"/>
  <c r="N15" i="8"/>
  <c r="N16" i="8"/>
  <c r="N17" i="8"/>
  <c r="N18" i="8"/>
  <c r="O15" i="8"/>
  <c r="D9" i="8"/>
  <c r="E9" i="8"/>
  <c r="P19" i="8"/>
  <c r="P20" i="8"/>
  <c r="P21" i="8"/>
  <c r="P22" i="8"/>
  <c r="C10" i="8"/>
  <c r="E10" i="8"/>
  <c r="E74" i="8"/>
  <c r="O73" i="8"/>
  <c r="T73" i="8"/>
  <c r="P73" i="8"/>
  <c r="I73" i="8"/>
  <c r="E73" i="8"/>
  <c r="O72" i="8"/>
  <c r="T72" i="8"/>
  <c r="P72" i="8"/>
  <c r="I72" i="8"/>
  <c r="E72" i="8"/>
  <c r="O71" i="8"/>
  <c r="T71" i="8"/>
  <c r="P71" i="8"/>
  <c r="I71" i="8"/>
  <c r="E71" i="8"/>
  <c r="O70" i="8"/>
  <c r="T70" i="8"/>
  <c r="P70" i="8"/>
  <c r="I70" i="8"/>
  <c r="O69" i="8"/>
  <c r="T69" i="8"/>
  <c r="P69" i="8"/>
  <c r="I69" i="8"/>
  <c r="O68" i="8"/>
  <c r="T68" i="8"/>
  <c r="P68" i="8"/>
  <c r="I68" i="8"/>
  <c r="O67" i="8"/>
  <c r="T67" i="8"/>
  <c r="P67" i="8"/>
  <c r="I67" i="8"/>
  <c r="O66" i="8"/>
  <c r="T66" i="8"/>
  <c r="P66" i="8"/>
  <c r="I66" i="8"/>
  <c r="O65" i="8"/>
  <c r="T65" i="8"/>
  <c r="P65" i="8"/>
  <c r="I65" i="8"/>
  <c r="O64" i="8"/>
  <c r="T64" i="8"/>
  <c r="P64" i="8"/>
  <c r="I64" i="8"/>
  <c r="O63" i="8"/>
  <c r="T63" i="8"/>
  <c r="P63" i="8"/>
  <c r="I63" i="8"/>
  <c r="O62" i="8"/>
  <c r="T62" i="8"/>
  <c r="P62" i="8"/>
  <c r="I62" i="8"/>
  <c r="O61" i="8"/>
  <c r="T61" i="8"/>
  <c r="P61" i="8"/>
  <c r="I61" i="8"/>
  <c r="O60" i="8"/>
  <c r="T60" i="8"/>
  <c r="P60" i="8"/>
  <c r="I60" i="8"/>
  <c r="O59" i="8"/>
  <c r="T59" i="8"/>
  <c r="P59" i="8"/>
  <c r="I59" i="8"/>
  <c r="O58" i="8"/>
  <c r="T58" i="8"/>
  <c r="P58" i="8"/>
  <c r="I58" i="8"/>
  <c r="O57" i="8"/>
  <c r="T57" i="8"/>
  <c r="P57" i="8"/>
  <c r="I57" i="8"/>
  <c r="O56" i="8"/>
  <c r="T56" i="8"/>
  <c r="P56" i="8"/>
  <c r="I56" i="8"/>
  <c r="O55" i="8"/>
  <c r="T55" i="8"/>
  <c r="P55" i="8"/>
  <c r="I55" i="8"/>
  <c r="O54" i="8"/>
  <c r="T54" i="8"/>
  <c r="P54" i="8"/>
  <c r="I54" i="8"/>
  <c r="O53" i="8"/>
  <c r="T53" i="8"/>
  <c r="P53" i="8"/>
  <c r="I53" i="8"/>
  <c r="O52" i="8"/>
  <c r="T52" i="8"/>
  <c r="P52" i="8"/>
  <c r="I52" i="8"/>
  <c r="O51" i="8"/>
  <c r="T51" i="8"/>
  <c r="P51" i="8"/>
  <c r="I51" i="8"/>
  <c r="O50" i="8"/>
  <c r="T50" i="8"/>
  <c r="P50" i="8"/>
  <c r="I50" i="8"/>
  <c r="O49" i="8"/>
  <c r="T49" i="8"/>
  <c r="P49" i="8"/>
  <c r="I49" i="8"/>
  <c r="O48" i="8"/>
  <c r="T48" i="8"/>
  <c r="P48" i="8"/>
  <c r="I48" i="8"/>
  <c r="O47" i="8"/>
  <c r="T47" i="8"/>
  <c r="P47" i="8"/>
  <c r="I47" i="8"/>
  <c r="O46" i="8"/>
  <c r="T46" i="8"/>
  <c r="P46" i="8"/>
  <c r="I46" i="8"/>
  <c r="O45" i="8"/>
  <c r="T45" i="8"/>
  <c r="P45" i="8"/>
  <c r="I45" i="8"/>
  <c r="O44" i="8"/>
  <c r="T44" i="8"/>
  <c r="P44" i="8"/>
  <c r="I44" i="8"/>
  <c r="O43" i="8"/>
  <c r="T43" i="8"/>
  <c r="P43" i="8"/>
  <c r="I43" i="8"/>
  <c r="O42" i="8"/>
  <c r="T42" i="8"/>
  <c r="P42" i="8"/>
  <c r="I42" i="8"/>
  <c r="O41" i="8"/>
  <c r="T41" i="8"/>
  <c r="P41" i="8"/>
  <c r="I41" i="8"/>
  <c r="O40" i="8"/>
  <c r="T40" i="8"/>
  <c r="P40" i="8"/>
  <c r="I40" i="8"/>
  <c r="O39" i="8"/>
  <c r="T39" i="8"/>
  <c r="P39" i="8"/>
  <c r="I39" i="8"/>
  <c r="O38" i="8"/>
  <c r="T38" i="8"/>
  <c r="P38" i="8"/>
  <c r="I38" i="8"/>
  <c r="O37" i="8"/>
  <c r="T37" i="8"/>
  <c r="P37" i="8"/>
  <c r="I37" i="8"/>
  <c r="O36" i="8"/>
  <c r="T36" i="8"/>
  <c r="P36" i="8"/>
  <c r="I36" i="8"/>
  <c r="O35" i="8"/>
  <c r="T35" i="8"/>
  <c r="P35" i="8"/>
  <c r="I35" i="8"/>
  <c r="O34" i="8"/>
  <c r="T34" i="8"/>
  <c r="P34" i="8"/>
  <c r="I34" i="8"/>
  <c r="O33" i="8"/>
  <c r="T33" i="8"/>
  <c r="P33" i="8"/>
  <c r="I33" i="8"/>
  <c r="O32" i="8"/>
  <c r="T32" i="8"/>
  <c r="P32" i="8"/>
  <c r="I32" i="8"/>
  <c r="O31" i="8"/>
  <c r="T31" i="8"/>
  <c r="P31" i="8"/>
  <c r="I31" i="8"/>
  <c r="O30" i="8"/>
  <c r="T30" i="8"/>
  <c r="P30" i="8"/>
  <c r="I30" i="8"/>
  <c r="O29" i="8"/>
  <c r="T29" i="8"/>
  <c r="P29" i="8"/>
  <c r="I29" i="8"/>
  <c r="O28" i="8"/>
  <c r="T28" i="8"/>
  <c r="P28" i="8"/>
  <c r="I28" i="8"/>
  <c r="T27" i="8"/>
  <c r="P27" i="8"/>
  <c r="I27" i="8"/>
  <c r="O26" i="8"/>
  <c r="T26" i="8"/>
  <c r="P26" i="8"/>
  <c r="I26" i="8"/>
  <c r="O25" i="8"/>
  <c r="T25" i="8"/>
  <c r="P25" i="8"/>
  <c r="H22" i="8"/>
  <c r="H23" i="8"/>
  <c r="I22" i="8"/>
  <c r="I23" i="8"/>
  <c r="I24" i="8"/>
  <c r="I25" i="8"/>
  <c r="O24" i="8"/>
  <c r="T24" i="8"/>
  <c r="P24" i="8"/>
  <c r="J23" i="8"/>
  <c r="R23" i="8"/>
  <c r="T23" i="8"/>
  <c r="S23" i="8"/>
  <c r="P23" i="8"/>
  <c r="O22" i="8"/>
  <c r="J22" i="8"/>
  <c r="R22" i="8"/>
  <c r="T22" i="8"/>
  <c r="S22" i="8"/>
  <c r="O21" i="8"/>
  <c r="H21" i="8"/>
  <c r="J21" i="8"/>
  <c r="R21" i="8"/>
  <c r="T21" i="8"/>
  <c r="S21" i="8"/>
  <c r="K21" i="8"/>
  <c r="L21" i="8"/>
  <c r="M21" i="8"/>
  <c r="I21" i="8"/>
  <c r="O20" i="8"/>
  <c r="H20" i="8"/>
  <c r="J20" i="8"/>
  <c r="R20" i="8"/>
  <c r="T20" i="8"/>
  <c r="S20" i="8"/>
  <c r="K20" i="8"/>
  <c r="L20" i="8"/>
  <c r="M20" i="8"/>
  <c r="I20" i="8"/>
  <c r="H19" i="8"/>
  <c r="J19" i="8"/>
  <c r="R19" i="8"/>
  <c r="T19" i="8"/>
  <c r="S19" i="8"/>
  <c r="K19" i="8"/>
  <c r="L19" i="8"/>
  <c r="M19" i="8"/>
  <c r="I19" i="8"/>
  <c r="O18" i="8"/>
  <c r="H18" i="8"/>
  <c r="J18" i="8"/>
  <c r="R18" i="8"/>
  <c r="T18" i="8"/>
  <c r="S18" i="8"/>
  <c r="K18" i="8"/>
  <c r="L18" i="8"/>
  <c r="M18" i="8"/>
  <c r="I18" i="8"/>
  <c r="O17" i="8"/>
  <c r="H17" i="8"/>
  <c r="J17" i="8"/>
  <c r="R17" i="8"/>
  <c r="T17" i="8"/>
  <c r="S17" i="8"/>
  <c r="K17" i="8"/>
  <c r="L17" i="8"/>
  <c r="M17" i="8"/>
  <c r="I17" i="8"/>
  <c r="O16" i="8"/>
  <c r="H16" i="8"/>
  <c r="J16" i="8"/>
  <c r="R16" i="8"/>
  <c r="T16" i="8"/>
  <c r="S16" i="8"/>
  <c r="L16" i="8"/>
  <c r="M16" i="8"/>
  <c r="K16" i="8"/>
  <c r="I16" i="8"/>
  <c r="J15" i="8"/>
  <c r="R15" i="8"/>
  <c r="T15" i="8"/>
  <c r="S15" i="8"/>
  <c r="M15" i="8"/>
  <c r="I15" i="8"/>
  <c r="O14" i="8"/>
  <c r="H14" i="8"/>
  <c r="J14" i="8"/>
  <c r="R14" i="8"/>
  <c r="T14" i="8"/>
  <c r="S14" i="8"/>
  <c r="M14" i="8"/>
  <c r="I14" i="8"/>
  <c r="O13" i="8"/>
  <c r="J13" i="8"/>
  <c r="R13" i="8"/>
  <c r="T13" i="8"/>
  <c r="S13" i="8"/>
  <c r="M13" i="8"/>
  <c r="I13" i="8"/>
  <c r="O12" i="8"/>
  <c r="H12" i="8"/>
  <c r="J12" i="8"/>
  <c r="R12" i="8"/>
  <c r="T12" i="8"/>
  <c r="S12" i="8"/>
  <c r="M12" i="8"/>
  <c r="I12" i="8"/>
  <c r="H11" i="8"/>
  <c r="J11" i="8"/>
  <c r="R11" i="8"/>
  <c r="T11" i="8"/>
  <c r="S11" i="8"/>
  <c r="M11" i="8"/>
  <c r="I11" i="8"/>
  <c r="O10" i="8"/>
  <c r="J10" i="8"/>
  <c r="R10" i="8"/>
  <c r="T10" i="8"/>
  <c r="S10" i="8"/>
  <c r="M10" i="8"/>
  <c r="I10" i="8"/>
  <c r="O9" i="8"/>
  <c r="J9" i="8"/>
  <c r="R9" i="8"/>
  <c r="T9" i="8"/>
  <c r="S9" i="8"/>
  <c r="M9" i="8"/>
  <c r="I9" i="8"/>
  <c r="O8" i="8"/>
  <c r="H8" i="8"/>
  <c r="J8" i="8"/>
  <c r="R8" i="8"/>
  <c r="T8" i="8"/>
  <c r="S8" i="8"/>
  <c r="M8" i="8"/>
  <c r="I8" i="8"/>
  <c r="H7" i="8"/>
  <c r="J7" i="8"/>
  <c r="R7" i="8"/>
  <c r="T7" i="8"/>
  <c r="S7" i="8"/>
  <c r="M7" i="8"/>
  <c r="I7" i="8"/>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70" i="7"/>
  <c r="J78" i="7"/>
  <c r="J80" i="7"/>
  <c r="J83" i="7"/>
  <c r="J84" i="7"/>
  <c r="J85" i="7"/>
  <c r="J64" i="7"/>
  <c r="L72" i="7"/>
  <c r="J63" i="7"/>
  <c r="K72" i="7"/>
  <c r="J72" i="7"/>
  <c r="L71" i="7"/>
  <c r="K71" i="7"/>
  <c r="J71" i="7"/>
  <c r="L70" i="7"/>
  <c r="K70" i="7"/>
  <c r="G5" i="7"/>
  <c r="H5" i="7"/>
  <c r="G6" i="7"/>
  <c r="H6"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H64" i="7"/>
  <c r="H63" i="7"/>
  <c r="H62" i="7"/>
  <c r="D62" i="6"/>
  <c r="D61" i="6"/>
  <c r="E62" i="6"/>
  <c r="B62" i="6"/>
  <c r="B61" i="6"/>
  <c r="C62" i="6"/>
  <c r="D60" i="6"/>
  <c r="E61" i="6"/>
  <c r="B60" i="6"/>
  <c r="C61" i="6"/>
  <c r="D59" i="6"/>
  <c r="E60" i="6"/>
  <c r="B59" i="6"/>
  <c r="C60" i="6"/>
  <c r="D58" i="6"/>
  <c r="E59" i="6"/>
  <c r="B58" i="6"/>
  <c r="C59" i="6"/>
  <c r="D57" i="6"/>
  <c r="E58" i="6"/>
  <c r="B57" i="6"/>
  <c r="C58" i="6"/>
  <c r="D56" i="6"/>
  <c r="E57" i="6"/>
  <c r="B56" i="6"/>
  <c r="C57" i="6"/>
  <c r="D55" i="6"/>
  <c r="E56" i="6"/>
  <c r="B55" i="6"/>
  <c r="C56" i="6"/>
  <c r="D54" i="6"/>
  <c r="E55" i="6"/>
  <c r="B54" i="6"/>
  <c r="C55" i="6"/>
  <c r="D53" i="6"/>
  <c r="E54" i="6"/>
  <c r="B53" i="6"/>
  <c r="C54" i="6"/>
  <c r="D52" i="6"/>
  <c r="E53" i="6"/>
  <c r="B52" i="6"/>
  <c r="C53" i="6"/>
  <c r="D51" i="6"/>
  <c r="E52" i="6"/>
  <c r="B51" i="6"/>
  <c r="C52" i="6"/>
  <c r="D50" i="6"/>
  <c r="E51" i="6"/>
  <c r="B50" i="6"/>
  <c r="C51" i="6"/>
  <c r="D49" i="6"/>
  <c r="E50" i="6"/>
  <c r="B49" i="6"/>
  <c r="C50" i="6"/>
  <c r="D48" i="6"/>
  <c r="E49" i="6"/>
  <c r="B48" i="6"/>
  <c r="C49" i="6"/>
  <c r="D47" i="6"/>
  <c r="E48" i="6"/>
  <c r="B47" i="6"/>
  <c r="C48" i="6"/>
  <c r="D46" i="6"/>
  <c r="E47" i="6"/>
  <c r="B46" i="6"/>
  <c r="C47" i="6"/>
  <c r="D45" i="6"/>
  <c r="E46" i="6"/>
  <c r="B45" i="6"/>
  <c r="C46" i="6"/>
  <c r="D44" i="6"/>
  <c r="E45" i="6"/>
  <c r="B44" i="6"/>
  <c r="C45" i="6"/>
  <c r="D43" i="6"/>
  <c r="E44" i="6"/>
  <c r="B43" i="6"/>
  <c r="C44" i="6"/>
  <c r="D42" i="6"/>
  <c r="E43" i="6"/>
  <c r="B42" i="6"/>
  <c r="C43" i="6"/>
  <c r="D41" i="6"/>
  <c r="E42" i="6"/>
  <c r="B41" i="6"/>
  <c r="C42" i="6"/>
  <c r="D40" i="6"/>
  <c r="E41" i="6"/>
  <c r="B40" i="6"/>
  <c r="C41" i="6"/>
  <c r="D39" i="6"/>
  <c r="E40" i="6"/>
  <c r="B39" i="6"/>
  <c r="C40" i="6"/>
  <c r="D38" i="6"/>
  <c r="E39" i="6"/>
  <c r="B38" i="6"/>
  <c r="C39" i="6"/>
  <c r="D37" i="6"/>
  <c r="E38" i="6"/>
  <c r="B37" i="6"/>
  <c r="C38" i="6"/>
  <c r="D36" i="6"/>
  <c r="E37" i="6"/>
  <c r="B36" i="6"/>
  <c r="C37" i="6"/>
  <c r="D35" i="6"/>
  <c r="E36" i="6"/>
  <c r="B35" i="6"/>
  <c r="C36" i="6"/>
  <c r="D34" i="6"/>
  <c r="E35" i="6"/>
  <c r="B34" i="6"/>
  <c r="C35" i="6"/>
  <c r="D33" i="6"/>
  <c r="E34" i="6"/>
  <c r="B33" i="6"/>
  <c r="C34" i="6"/>
  <c r="D32" i="6"/>
  <c r="E33" i="6"/>
  <c r="B32" i="6"/>
  <c r="C33" i="6"/>
  <c r="D31" i="6"/>
  <c r="E32" i="6"/>
  <c r="B31" i="6"/>
  <c r="C32" i="6"/>
  <c r="D30" i="6"/>
  <c r="E31" i="6"/>
  <c r="B30" i="6"/>
  <c r="C31" i="6"/>
  <c r="D29" i="6"/>
  <c r="E30" i="6"/>
  <c r="B29" i="6"/>
  <c r="C30" i="6"/>
  <c r="D28" i="6"/>
  <c r="E29" i="6"/>
  <c r="B28" i="6"/>
  <c r="C29" i="6"/>
  <c r="D27" i="6"/>
  <c r="E28" i="6"/>
  <c r="B27" i="6"/>
  <c r="C28" i="6"/>
  <c r="D26" i="6"/>
  <c r="E27" i="6"/>
  <c r="B26" i="6"/>
  <c r="C27" i="6"/>
  <c r="D25" i="6"/>
  <c r="E26" i="6"/>
  <c r="B25" i="6"/>
  <c r="C26" i="6"/>
  <c r="D24" i="6"/>
  <c r="E25" i="6"/>
  <c r="B24" i="6"/>
  <c r="C25" i="6"/>
  <c r="D23" i="6"/>
  <c r="E24" i="6"/>
  <c r="B23" i="6"/>
  <c r="C24" i="6"/>
  <c r="D22" i="6"/>
  <c r="E23" i="6"/>
  <c r="B22" i="6"/>
  <c r="C23" i="6"/>
  <c r="D21" i="6"/>
  <c r="E22" i="6"/>
  <c r="B21" i="6"/>
  <c r="C22" i="6"/>
  <c r="D20" i="6"/>
  <c r="E21" i="6"/>
  <c r="B20" i="6"/>
  <c r="C21" i="6"/>
  <c r="D19" i="6"/>
  <c r="E20" i="6"/>
  <c r="B19" i="6"/>
  <c r="C20" i="6"/>
  <c r="D18" i="6"/>
  <c r="E19" i="6"/>
  <c r="B18" i="6"/>
  <c r="C19" i="6"/>
  <c r="D17" i="6"/>
  <c r="E18" i="6"/>
  <c r="B17" i="6"/>
  <c r="C18" i="6"/>
  <c r="D16" i="6"/>
  <c r="E17" i="6"/>
  <c r="B16" i="6"/>
  <c r="C17" i="6"/>
  <c r="D15" i="6"/>
  <c r="E16" i="6"/>
  <c r="B15" i="6"/>
  <c r="C16" i="6"/>
  <c r="D14" i="6"/>
  <c r="E15" i="6"/>
  <c r="B14" i="6"/>
  <c r="C15" i="6"/>
  <c r="D13" i="6"/>
  <c r="E14" i="6"/>
  <c r="B13" i="6"/>
  <c r="C14" i="6"/>
  <c r="D12" i="6"/>
  <c r="E13" i="6"/>
  <c r="B12" i="6"/>
  <c r="C13" i="6"/>
  <c r="D11" i="6"/>
  <c r="E12" i="6"/>
  <c r="B11" i="6"/>
  <c r="C12" i="6"/>
  <c r="D10" i="6"/>
  <c r="E11" i="6"/>
  <c r="B10" i="6"/>
  <c r="C11" i="6"/>
  <c r="D9" i="6"/>
  <c r="E10" i="6"/>
  <c r="B9" i="6"/>
  <c r="C10" i="6"/>
  <c r="D8" i="6"/>
  <c r="E9" i="6"/>
  <c r="B8" i="6"/>
  <c r="C9" i="6"/>
  <c r="D7" i="6"/>
  <c r="E8" i="6"/>
  <c r="B7" i="6"/>
  <c r="C8" i="6"/>
  <c r="D6" i="6"/>
  <c r="E7" i="6"/>
  <c r="B6" i="6"/>
  <c r="C7" i="6"/>
  <c r="D5" i="6"/>
  <c r="E6" i="6"/>
  <c r="B5" i="6"/>
  <c r="C6" i="6"/>
  <c r="D4" i="6"/>
  <c r="E5" i="6"/>
  <c r="B4" i="6"/>
  <c r="C5" i="6"/>
  <c r="D3" i="6"/>
  <c r="E4" i="6"/>
  <c r="B3" i="6"/>
  <c r="C4" i="6"/>
  <c r="D2" i="6"/>
  <c r="E3" i="6"/>
  <c r="B2" i="6"/>
  <c r="C3" i="6"/>
  <c r="D13" i="5"/>
  <c r="D12" i="5"/>
  <c r="E13" i="5"/>
  <c r="B13" i="5"/>
  <c r="B12" i="5"/>
  <c r="C13" i="5"/>
  <c r="D11" i="5"/>
  <c r="E12" i="5"/>
  <c r="B11" i="5"/>
  <c r="C12" i="5"/>
  <c r="D10" i="5"/>
  <c r="E11" i="5"/>
  <c r="B10" i="5"/>
  <c r="C11" i="5"/>
  <c r="D9" i="5"/>
  <c r="E10" i="5"/>
  <c r="B9" i="5"/>
  <c r="C10" i="5"/>
  <c r="D8" i="5"/>
  <c r="E9" i="5"/>
  <c r="B8" i="5"/>
  <c r="C9" i="5"/>
  <c r="D7" i="5"/>
  <c r="E8" i="5"/>
  <c r="B7" i="5"/>
  <c r="C8" i="5"/>
  <c r="D6" i="5"/>
  <c r="E7" i="5"/>
  <c r="B6" i="5"/>
  <c r="C7" i="5"/>
  <c r="D5" i="5"/>
  <c r="E6" i="5"/>
  <c r="B5" i="5"/>
  <c r="C6" i="5"/>
  <c r="D4" i="5"/>
  <c r="E5" i="5"/>
  <c r="B4" i="5"/>
  <c r="C5" i="5"/>
  <c r="D3" i="5"/>
  <c r="E4" i="5"/>
  <c r="B3" i="5"/>
  <c r="C4" i="5"/>
  <c r="D2" i="5"/>
  <c r="E3" i="5"/>
  <c r="B2" i="5"/>
  <c r="C3" i="5"/>
  <c r="E5" i="4"/>
  <c r="E6" i="4"/>
  <c r="E7" i="4"/>
  <c r="E8" i="4"/>
  <c r="E9" i="4"/>
  <c r="E10" i="4"/>
  <c r="E11" i="4"/>
  <c r="E12" i="4"/>
  <c r="E13" i="4"/>
  <c r="E14" i="4"/>
  <c r="E15" i="4"/>
  <c r="E16" i="4"/>
  <c r="E17" i="4"/>
  <c r="F5" i="4"/>
  <c r="G5" i="4"/>
  <c r="F6" i="4"/>
  <c r="G6" i="4"/>
  <c r="F7" i="4"/>
  <c r="G7" i="4"/>
  <c r="F8" i="4"/>
  <c r="G8" i="4"/>
  <c r="F9" i="4"/>
  <c r="G9" i="4"/>
  <c r="F10" i="4"/>
  <c r="G10" i="4"/>
  <c r="F11" i="4"/>
  <c r="G11" i="4"/>
  <c r="F12" i="4"/>
  <c r="G12" i="4"/>
  <c r="F13" i="4"/>
  <c r="G13" i="4"/>
  <c r="F14" i="4"/>
  <c r="G14" i="4"/>
  <c r="F15" i="4"/>
  <c r="G15" i="4"/>
  <c r="F16" i="4"/>
  <c r="G16" i="4"/>
  <c r="G18" i="4"/>
  <c r="G19" i="4"/>
  <c r="G20" i="4"/>
  <c r="G21" i="4"/>
  <c r="AH152" i="3"/>
  <c r="AH30" i="3"/>
  <c r="L48" i="3"/>
  <c r="N48" i="3"/>
  <c r="K49" i="3"/>
  <c r="O49" i="3"/>
  <c r="O48" i="3"/>
  <c r="P49" i="3"/>
  <c r="P48" i="3"/>
  <c r="Q49" i="3"/>
  <c r="Q48" i="3"/>
  <c r="S49" i="3"/>
  <c r="S48" i="3"/>
  <c r="T49" i="3"/>
  <c r="T48" i="3"/>
  <c r="U48" i="3"/>
  <c r="V48" i="3"/>
  <c r="X49" i="3"/>
  <c r="X48" i="3"/>
  <c r="Y48" i="3"/>
  <c r="Z48" i="3"/>
  <c r="AA48" i="3"/>
  <c r="AC48" i="3"/>
  <c r="AH50" i="3"/>
  <c r="AF50" i="3"/>
  <c r="AE50" i="3"/>
  <c r="AD50" i="3"/>
  <c r="AC50" i="3"/>
  <c r="AA50" i="3"/>
  <c r="Z50" i="3"/>
  <c r="Y50" i="3"/>
  <c r="X50" i="3"/>
  <c r="V50" i="3"/>
  <c r="U50" i="3"/>
  <c r="T50" i="3"/>
  <c r="S50" i="3"/>
  <c r="Q50" i="3"/>
  <c r="P50" i="3"/>
  <c r="AI152" i="3"/>
  <c r="AI30" i="3"/>
  <c r="AD48" i="3"/>
  <c r="AI50" i="3"/>
  <c r="AJ152" i="3"/>
  <c r="AJ30" i="3"/>
  <c r="AE48" i="3"/>
  <c r="AJ50" i="3"/>
  <c r="AK152" i="3"/>
  <c r="AK30" i="3"/>
  <c r="AF48" i="3"/>
  <c r="AK50" i="3"/>
  <c r="AL30" i="3"/>
  <c r="AG13" i="3"/>
  <c r="AG15" i="3"/>
  <c r="AG16" i="3"/>
  <c r="AC152" i="3"/>
  <c r="AC30" i="3"/>
  <c r="AD152" i="3"/>
  <c r="AD30" i="3"/>
  <c r="AE152" i="3"/>
  <c r="AE30" i="3"/>
  <c r="AF152" i="3"/>
  <c r="AF30" i="3"/>
  <c r="AG30" i="3"/>
  <c r="X152" i="3"/>
  <c r="X30" i="3"/>
  <c r="Y152" i="3"/>
  <c r="Y30" i="3"/>
  <c r="Z152" i="3"/>
  <c r="Z30" i="3"/>
  <c r="AA152" i="3"/>
  <c r="AA30" i="3"/>
  <c r="AB30" i="3"/>
  <c r="S152" i="3"/>
  <c r="S30" i="3"/>
  <c r="T152" i="3"/>
  <c r="T30" i="3"/>
  <c r="U152" i="3"/>
  <c r="U30" i="3"/>
  <c r="V152" i="3"/>
  <c r="V30" i="3"/>
  <c r="W30" i="3"/>
  <c r="AH150" i="3"/>
  <c r="AI150" i="3"/>
  <c r="AJ150" i="3"/>
  <c r="AK150" i="3"/>
  <c r="AK147" i="3"/>
  <c r="AJ147" i="3"/>
  <c r="AI147" i="3"/>
  <c r="AH147" i="3"/>
  <c r="AC150" i="3"/>
  <c r="AD150" i="3"/>
  <c r="AE150" i="3"/>
  <c r="AF150" i="3"/>
  <c r="AF147" i="3"/>
  <c r="AE147" i="3"/>
  <c r="AD147" i="3"/>
  <c r="AC147" i="3"/>
  <c r="X150" i="3"/>
  <c r="Y150" i="3"/>
  <c r="Z150" i="3"/>
  <c r="AA150" i="3"/>
  <c r="AA147" i="3"/>
  <c r="Z147" i="3"/>
  <c r="Y147" i="3"/>
  <c r="X147" i="3"/>
  <c r="S150" i="3"/>
  <c r="T150" i="3"/>
  <c r="U150" i="3"/>
  <c r="V150" i="3"/>
  <c r="V147" i="3"/>
  <c r="U147" i="3"/>
  <c r="T147" i="3"/>
  <c r="S147" i="3"/>
  <c r="N151" i="3"/>
  <c r="Q147" i="3"/>
  <c r="P147" i="3"/>
  <c r="O147" i="3"/>
  <c r="N147" i="3"/>
  <c r="L147" i="3"/>
  <c r="L270" i="3"/>
  <c r="N270" i="3"/>
  <c r="O270" i="3"/>
  <c r="P270" i="3"/>
  <c r="P264" i="3"/>
  <c r="P272" i="3"/>
  <c r="L215" i="3"/>
  <c r="N215" i="3"/>
  <c r="O215" i="3"/>
  <c r="P215" i="3"/>
  <c r="Q270" i="3"/>
  <c r="Q264" i="3"/>
  <c r="Q272" i="3"/>
  <c r="Q215" i="3"/>
  <c r="L151" i="3"/>
  <c r="L115" i="3"/>
  <c r="L92" i="3"/>
  <c r="J93" i="3"/>
  <c r="L43" i="3"/>
  <c r="L94" i="3"/>
  <c r="L96" i="3"/>
  <c r="L14" i="3"/>
  <c r="L15" i="3"/>
  <c r="L117" i="3"/>
  <c r="L118" i="3"/>
  <c r="L120" i="3"/>
  <c r="L121" i="3"/>
  <c r="M14" i="3"/>
  <c r="M15" i="3"/>
  <c r="L30" i="3"/>
  <c r="M30" i="3"/>
  <c r="L171" i="3"/>
  <c r="M56" i="3"/>
  <c r="M49" i="3"/>
  <c r="N92" i="3"/>
  <c r="O92" i="3"/>
  <c r="P92" i="3"/>
  <c r="Q92" i="3"/>
  <c r="Q94" i="3"/>
  <c r="Q96" i="3"/>
  <c r="Q14" i="3"/>
  <c r="Q115" i="3"/>
  <c r="Q15" i="3"/>
  <c r="O94" i="3"/>
  <c r="O96" i="3"/>
  <c r="O14" i="3"/>
  <c r="N94" i="3"/>
  <c r="N96" i="3"/>
  <c r="N14" i="3"/>
  <c r="P94" i="3"/>
  <c r="P96" i="3"/>
  <c r="P14" i="3"/>
  <c r="S92" i="3"/>
  <c r="S94" i="3"/>
  <c r="S96" i="3"/>
  <c r="S14" i="3"/>
  <c r="T92" i="3"/>
  <c r="T94" i="3"/>
  <c r="T96" i="3"/>
  <c r="T14" i="3"/>
  <c r="U92" i="3"/>
  <c r="U94" i="3"/>
  <c r="U96" i="3"/>
  <c r="U14" i="3"/>
  <c r="V92" i="3"/>
  <c r="V94" i="3"/>
  <c r="V96" i="3"/>
  <c r="V14" i="3"/>
  <c r="V115" i="3"/>
  <c r="V15" i="3"/>
  <c r="X92" i="3"/>
  <c r="X94" i="3"/>
  <c r="X96" i="3"/>
  <c r="X14" i="3"/>
  <c r="Y92" i="3"/>
  <c r="Y94" i="3"/>
  <c r="Y96" i="3"/>
  <c r="Y14" i="3"/>
  <c r="Z92" i="3"/>
  <c r="Z94" i="3"/>
  <c r="Z96" i="3"/>
  <c r="Z14" i="3"/>
  <c r="AA92" i="3"/>
  <c r="AA94" i="3"/>
  <c r="AA96" i="3"/>
  <c r="AA14" i="3"/>
  <c r="AA115" i="3"/>
  <c r="AA15" i="3"/>
  <c r="AC92" i="3"/>
  <c r="AC94" i="3"/>
  <c r="AC96" i="3"/>
  <c r="AC14" i="3"/>
  <c r="AD92" i="3"/>
  <c r="AD94" i="3"/>
  <c r="AD96" i="3"/>
  <c r="AD14" i="3"/>
  <c r="AE92" i="3"/>
  <c r="AE94" i="3"/>
  <c r="AE96" i="3"/>
  <c r="AE14" i="3"/>
  <c r="AF92" i="3"/>
  <c r="AF94" i="3"/>
  <c r="AF96" i="3"/>
  <c r="AF14" i="3"/>
  <c r="AF115" i="3"/>
  <c r="AF15" i="3"/>
  <c r="AH92" i="3"/>
  <c r="AH94" i="3"/>
  <c r="AH96" i="3"/>
  <c r="AH14" i="3"/>
  <c r="AD49" i="3"/>
  <c r="AI92" i="3"/>
  <c r="AI94" i="3"/>
  <c r="AI96" i="3"/>
  <c r="AI14" i="3"/>
  <c r="AE49" i="3"/>
  <c r="AJ92" i="3"/>
  <c r="AJ94" i="3"/>
  <c r="AJ96" i="3"/>
  <c r="AJ14" i="3"/>
  <c r="AL242" i="3"/>
  <c r="AF49" i="3"/>
  <c r="AK92" i="3"/>
  <c r="AK94" i="3"/>
  <c r="AK96" i="3"/>
  <c r="AK14" i="3"/>
  <c r="AK115" i="3"/>
  <c r="AK15" i="3"/>
  <c r="AK192" i="3"/>
  <c r="AL192" i="3"/>
  <c r="AL236" i="3"/>
  <c r="AL194" i="3"/>
  <c r="AL205" i="3"/>
  <c r="AL235" i="3"/>
  <c r="AL234" i="3"/>
  <c r="S270" i="3"/>
  <c r="S215" i="3"/>
  <c r="T270" i="3"/>
  <c r="T215" i="3"/>
  <c r="U270" i="3"/>
  <c r="U215" i="3"/>
  <c r="V270" i="3"/>
  <c r="V215" i="3"/>
  <c r="X270" i="3"/>
  <c r="X215" i="3"/>
  <c r="Y270" i="3"/>
  <c r="Y215" i="3"/>
  <c r="Z270" i="3"/>
  <c r="Z215" i="3"/>
  <c r="AA270" i="3"/>
  <c r="AA215" i="3"/>
  <c r="AC270" i="3"/>
  <c r="AC215" i="3"/>
  <c r="AD270" i="3"/>
  <c r="AD215" i="3"/>
  <c r="AE270" i="3"/>
  <c r="AE215" i="3"/>
  <c r="AF270" i="3"/>
  <c r="AF215" i="3"/>
  <c r="AH270" i="3"/>
  <c r="AH215" i="3"/>
  <c r="AI270" i="3"/>
  <c r="AI215" i="3"/>
  <c r="AJ270" i="3"/>
  <c r="AJ215" i="3"/>
  <c r="AK270" i="3"/>
  <c r="AK215" i="3"/>
  <c r="AL215" i="3"/>
  <c r="L122" i="3"/>
  <c r="L126" i="3"/>
  <c r="R270" i="3"/>
  <c r="N264" i="3"/>
  <c r="O264" i="3"/>
  <c r="R264" i="3"/>
  <c r="R272" i="3"/>
  <c r="R260" i="3"/>
  <c r="M270" i="3"/>
  <c r="M264" i="3"/>
  <c r="M272" i="3"/>
  <c r="M260" i="3"/>
  <c r="M247" i="3"/>
  <c r="M250" i="3"/>
  <c r="W270" i="3"/>
  <c r="W272" i="3"/>
  <c r="W260" i="3"/>
  <c r="AB270" i="3"/>
  <c r="AB272" i="3"/>
  <c r="AB260" i="3"/>
  <c r="AG270" i="3"/>
  <c r="AG272" i="3"/>
  <c r="AG260" i="3"/>
  <c r="AH272" i="3"/>
  <c r="AI272" i="3"/>
  <c r="AJ272" i="3"/>
  <c r="AK272" i="3"/>
  <c r="AL14" i="3"/>
  <c r="AL186" i="3"/>
  <c r="AL225" i="3"/>
  <c r="AG242" i="3"/>
  <c r="AG192" i="3"/>
  <c r="AG236" i="3"/>
  <c r="AG194" i="3"/>
  <c r="AG205" i="3"/>
  <c r="AG235" i="3"/>
  <c r="AG234" i="3"/>
  <c r="AG215" i="3"/>
  <c r="AC272" i="3"/>
  <c r="AD272" i="3"/>
  <c r="AE272" i="3"/>
  <c r="AF272" i="3"/>
  <c r="AG14" i="3"/>
  <c r="AG186" i="3"/>
  <c r="AG225" i="3"/>
  <c r="AB242" i="3"/>
  <c r="AB192" i="3"/>
  <c r="AB236" i="3"/>
  <c r="AB194" i="3"/>
  <c r="AB205" i="3"/>
  <c r="AB235" i="3"/>
  <c r="AB234" i="3"/>
  <c r="AB215" i="3"/>
  <c r="X272" i="3"/>
  <c r="Y272" i="3"/>
  <c r="Z272" i="3"/>
  <c r="AA272" i="3"/>
  <c r="AB14" i="3"/>
  <c r="AB186" i="3"/>
  <c r="AB225" i="3"/>
  <c r="W242" i="3"/>
  <c r="W192" i="3"/>
  <c r="W236" i="3"/>
  <c r="W194" i="3"/>
  <c r="W205" i="3"/>
  <c r="W235" i="3"/>
  <c r="W234" i="3"/>
  <c r="W215" i="3"/>
  <c r="S272" i="3"/>
  <c r="T272" i="3"/>
  <c r="U272" i="3"/>
  <c r="V272" i="3"/>
  <c r="W14" i="3"/>
  <c r="W186" i="3"/>
  <c r="W225" i="3"/>
  <c r="R192" i="3"/>
  <c r="R242" i="3"/>
  <c r="R236" i="3"/>
  <c r="R194" i="3"/>
  <c r="R205" i="3"/>
  <c r="R235" i="3"/>
  <c r="R234" i="3"/>
  <c r="R215" i="3"/>
  <c r="O272" i="3"/>
  <c r="N272" i="3"/>
  <c r="R14" i="3"/>
  <c r="R186" i="3"/>
  <c r="R225" i="3"/>
  <c r="AL267" i="3"/>
  <c r="AL266" i="3"/>
  <c r="AL265" i="3"/>
  <c r="AG267" i="3"/>
  <c r="AG266" i="3"/>
  <c r="AG265" i="3"/>
  <c r="AB267" i="3"/>
  <c r="AB266" i="3"/>
  <c r="AB265" i="3"/>
  <c r="W267" i="3"/>
  <c r="W266" i="3"/>
  <c r="W265" i="3"/>
  <c r="R267" i="3"/>
  <c r="R266" i="3"/>
  <c r="R265" i="3"/>
  <c r="AL282" i="3"/>
  <c r="AG282" i="3"/>
  <c r="AB282" i="3"/>
  <c r="W282" i="3"/>
  <c r="R282" i="3"/>
  <c r="AL260" i="3"/>
  <c r="AL291" i="3"/>
  <c r="AL245" i="3"/>
  <c r="AL244" i="3"/>
  <c r="AL289" i="3"/>
  <c r="AL247" i="3"/>
  <c r="AL288" i="3"/>
  <c r="AG291" i="3"/>
  <c r="AG245" i="3"/>
  <c r="AG244" i="3"/>
  <c r="AG289" i="3"/>
  <c r="AG247" i="3"/>
  <c r="AG288" i="3"/>
  <c r="AB291" i="3"/>
  <c r="AB245" i="3"/>
  <c r="AB244" i="3"/>
  <c r="AB289" i="3"/>
  <c r="AB247" i="3"/>
  <c r="AB288" i="3"/>
  <c r="W291" i="3"/>
  <c r="W245" i="3"/>
  <c r="W244" i="3"/>
  <c r="W289" i="3"/>
  <c r="W247" i="3"/>
  <c r="W288" i="3"/>
  <c r="R291" i="3"/>
  <c r="R245" i="3"/>
  <c r="R244" i="3"/>
  <c r="R289" i="3"/>
  <c r="R247" i="3"/>
  <c r="R288" i="3"/>
  <c r="AL56" i="3"/>
  <c r="AH49" i="3"/>
  <c r="AI49" i="3"/>
  <c r="AJ49" i="3"/>
  <c r="AK49" i="3"/>
  <c r="AH48" i="3"/>
  <c r="AI48" i="3"/>
  <c r="AJ48" i="3"/>
  <c r="AK48" i="3"/>
  <c r="AG56" i="3"/>
  <c r="AB56" i="3"/>
  <c r="W56" i="3"/>
  <c r="R56" i="3"/>
  <c r="C310" i="3"/>
  <c r="C312" i="3"/>
  <c r="M291" i="3"/>
  <c r="M288" i="3"/>
  <c r="M206" i="3"/>
  <c r="M282" i="3"/>
  <c r="M192" i="3"/>
  <c r="M236" i="3"/>
  <c r="M194" i="3"/>
  <c r="M205" i="3"/>
  <c r="M235" i="3"/>
  <c r="M186" i="3"/>
  <c r="M225" i="3"/>
  <c r="L64" i="3"/>
  <c r="K62" i="3"/>
  <c r="L59" i="3"/>
  <c r="L57" i="3"/>
  <c r="L67" i="3"/>
  <c r="J65" i="3"/>
  <c r="K65" i="3"/>
  <c r="M60" i="3"/>
  <c r="I49" i="3"/>
  <c r="C326" i="3"/>
  <c r="Q150" i="3"/>
  <c r="P150" i="3"/>
  <c r="O150" i="3"/>
  <c r="N150" i="3"/>
  <c r="K150" i="3"/>
  <c r="C314" i="3"/>
  <c r="C305" i="3"/>
  <c r="O162" i="3"/>
  <c r="P162" i="3"/>
  <c r="Q162" i="3"/>
  <c r="N162" i="3"/>
  <c r="L161" i="3"/>
  <c r="L38" i="3"/>
  <c r="N38" i="3"/>
  <c r="N268" i="3"/>
  <c r="O161" i="3"/>
  <c r="O38" i="3"/>
  <c r="O268" i="3"/>
  <c r="P38" i="3"/>
  <c r="P268" i="3"/>
  <c r="Q161" i="3"/>
  <c r="Q38" i="3"/>
  <c r="Q268" i="3"/>
  <c r="R268" i="3"/>
  <c r="L268" i="3"/>
  <c r="M268" i="3"/>
  <c r="S38" i="3"/>
  <c r="S268" i="3"/>
  <c r="T38" i="3"/>
  <c r="T268" i="3"/>
  <c r="U38" i="3"/>
  <c r="U268" i="3"/>
  <c r="V38" i="3"/>
  <c r="V268" i="3"/>
  <c r="W268" i="3"/>
  <c r="X38" i="3"/>
  <c r="X268" i="3"/>
  <c r="Y38" i="3"/>
  <c r="Y268" i="3"/>
  <c r="Z38" i="3"/>
  <c r="Z268" i="3"/>
  <c r="AA38" i="3"/>
  <c r="AA268" i="3"/>
  <c r="AB268" i="3"/>
  <c r="AC38" i="3"/>
  <c r="AC268" i="3"/>
  <c r="AD38" i="3"/>
  <c r="AD268" i="3"/>
  <c r="AE38" i="3"/>
  <c r="AE268" i="3"/>
  <c r="AF38" i="3"/>
  <c r="AF268" i="3"/>
  <c r="AG268" i="3"/>
  <c r="AH38" i="3"/>
  <c r="AH268" i="3"/>
  <c r="AI38" i="3"/>
  <c r="AI268" i="3"/>
  <c r="AJ38" i="3"/>
  <c r="AJ268" i="3"/>
  <c r="AK38" i="3"/>
  <c r="AK268" i="3"/>
  <c r="AK282" i="3"/>
  <c r="L39" i="3"/>
  <c r="N39" i="3"/>
  <c r="O39" i="3"/>
  <c r="P39" i="3"/>
  <c r="Q39" i="3"/>
  <c r="S39" i="3"/>
  <c r="T39" i="3"/>
  <c r="U39" i="3"/>
  <c r="V39" i="3"/>
  <c r="X39" i="3"/>
  <c r="Y39" i="3"/>
  <c r="Z39" i="3"/>
  <c r="AA39" i="3"/>
  <c r="AC39" i="3"/>
  <c r="AD39" i="3"/>
  <c r="AE39" i="3"/>
  <c r="AF39" i="3"/>
  <c r="AH39" i="3"/>
  <c r="AI39" i="3"/>
  <c r="AJ39" i="3"/>
  <c r="AK39" i="3"/>
  <c r="AJ282" i="3"/>
  <c r="AI282" i="3"/>
  <c r="AH282" i="3"/>
  <c r="AF282" i="3"/>
  <c r="AE282" i="3"/>
  <c r="AD282" i="3"/>
  <c r="AC282" i="3"/>
  <c r="AA282" i="3"/>
  <c r="Z282" i="3"/>
  <c r="Y282" i="3"/>
  <c r="X282" i="3"/>
  <c r="V282" i="3"/>
  <c r="U282" i="3"/>
  <c r="T282" i="3"/>
  <c r="S282" i="3"/>
  <c r="O282" i="3"/>
  <c r="P282" i="3"/>
  <c r="Q282" i="3"/>
  <c r="N282" i="3"/>
  <c r="L282" i="3"/>
  <c r="L169" i="3"/>
  <c r="AL246" i="3"/>
  <c r="AL243" i="3"/>
  <c r="AG246" i="3"/>
  <c r="AG243" i="3"/>
  <c r="AL273" i="3"/>
  <c r="AG273" i="3"/>
  <c r="AB273" i="3"/>
  <c r="W273" i="3"/>
  <c r="R273" i="3"/>
  <c r="M273" i="3"/>
  <c r="M246" i="3"/>
  <c r="M256" i="3"/>
  <c r="AL212" i="3"/>
  <c r="AG212" i="3"/>
  <c r="AB212" i="3"/>
  <c r="W212" i="3"/>
  <c r="M265" i="3"/>
  <c r="M266" i="3"/>
  <c r="M267" i="3"/>
  <c r="W248" i="3"/>
  <c r="W246" i="3"/>
  <c r="W243" i="3"/>
  <c r="AB248" i="3"/>
  <c r="AB246" i="3"/>
  <c r="AB243" i="3"/>
  <c r="R212" i="3"/>
  <c r="N191" i="3"/>
  <c r="O191" i="3"/>
  <c r="P191" i="3"/>
  <c r="R191" i="3"/>
  <c r="S191" i="3"/>
  <c r="T191" i="3"/>
  <c r="U191" i="3"/>
  <c r="V191" i="3"/>
  <c r="W191" i="3"/>
  <c r="X191" i="3"/>
  <c r="Y191" i="3"/>
  <c r="Z191" i="3"/>
  <c r="AA191" i="3"/>
  <c r="AB191" i="3"/>
  <c r="AC191" i="3"/>
  <c r="AD191" i="3"/>
  <c r="AE191" i="3"/>
  <c r="AF191" i="3"/>
  <c r="AG191" i="3"/>
  <c r="AH191" i="3"/>
  <c r="AI191" i="3"/>
  <c r="AJ191" i="3"/>
  <c r="AK191" i="3"/>
  <c r="AL191" i="3"/>
  <c r="N211" i="3"/>
  <c r="G55" i="3"/>
  <c r="L83" i="3"/>
  <c r="G84" i="3"/>
  <c r="L88" i="3"/>
  <c r="L61" i="3"/>
  <c r="L97" i="3"/>
  <c r="L129" i="3"/>
  <c r="K16" i="3"/>
  <c r="K75" i="3"/>
  <c r="K78" i="3"/>
  <c r="K108" i="3"/>
  <c r="K112" i="3"/>
  <c r="K122" i="3"/>
  <c r="K126" i="3"/>
  <c r="L131" i="3"/>
  <c r="G132" i="3"/>
  <c r="L132" i="3"/>
  <c r="J242" i="3"/>
  <c r="K242" i="3"/>
  <c r="K236" i="3"/>
  <c r="L236" i="3"/>
  <c r="L242" i="3"/>
  <c r="L72" i="3"/>
  <c r="L105" i="3"/>
  <c r="L119" i="3"/>
  <c r="L133" i="3"/>
  <c r="L20" i="3"/>
  <c r="L134" i="3"/>
  <c r="L135" i="3"/>
  <c r="K23" i="3"/>
  <c r="L123" i="3"/>
  <c r="K25" i="3"/>
  <c r="K169" i="3"/>
  <c r="K174" i="3"/>
  <c r="K176" i="3"/>
  <c r="K26" i="3"/>
  <c r="K27" i="3"/>
  <c r="K206" i="3"/>
  <c r="J206" i="3"/>
  <c r="K152" i="3"/>
  <c r="L152" i="3"/>
  <c r="K31" i="3"/>
  <c r="K33" i="3"/>
  <c r="G34" i="3"/>
  <c r="L34" i="3"/>
  <c r="K35" i="3"/>
  <c r="L36" i="3"/>
  <c r="K178" i="3"/>
  <c r="K36" i="3"/>
  <c r="K37" i="3"/>
  <c r="K161" i="3"/>
  <c r="K157" i="3"/>
  <c r="J161" i="3"/>
  <c r="J157" i="3"/>
  <c r="I161" i="3"/>
  <c r="I157" i="3"/>
  <c r="G161" i="3"/>
  <c r="G157" i="3"/>
  <c r="L157" i="3"/>
  <c r="K158" i="3"/>
  <c r="J158" i="3"/>
  <c r="I158" i="3"/>
  <c r="G158" i="3"/>
  <c r="L158" i="3"/>
  <c r="K40" i="3"/>
  <c r="K41" i="3"/>
  <c r="K42" i="3"/>
  <c r="K215" i="3"/>
  <c r="J247" i="3"/>
  <c r="K247" i="3"/>
  <c r="K288" i="3"/>
  <c r="J270" i="3"/>
  <c r="K270" i="3"/>
  <c r="N50" i="3"/>
  <c r="I51" i="3"/>
  <c r="N83" i="3"/>
  <c r="I84" i="3"/>
  <c r="I60" i="3"/>
  <c r="J60" i="3"/>
  <c r="K60" i="3"/>
  <c r="N60" i="3"/>
  <c r="N59" i="3"/>
  <c r="N61" i="3"/>
  <c r="N63" i="3"/>
  <c r="N64" i="3"/>
  <c r="N97" i="3"/>
  <c r="N129" i="3"/>
  <c r="N288" i="3"/>
  <c r="L269" i="3"/>
  <c r="N131" i="3"/>
  <c r="N132" i="3"/>
  <c r="N236" i="3"/>
  <c r="N134" i="3"/>
  <c r="N135" i="3"/>
  <c r="N123" i="3"/>
  <c r="L209" i="3"/>
  <c r="N152" i="3"/>
  <c r="N43" i="3"/>
  <c r="N157" i="3"/>
  <c r="N161" i="3"/>
  <c r="N269" i="3"/>
  <c r="L217" i="3"/>
  <c r="N217" i="3"/>
  <c r="L218" i="3"/>
  <c r="N218" i="3"/>
  <c r="I23" i="3"/>
  <c r="G18" i="3"/>
  <c r="G19" i="3"/>
  <c r="G20" i="3"/>
  <c r="G21" i="3"/>
  <c r="G22" i="3"/>
  <c r="G17" i="3"/>
  <c r="G23" i="3"/>
  <c r="F23" i="3"/>
  <c r="L202" i="3"/>
  <c r="N202" i="3"/>
  <c r="L203" i="3"/>
  <c r="N203" i="3"/>
  <c r="N209" i="3"/>
  <c r="L210" i="3"/>
  <c r="N210" i="3"/>
  <c r="L211" i="3"/>
  <c r="M211" i="3"/>
  <c r="L212" i="3"/>
  <c r="N212" i="3"/>
  <c r="E264" i="3"/>
  <c r="F264" i="3"/>
  <c r="G264" i="3"/>
  <c r="H264" i="3"/>
  <c r="F265" i="3"/>
  <c r="G265" i="3"/>
  <c r="H265" i="3"/>
  <c r="G266" i="3"/>
  <c r="H266" i="3"/>
  <c r="E267" i="3"/>
  <c r="F267" i="3"/>
  <c r="G267" i="3"/>
  <c r="H267" i="3"/>
  <c r="E268" i="3"/>
  <c r="F268" i="3"/>
  <c r="G268" i="3"/>
  <c r="H268" i="3"/>
  <c r="E269" i="3"/>
  <c r="F269" i="3"/>
  <c r="G269" i="3"/>
  <c r="H269" i="3"/>
  <c r="E270" i="3"/>
  <c r="F270" i="3"/>
  <c r="G270" i="3"/>
  <c r="H270" i="3"/>
  <c r="E271" i="3"/>
  <c r="F271" i="3"/>
  <c r="G271" i="3"/>
  <c r="H271" i="3"/>
  <c r="H272" i="3"/>
  <c r="D259" i="3"/>
  <c r="E259" i="3"/>
  <c r="F259" i="3"/>
  <c r="G259" i="3"/>
  <c r="H259" i="3"/>
  <c r="E260" i="3"/>
  <c r="F260" i="3"/>
  <c r="G260" i="3"/>
  <c r="H260" i="3"/>
  <c r="E261" i="3"/>
  <c r="F261" i="3"/>
  <c r="G261" i="3"/>
  <c r="H261" i="3"/>
  <c r="H262" i="3"/>
  <c r="H16" i="3"/>
  <c r="H23" i="3"/>
  <c r="H25" i="3"/>
  <c r="H31" i="3"/>
  <c r="H33" i="3"/>
  <c r="H241" i="3"/>
  <c r="E242" i="3"/>
  <c r="F242" i="3"/>
  <c r="G242" i="3"/>
  <c r="H242" i="3"/>
  <c r="E243" i="3"/>
  <c r="F243" i="3"/>
  <c r="G243" i="3"/>
  <c r="H243" i="3"/>
  <c r="E244" i="3"/>
  <c r="F244" i="3"/>
  <c r="G244" i="3"/>
  <c r="H244" i="3"/>
  <c r="E245" i="3"/>
  <c r="F245" i="3"/>
  <c r="G245" i="3"/>
  <c r="H245" i="3"/>
  <c r="E246" i="3"/>
  <c r="F246" i="3"/>
  <c r="G246" i="3"/>
  <c r="H246" i="3"/>
  <c r="E247" i="3"/>
  <c r="F247" i="3"/>
  <c r="G247" i="3"/>
  <c r="H247" i="3"/>
  <c r="E248" i="3"/>
  <c r="F248" i="3"/>
  <c r="G248" i="3"/>
  <c r="H248" i="3"/>
  <c r="E250" i="3"/>
  <c r="F250" i="3"/>
  <c r="G250" i="3"/>
  <c r="H250" i="3"/>
  <c r="E251" i="3"/>
  <c r="F251" i="3"/>
  <c r="G251" i="3"/>
  <c r="H251" i="3"/>
  <c r="E252" i="3"/>
  <c r="F252" i="3"/>
  <c r="G252" i="3"/>
  <c r="H252" i="3"/>
  <c r="E253" i="3"/>
  <c r="F253" i="3"/>
  <c r="G253" i="3"/>
  <c r="H253" i="3"/>
  <c r="E254" i="3"/>
  <c r="F254" i="3"/>
  <c r="G254" i="3"/>
  <c r="H254" i="3"/>
  <c r="F255" i="3"/>
  <c r="G255" i="3"/>
  <c r="H255" i="3"/>
  <c r="E256" i="3"/>
  <c r="F256" i="3"/>
  <c r="G256" i="3"/>
  <c r="H256" i="3"/>
  <c r="H257" i="3"/>
  <c r="D273" i="3"/>
  <c r="E273" i="3"/>
  <c r="F273" i="3"/>
  <c r="G273" i="3"/>
  <c r="H273" i="3"/>
  <c r="H274" i="3"/>
  <c r="H276" i="3"/>
  <c r="M275" i="3"/>
  <c r="J264" i="3"/>
  <c r="K264" i="3"/>
  <c r="J265" i="3"/>
  <c r="I266" i="3"/>
  <c r="J266" i="3"/>
  <c r="K266" i="3"/>
  <c r="J267" i="3"/>
  <c r="K267" i="3"/>
  <c r="J268" i="3"/>
  <c r="K268" i="3"/>
  <c r="J269" i="3"/>
  <c r="K269" i="3"/>
  <c r="M269" i="3"/>
  <c r="J271" i="3"/>
  <c r="K271" i="3"/>
  <c r="M271" i="3"/>
  <c r="I259" i="3"/>
  <c r="J259" i="3"/>
  <c r="K259" i="3"/>
  <c r="J260" i="3"/>
  <c r="K260" i="3"/>
  <c r="J261" i="3"/>
  <c r="K261" i="3"/>
  <c r="K219" i="3"/>
  <c r="K208" i="3"/>
  <c r="K213" i="3"/>
  <c r="K220" i="3"/>
  <c r="L197" i="3"/>
  <c r="I16" i="3"/>
  <c r="I25" i="3"/>
  <c r="I31" i="3"/>
  <c r="I33" i="3"/>
  <c r="I241" i="3"/>
  <c r="J16" i="3"/>
  <c r="J23" i="3"/>
  <c r="J25" i="3"/>
  <c r="J31" i="3"/>
  <c r="J33" i="3"/>
  <c r="J241" i="3"/>
  <c r="K241" i="3"/>
  <c r="M242" i="3"/>
  <c r="J243" i="3"/>
  <c r="K243" i="3"/>
  <c r="K235" i="3"/>
  <c r="L235" i="3"/>
  <c r="M243" i="3"/>
  <c r="J244" i="3"/>
  <c r="K244" i="3"/>
  <c r="M244" i="3"/>
  <c r="J245" i="3"/>
  <c r="K245" i="3"/>
  <c r="I248" i="3"/>
  <c r="J248" i="3"/>
  <c r="K248" i="3"/>
  <c r="M248" i="3"/>
  <c r="J250" i="3"/>
  <c r="K250" i="3"/>
  <c r="J251" i="3"/>
  <c r="K251" i="3"/>
  <c r="J252" i="3"/>
  <c r="K252" i="3"/>
  <c r="M252" i="3"/>
  <c r="J253" i="3"/>
  <c r="K253" i="3"/>
  <c r="J254" i="3"/>
  <c r="K254" i="3"/>
  <c r="M254" i="3"/>
  <c r="J255" i="3"/>
  <c r="K255" i="3"/>
  <c r="L255" i="3"/>
  <c r="M255" i="3"/>
  <c r="N193" i="3"/>
  <c r="N196" i="3"/>
  <c r="N197" i="3"/>
  <c r="N235" i="3"/>
  <c r="N255" i="3"/>
  <c r="Q97" i="3"/>
  <c r="V97" i="3"/>
  <c r="AA97" i="3"/>
  <c r="AF97" i="3"/>
  <c r="AK97" i="3"/>
  <c r="V95" i="3"/>
  <c r="AA95" i="3"/>
  <c r="AF95" i="3"/>
  <c r="AK95" i="3"/>
  <c r="S93" i="3"/>
  <c r="T93" i="3"/>
  <c r="U93" i="3"/>
  <c r="V93" i="3"/>
  <c r="X93" i="3"/>
  <c r="Y93" i="3"/>
  <c r="Z93" i="3"/>
  <c r="AA93" i="3"/>
  <c r="AC93" i="3"/>
  <c r="AD93" i="3"/>
  <c r="AE93" i="3"/>
  <c r="AF93" i="3"/>
  <c r="AH93" i="3"/>
  <c r="AI93" i="3"/>
  <c r="AJ93" i="3"/>
  <c r="AK93" i="3"/>
  <c r="L81" i="3"/>
  <c r="I82" i="3"/>
  <c r="J82" i="3"/>
  <c r="K82" i="3"/>
  <c r="N82" i="3"/>
  <c r="N81" i="3"/>
  <c r="O82" i="3"/>
  <c r="O81" i="3"/>
  <c r="P82" i="3"/>
  <c r="P81" i="3"/>
  <c r="Q82" i="3"/>
  <c r="Q81" i="3"/>
  <c r="S82" i="3"/>
  <c r="S81" i="3"/>
  <c r="T82" i="3"/>
  <c r="T81" i="3"/>
  <c r="U82" i="3"/>
  <c r="U81" i="3"/>
  <c r="V82" i="3"/>
  <c r="V81" i="3"/>
  <c r="X82" i="3"/>
  <c r="X81" i="3"/>
  <c r="Y82" i="3"/>
  <c r="Y81" i="3"/>
  <c r="Z82" i="3"/>
  <c r="Z81" i="3"/>
  <c r="AA82" i="3"/>
  <c r="AA81" i="3"/>
  <c r="AC82" i="3"/>
  <c r="AC81" i="3"/>
  <c r="AD82" i="3"/>
  <c r="AD81" i="3"/>
  <c r="AE82" i="3"/>
  <c r="AE81" i="3"/>
  <c r="AF82" i="3"/>
  <c r="AF81" i="3"/>
  <c r="AK83" i="3"/>
  <c r="P97" i="3"/>
  <c r="U97" i="3"/>
  <c r="Z97" i="3"/>
  <c r="AE97" i="3"/>
  <c r="AJ97" i="3"/>
  <c r="U95" i="3"/>
  <c r="Z95" i="3"/>
  <c r="AE95" i="3"/>
  <c r="AJ95" i="3"/>
  <c r="AJ83" i="3"/>
  <c r="K84" i="3"/>
  <c r="O97" i="3"/>
  <c r="T97" i="3"/>
  <c r="Y97" i="3"/>
  <c r="AD97" i="3"/>
  <c r="AI97" i="3"/>
  <c r="T95" i="3"/>
  <c r="Y95" i="3"/>
  <c r="AD95" i="3"/>
  <c r="AI95" i="3"/>
  <c r="AI83" i="3"/>
  <c r="J84" i="3"/>
  <c r="S97" i="3"/>
  <c r="X97" i="3"/>
  <c r="AC97" i="3"/>
  <c r="AH97" i="3"/>
  <c r="S95" i="3"/>
  <c r="X95" i="3"/>
  <c r="AC95" i="3"/>
  <c r="AH95" i="3"/>
  <c r="AH83" i="3"/>
  <c r="AF83" i="3"/>
  <c r="AE83" i="3"/>
  <c r="AD83" i="3"/>
  <c r="AC83" i="3"/>
  <c r="AA83" i="3"/>
  <c r="Z83" i="3"/>
  <c r="Y83" i="3"/>
  <c r="X83" i="3"/>
  <c r="V83" i="3"/>
  <c r="U83" i="3"/>
  <c r="T83" i="3"/>
  <c r="S83" i="3"/>
  <c r="Q83" i="3"/>
  <c r="P83" i="3"/>
  <c r="O83" i="3"/>
  <c r="O236" i="3"/>
  <c r="O50" i="3"/>
  <c r="J51" i="3"/>
  <c r="O60" i="3"/>
  <c r="O59" i="3"/>
  <c r="O61" i="3"/>
  <c r="O63" i="3"/>
  <c r="O64" i="3"/>
  <c r="O115" i="3"/>
  <c r="O129" i="3"/>
  <c r="O15" i="3"/>
  <c r="P236" i="3"/>
  <c r="K51" i="3"/>
  <c r="P60" i="3"/>
  <c r="P59" i="3"/>
  <c r="P61" i="3"/>
  <c r="P63" i="3"/>
  <c r="P64" i="3"/>
  <c r="P129" i="3"/>
  <c r="Q236" i="3"/>
  <c r="Q60" i="3"/>
  <c r="Q59" i="3"/>
  <c r="Q61" i="3"/>
  <c r="Q63" i="3"/>
  <c r="Q129" i="3"/>
  <c r="S236" i="3"/>
  <c r="J49" i="3"/>
  <c r="S62" i="3"/>
  <c r="S60" i="3"/>
  <c r="S59" i="3"/>
  <c r="S61" i="3"/>
  <c r="S63" i="3"/>
  <c r="S64" i="3"/>
  <c r="S129" i="3"/>
  <c r="T236" i="3"/>
  <c r="T62" i="3"/>
  <c r="T60" i="3"/>
  <c r="T59" i="3"/>
  <c r="T61" i="3"/>
  <c r="T63" i="3"/>
  <c r="T64" i="3"/>
  <c r="T115" i="3"/>
  <c r="T129" i="3"/>
  <c r="T15" i="3"/>
  <c r="U236" i="3"/>
  <c r="U62" i="3"/>
  <c r="U60" i="3"/>
  <c r="U59" i="3"/>
  <c r="U61" i="3"/>
  <c r="U63" i="3"/>
  <c r="U64" i="3"/>
  <c r="U129" i="3"/>
  <c r="V236" i="3"/>
  <c r="V62" i="3"/>
  <c r="V60" i="3"/>
  <c r="V59" i="3"/>
  <c r="V61" i="3"/>
  <c r="V63" i="3"/>
  <c r="V129" i="3"/>
  <c r="X236" i="3"/>
  <c r="X62" i="3"/>
  <c r="X60" i="3"/>
  <c r="X59" i="3"/>
  <c r="X61" i="3"/>
  <c r="X63" i="3"/>
  <c r="X64" i="3"/>
  <c r="X129" i="3"/>
  <c r="Y236" i="3"/>
  <c r="Y62" i="3"/>
  <c r="Y60" i="3"/>
  <c r="Y59" i="3"/>
  <c r="Y61" i="3"/>
  <c r="Y63" i="3"/>
  <c r="Y64" i="3"/>
  <c r="Y115" i="3"/>
  <c r="Y129" i="3"/>
  <c r="Y15" i="3"/>
  <c r="Z236" i="3"/>
  <c r="Z62" i="3"/>
  <c r="Z60" i="3"/>
  <c r="Z59" i="3"/>
  <c r="Z61" i="3"/>
  <c r="Z63" i="3"/>
  <c r="Z64" i="3"/>
  <c r="Z129" i="3"/>
  <c r="AA236" i="3"/>
  <c r="AA62" i="3"/>
  <c r="AA60" i="3"/>
  <c r="AA59" i="3"/>
  <c r="AA61" i="3"/>
  <c r="AA63" i="3"/>
  <c r="AA129" i="3"/>
  <c r="AC236" i="3"/>
  <c r="AC62" i="3"/>
  <c r="AC60" i="3"/>
  <c r="AC59" i="3"/>
  <c r="AC61" i="3"/>
  <c r="AC63" i="3"/>
  <c r="AC64" i="3"/>
  <c r="AC129" i="3"/>
  <c r="AD236" i="3"/>
  <c r="AD62" i="3"/>
  <c r="AD60" i="3"/>
  <c r="AD59" i="3"/>
  <c r="AD61" i="3"/>
  <c r="AD63" i="3"/>
  <c r="AD64" i="3"/>
  <c r="AD115" i="3"/>
  <c r="AD129" i="3"/>
  <c r="AD15" i="3"/>
  <c r="AE236" i="3"/>
  <c r="AE62" i="3"/>
  <c r="AE60" i="3"/>
  <c r="AE59" i="3"/>
  <c r="AE61" i="3"/>
  <c r="AE63" i="3"/>
  <c r="AE64" i="3"/>
  <c r="AE129" i="3"/>
  <c r="AF236" i="3"/>
  <c r="AF62" i="3"/>
  <c r="AF60" i="3"/>
  <c r="AF59" i="3"/>
  <c r="AF61" i="3"/>
  <c r="AF63" i="3"/>
  <c r="AF129" i="3"/>
  <c r="AH236" i="3"/>
  <c r="AH62" i="3"/>
  <c r="AH60" i="3"/>
  <c r="AH59" i="3"/>
  <c r="AH61" i="3"/>
  <c r="AH63" i="3"/>
  <c r="AH64" i="3"/>
  <c r="AH129" i="3"/>
  <c r="AI236" i="3"/>
  <c r="AI62" i="3"/>
  <c r="AI60" i="3"/>
  <c r="AI59" i="3"/>
  <c r="AI61" i="3"/>
  <c r="AI63" i="3"/>
  <c r="AI64" i="3"/>
  <c r="AI115" i="3"/>
  <c r="AI129" i="3"/>
  <c r="AI15" i="3"/>
  <c r="AJ236" i="3"/>
  <c r="AK62" i="3"/>
  <c r="AJ60" i="3"/>
  <c r="AJ59" i="3"/>
  <c r="AK60" i="3"/>
  <c r="AK59" i="3"/>
  <c r="AK61" i="3"/>
  <c r="AK63" i="3"/>
  <c r="AJ64" i="3"/>
  <c r="AJ62" i="3"/>
  <c r="AJ61" i="3"/>
  <c r="AJ63" i="3"/>
  <c r="O134" i="3"/>
  <c r="P134" i="3"/>
  <c r="Q134" i="3"/>
  <c r="S134" i="3"/>
  <c r="T134" i="3"/>
  <c r="U134" i="3"/>
  <c r="V134" i="3"/>
  <c r="X134" i="3"/>
  <c r="Y134" i="3"/>
  <c r="Z134" i="3"/>
  <c r="AA134" i="3"/>
  <c r="AC134" i="3"/>
  <c r="AD134" i="3"/>
  <c r="AE134" i="3"/>
  <c r="AF134" i="3"/>
  <c r="AH134" i="3"/>
  <c r="AI134" i="3"/>
  <c r="AJ134" i="3"/>
  <c r="AK134" i="3"/>
  <c r="O131" i="3"/>
  <c r="P131" i="3"/>
  <c r="Q131" i="3"/>
  <c r="S131" i="3"/>
  <c r="T131" i="3"/>
  <c r="U131" i="3"/>
  <c r="V131" i="3"/>
  <c r="X131" i="3"/>
  <c r="Y131" i="3"/>
  <c r="Z131" i="3"/>
  <c r="AA131" i="3"/>
  <c r="AC131" i="3"/>
  <c r="AD131" i="3"/>
  <c r="AE131" i="3"/>
  <c r="AF131" i="3"/>
  <c r="O132" i="3"/>
  <c r="P132" i="3"/>
  <c r="Q132" i="3"/>
  <c r="S132" i="3"/>
  <c r="T132" i="3"/>
  <c r="U132" i="3"/>
  <c r="V132" i="3"/>
  <c r="X132" i="3"/>
  <c r="Y132" i="3"/>
  <c r="Z132" i="3"/>
  <c r="AA132" i="3"/>
  <c r="AC132" i="3"/>
  <c r="AD132" i="3"/>
  <c r="AE132" i="3"/>
  <c r="AF132" i="3"/>
  <c r="O135" i="3"/>
  <c r="P135" i="3"/>
  <c r="Q135" i="3"/>
  <c r="S135" i="3"/>
  <c r="T135" i="3"/>
  <c r="U135" i="3"/>
  <c r="V135" i="3"/>
  <c r="X135" i="3"/>
  <c r="Y135" i="3"/>
  <c r="Z135" i="3"/>
  <c r="AA135" i="3"/>
  <c r="AC135" i="3"/>
  <c r="AD135" i="3"/>
  <c r="AE135" i="3"/>
  <c r="AF135" i="3"/>
  <c r="O202" i="3"/>
  <c r="P202" i="3"/>
  <c r="Q202" i="3"/>
  <c r="S202" i="3"/>
  <c r="T202" i="3"/>
  <c r="U202" i="3"/>
  <c r="V202" i="3"/>
  <c r="X202" i="3"/>
  <c r="Y202" i="3"/>
  <c r="Z202" i="3"/>
  <c r="AA202" i="3"/>
  <c r="AC202" i="3"/>
  <c r="AD202" i="3"/>
  <c r="AE202" i="3"/>
  <c r="AF202" i="3"/>
  <c r="AH202" i="3"/>
  <c r="AI202" i="3"/>
  <c r="AJ202" i="3"/>
  <c r="AK202" i="3"/>
  <c r="AL202" i="3"/>
  <c r="O203" i="3"/>
  <c r="P203" i="3"/>
  <c r="Q203" i="3"/>
  <c r="S203" i="3"/>
  <c r="T203" i="3"/>
  <c r="U203" i="3"/>
  <c r="V203" i="3"/>
  <c r="X203" i="3"/>
  <c r="Y203" i="3"/>
  <c r="Z203" i="3"/>
  <c r="AA203" i="3"/>
  <c r="AC203" i="3"/>
  <c r="AD203" i="3"/>
  <c r="AE203" i="3"/>
  <c r="AF203" i="3"/>
  <c r="AH203" i="3"/>
  <c r="AI203" i="3"/>
  <c r="AJ203" i="3"/>
  <c r="AK203" i="3"/>
  <c r="AL203" i="3"/>
  <c r="AL204" i="3"/>
  <c r="AL206" i="3"/>
  <c r="AG202" i="3"/>
  <c r="AG203" i="3"/>
  <c r="AG204" i="3"/>
  <c r="AG206" i="3"/>
  <c r="AB202" i="3"/>
  <c r="AB203" i="3"/>
  <c r="AB204" i="3"/>
  <c r="AB206" i="3"/>
  <c r="W202" i="3"/>
  <c r="W203" i="3"/>
  <c r="W204" i="3"/>
  <c r="W206" i="3"/>
  <c r="D272" i="3"/>
  <c r="D262" i="3"/>
  <c r="D16" i="3"/>
  <c r="D23" i="3"/>
  <c r="D25" i="3"/>
  <c r="D31" i="3"/>
  <c r="D33" i="3"/>
  <c r="D241" i="3"/>
  <c r="D257" i="3"/>
  <c r="D274" i="3"/>
  <c r="D276" i="3"/>
  <c r="E275" i="3"/>
  <c r="E272" i="3"/>
  <c r="E262" i="3"/>
  <c r="E16" i="3"/>
  <c r="E23" i="3"/>
  <c r="E25" i="3"/>
  <c r="E31" i="3"/>
  <c r="E33" i="3"/>
  <c r="E241" i="3"/>
  <c r="E257" i="3"/>
  <c r="E274" i="3"/>
  <c r="E276" i="3"/>
  <c r="F275" i="3"/>
  <c r="F272" i="3"/>
  <c r="F262" i="3"/>
  <c r="F16" i="3"/>
  <c r="F25" i="3"/>
  <c r="F31" i="3"/>
  <c r="F33" i="3"/>
  <c r="F241" i="3"/>
  <c r="F257" i="3"/>
  <c r="F274" i="3"/>
  <c r="F276" i="3"/>
  <c r="G275" i="3"/>
  <c r="G272" i="3"/>
  <c r="G262" i="3"/>
  <c r="G13" i="3"/>
  <c r="G14" i="3"/>
  <c r="G15" i="3"/>
  <c r="G16" i="3"/>
  <c r="G24" i="3"/>
  <c r="G25" i="3"/>
  <c r="G29" i="3"/>
  <c r="G30" i="3"/>
  <c r="G28" i="3"/>
  <c r="G31" i="3"/>
  <c r="G32" i="3"/>
  <c r="G33" i="3"/>
  <c r="G241" i="3"/>
  <c r="G257" i="3"/>
  <c r="G274" i="3"/>
  <c r="G276" i="3"/>
  <c r="AL271" i="3"/>
  <c r="O209" i="3"/>
  <c r="P209" i="3"/>
  <c r="Q209" i="3"/>
  <c r="S209" i="3"/>
  <c r="T209" i="3"/>
  <c r="U209" i="3"/>
  <c r="V209" i="3"/>
  <c r="X209" i="3"/>
  <c r="Y209" i="3"/>
  <c r="Z209" i="3"/>
  <c r="AA209" i="3"/>
  <c r="AC209" i="3"/>
  <c r="AD209" i="3"/>
  <c r="AE209" i="3"/>
  <c r="AF209" i="3"/>
  <c r="AH209" i="3"/>
  <c r="AH264" i="3"/>
  <c r="AI209" i="3"/>
  <c r="AI264" i="3"/>
  <c r="AJ209" i="3"/>
  <c r="AJ264" i="3"/>
  <c r="AK209" i="3"/>
  <c r="AK264" i="3"/>
  <c r="AL264" i="3"/>
  <c r="O43" i="3"/>
  <c r="Q43" i="3"/>
  <c r="S43" i="3"/>
  <c r="T43" i="3"/>
  <c r="V43" i="3"/>
  <c r="X43" i="3"/>
  <c r="Y43" i="3"/>
  <c r="AA43" i="3"/>
  <c r="AC43" i="3"/>
  <c r="AD43" i="3"/>
  <c r="AF43" i="3"/>
  <c r="AH43" i="3"/>
  <c r="O157" i="3"/>
  <c r="P157" i="3"/>
  <c r="P161" i="3"/>
  <c r="Q157" i="3"/>
  <c r="S157" i="3"/>
  <c r="S161" i="3"/>
  <c r="T157" i="3"/>
  <c r="T161" i="3"/>
  <c r="U157" i="3"/>
  <c r="U161" i="3"/>
  <c r="V157" i="3"/>
  <c r="V161" i="3"/>
  <c r="X157" i="3"/>
  <c r="X161" i="3"/>
  <c r="Y157" i="3"/>
  <c r="Y161" i="3"/>
  <c r="Z157" i="3"/>
  <c r="Z161" i="3"/>
  <c r="AA157" i="3"/>
  <c r="AA161" i="3"/>
  <c r="AC157" i="3"/>
  <c r="AC161" i="3"/>
  <c r="AD157" i="3"/>
  <c r="AD161" i="3"/>
  <c r="AE157" i="3"/>
  <c r="AE161" i="3"/>
  <c r="AF157" i="3"/>
  <c r="AF161" i="3"/>
  <c r="AH157" i="3"/>
  <c r="AH161" i="3"/>
  <c r="AI43" i="3"/>
  <c r="AI157" i="3"/>
  <c r="AI161" i="3"/>
  <c r="AJ43" i="3"/>
  <c r="AJ157" i="3"/>
  <c r="AJ161" i="3"/>
  <c r="AK43" i="3"/>
  <c r="AK157" i="3"/>
  <c r="AK161" i="3"/>
  <c r="AL268" i="3"/>
  <c r="AH269" i="3"/>
  <c r="AI269" i="3"/>
  <c r="AJ269" i="3"/>
  <c r="AK269" i="3"/>
  <c r="AL269" i="3"/>
  <c r="O288" i="3"/>
  <c r="P288" i="3"/>
  <c r="Q288" i="3"/>
  <c r="S288" i="3"/>
  <c r="T288" i="3"/>
  <c r="U288" i="3"/>
  <c r="V288" i="3"/>
  <c r="X288" i="3"/>
  <c r="Y288" i="3"/>
  <c r="Z288" i="3"/>
  <c r="AA288" i="3"/>
  <c r="AC288" i="3"/>
  <c r="AD288" i="3"/>
  <c r="AE288" i="3"/>
  <c r="AF288" i="3"/>
  <c r="AH288" i="3"/>
  <c r="AI288" i="3"/>
  <c r="AJ129" i="3"/>
  <c r="AJ288" i="3"/>
  <c r="AK129" i="3"/>
  <c r="AK288" i="3"/>
  <c r="AG271" i="3"/>
  <c r="AC264" i="3"/>
  <c r="AD264" i="3"/>
  <c r="AE264" i="3"/>
  <c r="AF264" i="3"/>
  <c r="AG264" i="3"/>
  <c r="AE43" i="3"/>
  <c r="AC269" i="3"/>
  <c r="AD269" i="3"/>
  <c r="AE269" i="3"/>
  <c r="AF269" i="3"/>
  <c r="AG269" i="3"/>
  <c r="AB271" i="3"/>
  <c r="X264" i="3"/>
  <c r="Y264" i="3"/>
  <c r="Z264" i="3"/>
  <c r="AA264" i="3"/>
  <c r="AB264" i="3"/>
  <c r="Z43" i="3"/>
  <c r="X269" i="3"/>
  <c r="Y269" i="3"/>
  <c r="Z269" i="3"/>
  <c r="AA269" i="3"/>
  <c r="AB269" i="3"/>
  <c r="W271" i="3"/>
  <c r="S264" i="3"/>
  <c r="T264" i="3"/>
  <c r="U264" i="3"/>
  <c r="V264" i="3"/>
  <c r="W264" i="3"/>
  <c r="U43" i="3"/>
  <c r="S269" i="3"/>
  <c r="T269" i="3"/>
  <c r="U269" i="3"/>
  <c r="V269" i="3"/>
  <c r="W269" i="3"/>
  <c r="O210" i="3"/>
  <c r="P210" i="3"/>
  <c r="Q210" i="3"/>
  <c r="S210" i="3"/>
  <c r="T210" i="3"/>
  <c r="U210" i="3"/>
  <c r="V210" i="3"/>
  <c r="X210" i="3"/>
  <c r="Y210" i="3"/>
  <c r="Z210" i="3"/>
  <c r="AA210" i="3"/>
  <c r="AC210" i="3"/>
  <c r="AD210" i="3"/>
  <c r="AE210" i="3"/>
  <c r="AF210" i="3"/>
  <c r="O211" i="3"/>
  <c r="P211" i="3"/>
  <c r="Q211" i="3"/>
  <c r="R211" i="3"/>
  <c r="S211" i="3"/>
  <c r="T211" i="3"/>
  <c r="U211" i="3"/>
  <c r="V211" i="3"/>
  <c r="W211" i="3"/>
  <c r="X211" i="3"/>
  <c r="Y211" i="3"/>
  <c r="Z211" i="3"/>
  <c r="AA211" i="3"/>
  <c r="AB211" i="3"/>
  <c r="AC211" i="3"/>
  <c r="AD211" i="3"/>
  <c r="AE211" i="3"/>
  <c r="AF211" i="3"/>
  <c r="O212" i="3"/>
  <c r="P212" i="3"/>
  <c r="Q212" i="3"/>
  <c r="S212" i="3"/>
  <c r="T212" i="3"/>
  <c r="U212" i="3"/>
  <c r="V212" i="3"/>
  <c r="X212" i="3"/>
  <c r="Y212" i="3"/>
  <c r="Z212" i="3"/>
  <c r="AA212" i="3"/>
  <c r="AC212" i="3"/>
  <c r="AD212" i="3"/>
  <c r="AE212" i="3"/>
  <c r="AF212" i="3"/>
  <c r="O152" i="3"/>
  <c r="O123" i="3"/>
  <c r="O269" i="3"/>
  <c r="P152" i="3"/>
  <c r="P123" i="3"/>
  <c r="P43" i="3"/>
  <c r="P269" i="3"/>
  <c r="Q152" i="3"/>
  <c r="Q123" i="3"/>
  <c r="Q269" i="3"/>
  <c r="S123" i="3"/>
  <c r="T123" i="3"/>
  <c r="U123" i="3"/>
  <c r="V123" i="3"/>
  <c r="X123" i="3"/>
  <c r="Y123" i="3"/>
  <c r="Z123" i="3"/>
  <c r="AA123" i="3"/>
  <c r="AC123" i="3"/>
  <c r="AD123" i="3"/>
  <c r="AE123" i="3"/>
  <c r="AF123" i="3"/>
  <c r="O217" i="3"/>
  <c r="P217" i="3"/>
  <c r="Q217" i="3"/>
  <c r="S217" i="3"/>
  <c r="T217" i="3"/>
  <c r="U217" i="3"/>
  <c r="V217" i="3"/>
  <c r="X217" i="3"/>
  <c r="Y217" i="3"/>
  <c r="Z217" i="3"/>
  <c r="AA217" i="3"/>
  <c r="AC217" i="3"/>
  <c r="AD217" i="3"/>
  <c r="AE217" i="3"/>
  <c r="AF217" i="3"/>
  <c r="O218" i="3"/>
  <c r="P218" i="3"/>
  <c r="Q218" i="3"/>
  <c r="S218" i="3"/>
  <c r="T218" i="3"/>
  <c r="U218" i="3"/>
  <c r="V218" i="3"/>
  <c r="X218" i="3"/>
  <c r="Y218" i="3"/>
  <c r="Z218" i="3"/>
  <c r="AA218" i="3"/>
  <c r="AC218" i="3"/>
  <c r="AD218" i="3"/>
  <c r="AE218" i="3"/>
  <c r="AF218" i="3"/>
  <c r="AH210" i="3"/>
  <c r="AG211" i="3"/>
  <c r="AH211" i="3"/>
  <c r="AH212" i="3"/>
  <c r="AH131" i="3"/>
  <c r="AH132" i="3"/>
  <c r="AH135" i="3"/>
  <c r="AH123" i="3"/>
  <c r="AH217" i="3"/>
  <c r="AH218" i="3"/>
  <c r="AI131" i="3"/>
  <c r="AI132" i="3"/>
  <c r="AI135" i="3"/>
  <c r="AI123" i="3"/>
  <c r="AI217" i="3"/>
  <c r="AI218" i="3"/>
  <c r="AI210" i="3"/>
  <c r="AI211" i="3"/>
  <c r="AI212" i="3"/>
  <c r="AJ131" i="3"/>
  <c r="AJ132" i="3"/>
  <c r="AJ135" i="3"/>
  <c r="AJ123" i="3"/>
  <c r="AJ217" i="3"/>
  <c r="AJ218" i="3"/>
  <c r="AJ210" i="3"/>
  <c r="AJ211" i="3"/>
  <c r="AJ212" i="3"/>
  <c r="AK131" i="3"/>
  <c r="AK132" i="3"/>
  <c r="AK236" i="3"/>
  <c r="AK135" i="3"/>
  <c r="AK123" i="3"/>
  <c r="AK217" i="3"/>
  <c r="AK218" i="3"/>
  <c r="AK210" i="3"/>
  <c r="AK211" i="3"/>
  <c r="AK212" i="3"/>
  <c r="O193" i="3"/>
  <c r="P193" i="3"/>
  <c r="Q193" i="3"/>
  <c r="S193" i="3"/>
  <c r="T193" i="3"/>
  <c r="U193" i="3"/>
  <c r="V193" i="3"/>
  <c r="X193" i="3"/>
  <c r="Y193" i="3"/>
  <c r="Z193" i="3"/>
  <c r="AA193" i="3"/>
  <c r="AC193" i="3"/>
  <c r="AD193" i="3"/>
  <c r="AE193" i="3"/>
  <c r="AF193" i="3"/>
  <c r="AH193" i="3"/>
  <c r="O196" i="3"/>
  <c r="P196" i="3"/>
  <c r="Q196" i="3"/>
  <c r="S196" i="3"/>
  <c r="T196" i="3"/>
  <c r="U196" i="3"/>
  <c r="V196" i="3"/>
  <c r="X196" i="3"/>
  <c r="Y196" i="3"/>
  <c r="Z196" i="3"/>
  <c r="AA196" i="3"/>
  <c r="AC196" i="3"/>
  <c r="AD196" i="3"/>
  <c r="AE196" i="3"/>
  <c r="AF196" i="3"/>
  <c r="AH196" i="3"/>
  <c r="O197" i="3"/>
  <c r="P197" i="3"/>
  <c r="Q197" i="3"/>
  <c r="S197" i="3"/>
  <c r="T197" i="3"/>
  <c r="U197" i="3"/>
  <c r="V197" i="3"/>
  <c r="X197" i="3"/>
  <c r="Y197" i="3"/>
  <c r="Z197" i="3"/>
  <c r="AA197" i="3"/>
  <c r="AC197" i="3"/>
  <c r="AD197" i="3"/>
  <c r="AE197" i="3"/>
  <c r="AF197" i="3"/>
  <c r="AH197" i="3"/>
  <c r="AI193" i="3"/>
  <c r="AI196" i="3"/>
  <c r="AI197" i="3"/>
  <c r="AJ193" i="3"/>
  <c r="AJ196" i="3"/>
  <c r="AJ197" i="3"/>
  <c r="AK193" i="3"/>
  <c r="AK196" i="3"/>
  <c r="AK197" i="3"/>
  <c r="Q191" i="3"/>
  <c r="AH255" i="3"/>
  <c r="AI255" i="3"/>
  <c r="AJ255" i="3"/>
  <c r="AK255" i="3"/>
  <c r="AL255" i="3"/>
  <c r="AL254" i="3"/>
  <c r="AL252" i="3"/>
  <c r="AL249" i="3"/>
  <c r="AC255" i="3"/>
  <c r="AD255" i="3"/>
  <c r="AE255" i="3"/>
  <c r="AF255" i="3"/>
  <c r="AG255" i="3"/>
  <c r="AG254" i="3"/>
  <c r="AG252" i="3"/>
  <c r="AG249" i="3"/>
  <c r="X255" i="3"/>
  <c r="Y255" i="3"/>
  <c r="Z255" i="3"/>
  <c r="AA255" i="3"/>
  <c r="AB255" i="3"/>
  <c r="AB254" i="3"/>
  <c r="AB252" i="3"/>
  <c r="AB249" i="3"/>
  <c r="S255" i="3"/>
  <c r="T255" i="3"/>
  <c r="U255" i="3"/>
  <c r="V255" i="3"/>
  <c r="W255" i="3"/>
  <c r="W254" i="3"/>
  <c r="W252" i="3"/>
  <c r="W249" i="3"/>
  <c r="O235" i="3"/>
  <c r="P235" i="3"/>
  <c r="Q235" i="3"/>
  <c r="Q255" i="3"/>
  <c r="R269" i="3"/>
  <c r="R271" i="3"/>
  <c r="O255" i="3"/>
  <c r="P255" i="3"/>
  <c r="R202" i="3"/>
  <c r="R203" i="3"/>
  <c r="R204" i="3"/>
  <c r="R206" i="3"/>
  <c r="M191" i="3"/>
  <c r="I275" i="3"/>
  <c r="I272" i="3"/>
  <c r="I262" i="3"/>
  <c r="I256" i="3"/>
  <c r="I257" i="3"/>
  <c r="I274" i="3"/>
  <c r="I276" i="3"/>
  <c r="J275" i="3"/>
  <c r="J272" i="3"/>
  <c r="J262" i="3"/>
  <c r="J246" i="3"/>
  <c r="J256" i="3"/>
  <c r="J257" i="3"/>
  <c r="J273" i="3"/>
  <c r="J274" i="3"/>
  <c r="J276" i="3"/>
  <c r="K275" i="3"/>
  <c r="K272" i="3"/>
  <c r="K262" i="3"/>
  <c r="K246" i="3"/>
  <c r="K256" i="3"/>
  <c r="K257" i="3"/>
  <c r="K273" i="3"/>
  <c r="K274" i="3"/>
  <c r="K276" i="3"/>
  <c r="L275" i="3"/>
  <c r="R249" i="3"/>
  <c r="R252" i="3"/>
  <c r="R254" i="3"/>
  <c r="R255" i="3"/>
  <c r="R248" i="3"/>
  <c r="R246" i="3"/>
  <c r="R243" i="3"/>
  <c r="AL217" i="3"/>
  <c r="AL218" i="3"/>
  <c r="AL209" i="3"/>
  <c r="AL210" i="3"/>
  <c r="AL211" i="3"/>
  <c r="AL193" i="3"/>
  <c r="S235" i="3"/>
  <c r="T235" i="3"/>
  <c r="U235" i="3"/>
  <c r="V235" i="3"/>
  <c r="X235" i="3"/>
  <c r="Y235" i="3"/>
  <c r="Z235" i="3"/>
  <c r="AA235" i="3"/>
  <c r="AC235" i="3"/>
  <c r="AD235" i="3"/>
  <c r="AE235" i="3"/>
  <c r="AF235" i="3"/>
  <c r="AH235" i="3"/>
  <c r="AI235" i="3"/>
  <c r="AJ235" i="3"/>
  <c r="AK235" i="3"/>
  <c r="AL196" i="3"/>
  <c r="AL197" i="3"/>
  <c r="AG217" i="3"/>
  <c r="AG218" i="3"/>
  <c r="AG209" i="3"/>
  <c r="AG210" i="3"/>
  <c r="AG193" i="3"/>
  <c r="AG196" i="3"/>
  <c r="AG197" i="3"/>
  <c r="AB217" i="3"/>
  <c r="AB218" i="3"/>
  <c r="AB209" i="3"/>
  <c r="AB210" i="3"/>
  <c r="AB193" i="3"/>
  <c r="AB196" i="3"/>
  <c r="AB197" i="3"/>
  <c r="W217" i="3"/>
  <c r="W218" i="3"/>
  <c r="W209" i="3"/>
  <c r="W210" i="3"/>
  <c r="W193" i="3"/>
  <c r="W196" i="3"/>
  <c r="W197" i="3"/>
  <c r="M217" i="3"/>
  <c r="M218" i="3"/>
  <c r="R217" i="3"/>
  <c r="R218" i="3"/>
  <c r="R209" i="3"/>
  <c r="R210" i="3"/>
  <c r="M193" i="3"/>
  <c r="M196" i="3"/>
  <c r="M197" i="3"/>
  <c r="R193" i="3"/>
  <c r="R196" i="3"/>
  <c r="R197" i="3"/>
  <c r="AL24" i="3"/>
  <c r="AL29" i="3"/>
  <c r="AG24" i="3"/>
  <c r="AG29" i="3"/>
  <c r="AB24" i="3"/>
  <c r="AB29" i="3"/>
  <c r="W24" i="3"/>
  <c r="W29" i="3"/>
  <c r="R24" i="3"/>
  <c r="M212" i="3"/>
  <c r="L234" i="3"/>
  <c r="N234" i="3"/>
  <c r="O234" i="3"/>
  <c r="P234" i="3"/>
  <c r="Q234" i="3"/>
  <c r="S234" i="3"/>
  <c r="T234" i="3"/>
  <c r="U234" i="3"/>
  <c r="V234" i="3"/>
  <c r="X234" i="3"/>
  <c r="Y234" i="3"/>
  <c r="Z234" i="3"/>
  <c r="AA234" i="3"/>
  <c r="AC234" i="3"/>
  <c r="AD234" i="3"/>
  <c r="AE234" i="3"/>
  <c r="AF234" i="3"/>
  <c r="AH234" i="3"/>
  <c r="AI234" i="3"/>
  <c r="AJ234" i="3"/>
  <c r="AK234" i="3"/>
  <c r="M209" i="3"/>
  <c r="M203" i="3"/>
  <c r="M202" i="3"/>
  <c r="M201" i="3"/>
  <c r="M210" i="3"/>
  <c r="M204" i="3"/>
  <c r="AL188" i="3"/>
  <c r="AG188" i="3"/>
  <c r="AB188" i="3"/>
  <c r="W188" i="3"/>
  <c r="R188" i="3"/>
  <c r="M188" i="3"/>
  <c r="AK230" i="3"/>
  <c r="AJ230" i="3"/>
  <c r="AI230" i="3"/>
  <c r="AH230" i="3"/>
  <c r="AK228" i="3"/>
  <c r="AJ228" i="3"/>
  <c r="AI228" i="3"/>
  <c r="AH228" i="3"/>
  <c r="AK226" i="3"/>
  <c r="AJ226" i="3"/>
  <c r="AI226" i="3"/>
  <c r="AH226" i="3"/>
  <c r="AF230" i="3"/>
  <c r="AE230" i="3"/>
  <c r="AD230" i="3"/>
  <c r="AC230" i="3"/>
  <c r="AF228" i="3"/>
  <c r="AE228" i="3"/>
  <c r="AD228" i="3"/>
  <c r="AC228" i="3"/>
  <c r="AF226" i="3"/>
  <c r="AE226" i="3"/>
  <c r="AD226" i="3"/>
  <c r="AC226" i="3"/>
  <c r="AA230" i="3"/>
  <c r="Z230" i="3"/>
  <c r="Y230" i="3"/>
  <c r="X230" i="3"/>
  <c r="AA228" i="3"/>
  <c r="Z228" i="3"/>
  <c r="Y228" i="3"/>
  <c r="X228" i="3"/>
  <c r="AA226" i="3"/>
  <c r="Z226" i="3"/>
  <c r="Y226" i="3"/>
  <c r="X226" i="3"/>
  <c r="V230" i="3"/>
  <c r="U230" i="3"/>
  <c r="T230" i="3"/>
  <c r="S230" i="3"/>
  <c r="V228" i="3"/>
  <c r="U228" i="3"/>
  <c r="T228" i="3"/>
  <c r="S228" i="3"/>
  <c r="V226" i="3"/>
  <c r="U226" i="3"/>
  <c r="T226" i="3"/>
  <c r="S226" i="3"/>
  <c r="L230" i="3"/>
  <c r="N230" i="3"/>
  <c r="O230" i="3"/>
  <c r="P230" i="3"/>
  <c r="Q230" i="3"/>
  <c r="L228" i="3"/>
  <c r="N228" i="3"/>
  <c r="O228" i="3"/>
  <c r="P228" i="3"/>
  <c r="Q228" i="3"/>
  <c r="N226" i="3"/>
  <c r="O226" i="3"/>
  <c r="P226" i="3"/>
  <c r="Q226" i="3"/>
  <c r="D169" i="3"/>
  <c r="D170" i="3"/>
  <c r="D171" i="3"/>
  <c r="D174" i="3"/>
  <c r="E174" i="3"/>
  <c r="F174" i="3"/>
  <c r="G169" i="3"/>
  <c r="G171" i="3"/>
  <c r="G174" i="3"/>
  <c r="I174" i="3"/>
  <c r="J174" i="3"/>
  <c r="N34" i="3"/>
  <c r="O34" i="3"/>
  <c r="P34" i="3"/>
  <c r="Q34" i="3"/>
  <c r="S34" i="3"/>
  <c r="T34" i="3"/>
  <c r="U34" i="3"/>
  <c r="V34" i="3"/>
  <c r="X34" i="3"/>
  <c r="Y34" i="3"/>
  <c r="Z34" i="3"/>
  <c r="AA34" i="3"/>
  <c r="AC34" i="3"/>
  <c r="AD34" i="3"/>
  <c r="AE34" i="3"/>
  <c r="AF34" i="3"/>
  <c r="AH34" i="3"/>
  <c r="AI34" i="3"/>
  <c r="AJ34" i="3"/>
  <c r="AK34" i="3"/>
  <c r="I36" i="3"/>
  <c r="J36" i="3"/>
  <c r="M36" i="3"/>
  <c r="I176" i="3"/>
  <c r="I26" i="3"/>
  <c r="I27" i="3"/>
  <c r="I37" i="3"/>
  <c r="J176" i="3"/>
  <c r="J26" i="3"/>
  <c r="J27" i="3"/>
  <c r="J37" i="3"/>
  <c r="M34" i="3"/>
  <c r="I35" i="3"/>
  <c r="J35" i="3"/>
  <c r="N158" i="3"/>
  <c r="O158" i="3"/>
  <c r="P158" i="3"/>
  <c r="Q158" i="3"/>
  <c r="R34" i="3"/>
  <c r="S158" i="3"/>
  <c r="T158" i="3"/>
  <c r="U158" i="3"/>
  <c r="V158" i="3"/>
  <c r="W34" i="3"/>
  <c r="X158" i="3"/>
  <c r="Y158" i="3"/>
  <c r="Z158" i="3"/>
  <c r="AA158" i="3"/>
  <c r="AB34" i="3"/>
  <c r="AC158" i="3"/>
  <c r="AD158" i="3"/>
  <c r="AE158" i="3"/>
  <c r="AF158" i="3"/>
  <c r="AG34" i="3"/>
  <c r="AH158" i="3"/>
  <c r="AI158" i="3"/>
  <c r="AJ158" i="3"/>
  <c r="AK158" i="3"/>
  <c r="AL34" i="3"/>
  <c r="M26" i="3"/>
  <c r="AL43" i="3"/>
  <c r="AG43" i="3"/>
  <c r="AB43" i="3"/>
  <c r="W43" i="3"/>
  <c r="R43" i="3"/>
  <c r="M43" i="3"/>
  <c r="M20" i="3"/>
  <c r="L136" i="3"/>
  <c r="L137" i="3"/>
  <c r="L138" i="3"/>
  <c r="L139" i="3"/>
  <c r="L124" i="3"/>
  <c r="L125" i="3"/>
  <c r="K124" i="3"/>
  <c r="L111" i="3"/>
  <c r="L99" i="3"/>
  <c r="N99" i="3"/>
  <c r="O99" i="3"/>
  <c r="P99" i="3"/>
  <c r="Q99" i="3"/>
  <c r="S99" i="3"/>
  <c r="T99" i="3"/>
  <c r="U99" i="3"/>
  <c r="V99" i="3"/>
  <c r="X99" i="3"/>
  <c r="Y99" i="3"/>
  <c r="Z99" i="3"/>
  <c r="AA99" i="3"/>
  <c r="AC99" i="3"/>
  <c r="AD99" i="3"/>
  <c r="AE99" i="3"/>
  <c r="AF99" i="3"/>
  <c r="AH82" i="3"/>
  <c r="AH81" i="3"/>
  <c r="AH99" i="3"/>
  <c r="AI82" i="3"/>
  <c r="AI81" i="3"/>
  <c r="AI99" i="3"/>
  <c r="AJ82" i="3"/>
  <c r="AJ81" i="3"/>
  <c r="AJ99" i="3"/>
  <c r="AK82" i="3"/>
  <c r="AK81" i="3"/>
  <c r="AK99" i="3"/>
  <c r="L100" i="3"/>
  <c r="N100" i="3"/>
  <c r="O100" i="3"/>
  <c r="P100" i="3"/>
  <c r="Q100" i="3"/>
  <c r="S100" i="3"/>
  <c r="T100" i="3"/>
  <c r="U100" i="3"/>
  <c r="V100" i="3"/>
  <c r="X100" i="3"/>
  <c r="Y100" i="3"/>
  <c r="Z100" i="3"/>
  <c r="AA100" i="3"/>
  <c r="AC100" i="3"/>
  <c r="AD100" i="3"/>
  <c r="AE100" i="3"/>
  <c r="AF100" i="3"/>
  <c r="AH100" i="3"/>
  <c r="AI100" i="3"/>
  <c r="AJ100" i="3"/>
  <c r="AK100" i="3"/>
  <c r="L141" i="3"/>
  <c r="N141" i="3"/>
  <c r="O141" i="3"/>
  <c r="P141" i="3"/>
  <c r="N142" i="3"/>
  <c r="O142" i="3"/>
  <c r="P142" i="3"/>
  <c r="Q142" i="3"/>
  <c r="S142" i="3"/>
  <c r="T142" i="3"/>
  <c r="U142" i="3"/>
  <c r="V142" i="3"/>
  <c r="X142" i="3"/>
  <c r="Y142" i="3"/>
  <c r="Z142" i="3"/>
  <c r="AA142" i="3"/>
  <c r="AC142" i="3"/>
  <c r="AD142" i="3"/>
  <c r="AE142" i="3"/>
  <c r="AF142" i="3"/>
  <c r="AH142" i="3"/>
  <c r="AI142" i="3"/>
  <c r="AJ142" i="3"/>
  <c r="AK142" i="3"/>
  <c r="N143" i="3"/>
  <c r="O143" i="3"/>
  <c r="P143" i="3"/>
  <c r="S143" i="3"/>
  <c r="T143" i="3"/>
  <c r="U143" i="3"/>
  <c r="X143" i="3"/>
  <c r="Y143" i="3"/>
  <c r="Z143" i="3"/>
  <c r="AC143" i="3"/>
  <c r="AD143" i="3"/>
  <c r="AE143" i="3"/>
  <c r="AH143" i="3"/>
  <c r="AI143" i="3"/>
  <c r="AJ143" i="3"/>
  <c r="L144" i="3"/>
  <c r="N144" i="3"/>
  <c r="O144" i="3"/>
  <c r="P144" i="3"/>
  <c r="Q144" i="3"/>
  <c r="S144" i="3"/>
  <c r="T144" i="3"/>
  <c r="U144" i="3"/>
  <c r="V144" i="3"/>
  <c r="X144" i="3"/>
  <c r="Y144" i="3"/>
  <c r="Z144" i="3"/>
  <c r="AA144" i="3"/>
  <c r="AC144" i="3"/>
  <c r="AD144" i="3"/>
  <c r="AE144" i="3"/>
  <c r="AF144" i="3"/>
  <c r="AH144" i="3"/>
  <c r="AI144" i="3"/>
  <c r="AJ144" i="3"/>
  <c r="AK144" i="3"/>
  <c r="AK91" i="3"/>
  <c r="AJ91" i="3"/>
  <c r="AI91" i="3"/>
  <c r="AH91" i="3"/>
  <c r="AF91" i="3"/>
  <c r="AE91" i="3"/>
  <c r="AD91" i="3"/>
  <c r="AC91" i="3"/>
  <c r="AA91" i="3"/>
  <c r="Z91" i="3"/>
  <c r="Y91" i="3"/>
  <c r="X91" i="3"/>
  <c r="V91" i="3"/>
  <c r="U91" i="3"/>
  <c r="T91" i="3"/>
  <c r="S91" i="3"/>
  <c r="Q91" i="3"/>
  <c r="P91" i="3"/>
  <c r="O91" i="3"/>
  <c r="N91" i="3"/>
  <c r="L91" i="3"/>
  <c r="AK90" i="3"/>
  <c r="AJ90" i="3"/>
  <c r="AI90" i="3"/>
  <c r="AH90" i="3"/>
  <c r="AF90" i="3"/>
  <c r="AE90" i="3"/>
  <c r="AD90" i="3"/>
  <c r="AC90" i="3"/>
  <c r="AA90" i="3"/>
  <c r="Z90" i="3"/>
  <c r="Y90" i="3"/>
  <c r="X90" i="3"/>
  <c r="V90" i="3"/>
  <c r="U90" i="3"/>
  <c r="T90" i="3"/>
  <c r="S90" i="3"/>
  <c r="Q90" i="3"/>
  <c r="P90" i="3"/>
  <c r="O90" i="3"/>
  <c r="N90" i="3"/>
  <c r="L90" i="3"/>
  <c r="P58" i="3"/>
  <c r="O58" i="3"/>
  <c r="N58" i="3"/>
  <c r="L58" i="3"/>
  <c r="K184" i="3"/>
  <c r="K281" i="3"/>
  <c r="K282" i="3"/>
  <c r="K283" i="3"/>
  <c r="G236" i="3"/>
  <c r="I236" i="3"/>
  <c r="J236" i="3"/>
  <c r="I291" i="3"/>
  <c r="J291" i="3"/>
  <c r="K291" i="3"/>
  <c r="G122" i="3"/>
  <c r="G126" i="3"/>
  <c r="G127" i="3"/>
  <c r="J288" i="3"/>
  <c r="I288" i="3"/>
  <c r="G288" i="3"/>
  <c r="G184" i="3"/>
  <c r="G189" i="3"/>
  <c r="G198" i="3"/>
  <c r="G231" i="3"/>
  <c r="I184" i="3"/>
  <c r="I189" i="3"/>
  <c r="I198" i="3"/>
  <c r="I231" i="3"/>
  <c r="J184" i="3"/>
  <c r="J189" i="3"/>
  <c r="J198" i="3"/>
  <c r="J231" i="3"/>
  <c r="K189" i="3"/>
  <c r="K198" i="3"/>
  <c r="K231" i="3"/>
  <c r="K151" i="3"/>
  <c r="J151" i="3"/>
  <c r="I151" i="3"/>
  <c r="F184" i="3"/>
  <c r="G151" i="3"/>
  <c r="G232" i="3"/>
  <c r="I232" i="3"/>
  <c r="J232" i="3"/>
  <c r="K232" i="3"/>
  <c r="G235" i="3"/>
  <c r="I235" i="3"/>
  <c r="J235" i="3"/>
  <c r="I206" i="3"/>
  <c r="J152" i="3"/>
  <c r="I152" i="3"/>
  <c r="I229" i="3"/>
  <c r="J229" i="3"/>
  <c r="K229" i="3"/>
  <c r="H205" i="3"/>
  <c r="J277" i="3"/>
  <c r="E277" i="3"/>
  <c r="J155" i="3"/>
  <c r="J154" i="3"/>
  <c r="K154" i="3"/>
  <c r="K277" i="3"/>
  <c r="F277" i="3"/>
  <c r="K155" i="3"/>
  <c r="G277" i="3"/>
  <c r="H277" i="3"/>
  <c r="I277" i="3"/>
  <c r="D277" i="3"/>
  <c r="I155" i="3"/>
  <c r="I154" i="3"/>
  <c r="J42" i="3"/>
  <c r="E176" i="3"/>
  <c r="E26" i="3"/>
  <c r="E27" i="3"/>
  <c r="E177" i="3"/>
  <c r="E36" i="3"/>
  <c r="E37" i="3"/>
  <c r="E42" i="3"/>
  <c r="J153" i="3"/>
  <c r="F176" i="3"/>
  <c r="F26" i="3"/>
  <c r="F27" i="3"/>
  <c r="F177" i="3"/>
  <c r="F36" i="3"/>
  <c r="F37" i="3"/>
  <c r="F42" i="3"/>
  <c r="K153" i="3"/>
  <c r="G176" i="3"/>
  <c r="G26" i="3"/>
  <c r="G27" i="3"/>
  <c r="G36" i="3"/>
  <c r="G37" i="3"/>
  <c r="G42" i="3"/>
  <c r="D176" i="3"/>
  <c r="D26" i="3"/>
  <c r="H26" i="3"/>
  <c r="H27" i="3"/>
  <c r="D36" i="3"/>
  <c r="H36" i="3"/>
  <c r="H37" i="3"/>
  <c r="H42" i="3"/>
  <c r="I42" i="3"/>
  <c r="D27" i="3"/>
  <c r="D37" i="3"/>
  <c r="D42" i="3"/>
  <c r="I153" i="3"/>
  <c r="H115" i="3"/>
  <c r="I93" i="3"/>
  <c r="K93" i="3"/>
  <c r="G229" i="3"/>
  <c r="G227" i="3"/>
  <c r="G225" i="3"/>
  <c r="G152" i="3"/>
  <c r="G291" i="3"/>
  <c r="G60" i="3"/>
  <c r="G61" i="3"/>
  <c r="G62" i="3"/>
  <c r="G93" i="3"/>
  <c r="G94" i="3"/>
  <c r="G95" i="3"/>
  <c r="I61" i="3"/>
  <c r="I62" i="3"/>
  <c r="I94" i="3"/>
  <c r="I95" i="3"/>
  <c r="K116" i="3"/>
  <c r="J116" i="3"/>
  <c r="I116" i="3"/>
  <c r="K130" i="3"/>
  <c r="J130" i="3"/>
  <c r="I130" i="3"/>
  <c r="J61" i="3"/>
  <c r="J62" i="3"/>
  <c r="J94" i="3"/>
  <c r="J95" i="3"/>
  <c r="K61" i="3"/>
  <c r="K94" i="3"/>
  <c r="K95" i="3"/>
  <c r="G49" i="3"/>
  <c r="G82" i="3"/>
  <c r="I75" i="3"/>
  <c r="I78" i="3"/>
  <c r="I68" i="3"/>
  <c r="I79" i="3"/>
  <c r="G75" i="3"/>
  <c r="G78" i="3"/>
  <c r="G68" i="3"/>
  <c r="G79" i="3"/>
  <c r="J75" i="3"/>
  <c r="J78" i="3"/>
  <c r="J68" i="3"/>
  <c r="J79" i="3"/>
  <c r="K68" i="3"/>
  <c r="K79" i="3"/>
  <c r="I108" i="3"/>
  <c r="I112" i="3"/>
  <c r="I101" i="3"/>
  <c r="I113" i="3"/>
  <c r="G108" i="3"/>
  <c r="G112" i="3"/>
  <c r="G101" i="3"/>
  <c r="G113" i="3"/>
  <c r="J108" i="3"/>
  <c r="J112" i="3"/>
  <c r="J101" i="3"/>
  <c r="J113" i="3"/>
  <c r="K101" i="3"/>
  <c r="K113" i="3"/>
  <c r="I122" i="3"/>
  <c r="I126" i="3"/>
  <c r="I127" i="3"/>
  <c r="J122" i="3"/>
  <c r="J126" i="3"/>
  <c r="J127" i="3"/>
  <c r="K127" i="3"/>
  <c r="F160" i="3"/>
  <c r="F167" i="3"/>
  <c r="I150" i="3"/>
  <c r="J150" i="3"/>
  <c r="D229" i="3"/>
  <c r="D227" i="3"/>
  <c r="I227" i="3"/>
  <c r="D225" i="3"/>
  <c r="I225" i="3"/>
  <c r="E229" i="3"/>
  <c r="E227" i="3"/>
  <c r="J227" i="3"/>
  <c r="E225" i="3"/>
  <c r="J225" i="3"/>
  <c r="F229" i="3"/>
  <c r="F227" i="3"/>
  <c r="K227" i="3"/>
  <c r="F225" i="3"/>
  <c r="K225" i="3"/>
  <c r="F161" i="3"/>
  <c r="F157" i="3"/>
  <c r="F158" i="3"/>
  <c r="E161" i="3"/>
  <c r="E164" i="3"/>
  <c r="E167" i="3"/>
  <c r="E158" i="3"/>
  <c r="E157" i="3"/>
  <c r="D163" i="3"/>
  <c r="D164" i="3"/>
  <c r="H188" i="3"/>
  <c r="G179" i="3"/>
  <c r="H170" i="3"/>
  <c r="H171" i="3"/>
  <c r="H172" i="3"/>
  <c r="H173" i="3"/>
  <c r="H169" i="3"/>
  <c r="J179" i="3"/>
  <c r="K179" i="3"/>
  <c r="H150" i="3"/>
  <c r="G150" i="3"/>
  <c r="K141" i="3"/>
  <c r="I141" i="3"/>
  <c r="K76" i="3"/>
  <c r="K110" i="3"/>
  <c r="K136" i="3"/>
  <c r="K137" i="3"/>
  <c r="K145" i="3"/>
  <c r="J76" i="3"/>
  <c r="J110" i="3"/>
  <c r="J124" i="3"/>
  <c r="J136" i="3"/>
  <c r="J137" i="3"/>
  <c r="J145" i="3"/>
  <c r="I110" i="3"/>
  <c r="I76" i="3"/>
  <c r="I124" i="3"/>
  <c r="I136" i="3"/>
  <c r="I137" i="3"/>
  <c r="I145" i="3"/>
  <c r="K144" i="3"/>
  <c r="J144" i="3"/>
  <c r="I144" i="3"/>
  <c r="K143" i="3"/>
  <c r="J143" i="3"/>
  <c r="I143" i="3"/>
  <c r="K142" i="3"/>
  <c r="J142" i="3"/>
  <c r="I142" i="3"/>
  <c r="J141" i="3"/>
  <c r="E141" i="3"/>
  <c r="F141" i="3"/>
  <c r="G141" i="3"/>
  <c r="E142" i="3"/>
  <c r="F142" i="3"/>
  <c r="G142" i="3"/>
  <c r="E143" i="3"/>
  <c r="F143" i="3"/>
  <c r="G143" i="3"/>
  <c r="E144" i="3"/>
  <c r="F144" i="3"/>
  <c r="G144" i="3"/>
  <c r="E68" i="3"/>
  <c r="E75" i="3"/>
  <c r="E76" i="3"/>
  <c r="E101" i="3"/>
  <c r="E108" i="3"/>
  <c r="E110" i="3"/>
  <c r="E122" i="3"/>
  <c r="E124" i="3"/>
  <c r="E136" i="3"/>
  <c r="E137" i="3"/>
  <c r="E145" i="3"/>
  <c r="F68" i="3"/>
  <c r="F75" i="3"/>
  <c r="F76" i="3"/>
  <c r="F101" i="3"/>
  <c r="F108" i="3"/>
  <c r="F110" i="3"/>
  <c r="F122" i="3"/>
  <c r="F124" i="3"/>
  <c r="F136" i="3"/>
  <c r="F137" i="3"/>
  <c r="F145" i="3"/>
  <c r="G136" i="3"/>
  <c r="G137" i="3"/>
  <c r="G76" i="3"/>
  <c r="G110" i="3"/>
  <c r="G124" i="3"/>
  <c r="G145" i="3"/>
  <c r="D68" i="3"/>
  <c r="D75" i="3"/>
  <c r="D76" i="3"/>
  <c r="D101" i="3"/>
  <c r="D108" i="3"/>
  <c r="D110" i="3"/>
  <c r="D122" i="3"/>
  <c r="D124" i="3"/>
  <c r="D136" i="3"/>
  <c r="D137" i="3"/>
  <c r="D145" i="3"/>
  <c r="D144" i="3"/>
  <c r="D143" i="3"/>
  <c r="D142" i="3"/>
  <c r="D141" i="3"/>
  <c r="J138" i="3"/>
  <c r="J139" i="3"/>
  <c r="I138" i="3"/>
  <c r="I139" i="3"/>
  <c r="G138" i="3"/>
  <c r="G139" i="3"/>
  <c r="F138" i="3"/>
  <c r="F139" i="3"/>
  <c r="E138" i="3"/>
  <c r="E139" i="3"/>
  <c r="D138" i="3"/>
  <c r="D139" i="3"/>
  <c r="K138" i="3"/>
  <c r="K139" i="3"/>
  <c r="J98" i="3"/>
  <c r="K98" i="3"/>
  <c r="I98" i="3"/>
  <c r="D94" i="3"/>
  <c r="D95" i="3"/>
  <c r="E91" i="3"/>
  <c r="D91" i="3"/>
  <c r="I65" i="3"/>
  <c r="D57" i="3"/>
  <c r="E61" i="3"/>
  <c r="E62" i="3"/>
  <c r="F61" i="3"/>
  <c r="F62" i="3"/>
  <c r="G100" i="3"/>
  <c r="F93" i="3"/>
  <c r="D93" i="3"/>
  <c r="F82" i="3"/>
  <c r="E82" i="3"/>
  <c r="D82" i="3"/>
  <c r="D61" i="3"/>
  <c r="D60" i="3"/>
  <c r="E60" i="3"/>
  <c r="F60" i="3"/>
  <c r="H60" i="3"/>
  <c r="I50" i="3"/>
  <c r="D49" i="3"/>
  <c r="E49" i="3"/>
  <c r="F49" i="3"/>
  <c r="H49" i="3"/>
  <c r="F90" i="3"/>
  <c r="E90" i="3"/>
  <c r="D90" i="3"/>
  <c r="D62" i="3"/>
  <c r="D78" i="3"/>
  <c r="D79" i="3"/>
  <c r="K50" i="3"/>
  <c r="J50" i="3"/>
  <c r="E93" i="3"/>
  <c r="D112" i="3"/>
  <c r="D113" i="3"/>
  <c r="K83" i="3"/>
  <c r="F94" i="3"/>
  <c r="F95" i="3"/>
  <c r="J83" i="3"/>
  <c r="E94" i="3"/>
  <c r="E95" i="3"/>
  <c r="I83" i="3"/>
  <c r="F112" i="3"/>
  <c r="E112" i="3"/>
  <c r="E113" i="3"/>
  <c r="F113" i="3"/>
  <c r="D126" i="3"/>
  <c r="D127" i="3"/>
  <c r="F126" i="3"/>
  <c r="E126" i="3"/>
  <c r="E127" i="3"/>
  <c r="F127" i="3"/>
  <c r="F78" i="3"/>
  <c r="F79" i="3"/>
  <c r="E78" i="3"/>
  <c r="E79" i="3"/>
  <c r="K224" i="3"/>
  <c r="J224" i="3"/>
  <c r="E224" i="3"/>
  <c r="D224" i="3"/>
  <c r="I224" i="3"/>
  <c r="G224" i="3"/>
  <c r="F224" i="3"/>
  <c r="K230" i="3"/>
  <c r="K228" i="3"/>
  <c r="K226" i="3"/>
  <c r="F235" i="3"/>
  <c r="H194" i="3"/>
  <c r="H211" i="3"/>
  <c r="H235" i="3"/>
  <c r="F236" i="3"/>
  <c r="H192" i="3"/>
  <c r="H236" i="3"/>
  <c r="F232" i="3"/>
  <c r="H185" i="3"/>
  <c r="H190" i="3"/>
  <c r="H232" i="3"/>
  <c r="F189" i="3"/>
  <c r="F198" i="3"/>
  <c r="F231" i="3"/>
  <c r="H184" i="3"/>
  <c r="H186" i="3"/>
  <c r="H187" i="3"/>
  <c r="H189" i="3"/>
  <c r="H191" i="3"/>
  <c r="H193" i="3"/>
  <c r="H195" i="3"/>
  <c r="H196" i="3"/>
  <c r="H197" i="3"/>
  <c r="H198" i="3"/>
  <c r="H231" i="3"/>
  <c r="H200" i="3"/>
  <c r="H229" i="3"/>
  <c r="H227" i="3"/>
  <c r="H225" i="3"/>
  <c r="F288" i="3"/>
  <c r="H288" i="3"/>
  <c r="F291" i="3"/>
  <c r="H291" i="3"/>
  <c r="F289" i="3"/>
  <c r="G289" i="3"/>
  <c r="H289" i="3"/>
  <c r="I289" i="3"/>
  <c r="J289" i="3"/>
  <c r="J208" i="3"/>
  <c r="I208" i="3"/>
  <c r="D208" i="3"/>
  <c r="G208" i="3"/>
  <c r="H207" i="3"/>
  <c r="H201" i="3"/>
  <c r="H202" i="3"/>
  <c r="H203" i="3"/>
  <c r="H204" i="3"/>
  <c r="H206" i="3"/>
  <c r="H208" i="3"/>
  <c r="F208" i="3"/>
  <c r="E206" i="3"/>
  <c r="E208" i="3"/>
  <c r="I215" i="3"/>
  <c r="J215" i="3"/>
  <c r="G215" i="3"/>
  <c r="H210" i="3"/>
  <c r="E291" i="3"/>
  <c r="D291" i="3"/>
  <c r="E236" i="3"/>
  <c r="F215" i="3"/>
  <c r="H275" i="3"/>
  <c r="E288" i="3"/>
  <c r="D288" i="3"/>
  <c r="D184" i="3"/>
  <c r="D189" i="3"/>
  <c r="D198" i="3"/>
  <c r="D231" i="3"/>
  <c r="E184" i="3"/>
  <c r="E189" i="3"/>
  <c r="E198" i="3"/>
  <c r="E231" i="3"/>
  <c r="E215" i="3"/>
  <c r="F219" i="3"/>
  <c r="F213" i="3"/>
  <c r="F220" i="3"/>
  <c r="D232" i="3"/>
  <c r="E232" i="3"/>
  <c r="E219" i="3"/>
  <c r="E213" i="3"/>
  <c r="E220" i="3"/>
  <c r="D235" i="3"/>
  <c r="E235" i="3"/>
  <c r="F281" i="3"/>
  <c r="F282" i="3"/>
  <c r="F283" i="3"/>
  <c r="F152" i="3"/>
  <c r="F57" i="3"/>
  <c r="E57" i="3"/>
  <c r="G213" i="3"/>
  <c r="G219" i="3"/>
  <c r="G220" i="3"/>
  <c r="I213" i="3"/>
  <c r="J213" i="3"/>
  <c r="F151" i="3"/>
  <c r="E151" i="3"/>
  <c r="F150" i="3"/>
  <c r="E150" i="3"/>
  <c r="D150" i="3"/>
  <c r="F35" i="3"/>
  <c r="E152" i="3"/>
  <c r="E281" i="3"/>
  <c r="E282" i="3"/>
  <c r="E283" i="3"/>
  <c r="E289" i="3"/>
  <c r="E66" i="3"/>
  <c r="E67" i="3"/>
  <c r="D281" i="3"/>
  <c r="D215" i="3"/>
  <c r="D219" i="3"/>
  <c r="D213" i="3"/>
  <c r="D220" i="3"/>
  <c r="H209" i="3"/>
  <c r="H82" i="3"/>
  <c r="H93" i="3"/>
  <c r="I230" i="3"/>
  <c r="J230" i="3"/>
  <c r="G282" i="3"/>
  <c r="H282" i="3"/>
  <c r="I282" i="3"/>
  <c r="J282" i="3"/>
  <c r="E35" i="3"/>
  <c r="D35" i="3"/>
  <c r="D282" i="3"/>
  <c r="D283" i="3"/>
  <c r="D289" i="3"/>
  <c r="D234" i="3"/>
  <c r="E234" i="3"/>
  <c r="G234" i="3"/>
  <c r="J234" i="3"/>
  <c r="I234" i="3"/>
  <c r="F234" i="3"/>
  <c r="D228" i="3"/>
  <c r="E228" i="3"/>
  <c r="K234" i="3"/>
  <c r="I228" i="3"/>
  <c r="F228" i="3"/>
  <c r="H218" i="3"/>
  <c r="H174" i="3"/>
  <c r="D179" i="3"/>
  <c r="H43" i="3"/>
  <c r="D125" i="3"/>
  <c r="F100" i="3"/>
  <c r="E100" i="3"/>
  <c r="D99" i="3"/>
  <c r="D66" i="3"/>
  <c r="D111" i="3"/>
  <c r="E99" i="3"/>
  <c r="D67" i="3"/>
  <c r="D58" i="3"/>
  <c r="I67" i="3"/>
  <c r="D77" i="3"/>
  <c r="F99" i="3"/>
  <c r="J67" i="3"/>
  <c r="I66" i="3"/>
  <c r="G66" i="3"/>
  <c r="K67" i="3"/>
  <c r="J66" i="3"/>
  <c r="K66" i="3"/>
  <c r="H160" i="3"/>
  <c r="E226" i="3"/>
  <c r="H212" i="3"/>
  <c r="F230" i="3"/>
  <c r="F226" i="3"/>
  <c r="G226" i="3"/>
  <c r="D226" i="3"/>
  <c r="D230" i="3"/>
  <c r="G230" i="3"/>
  <c r="J226" i="3"/>
  <c r="E230" i="3"/>
  <c r="I226" i="3"/>
  <c r="D148" i="3"/>
  <c r="D41" i="3"/>
  <c r="D40" i="3"/>
  <c r="D233" i="3"/>
  <c r="D221" i="3"/>
  <c r="H215" i="3"/>
  <c r="E148" i="3"/>
  <c r="E125" i="3"/>
  <c r="E41" i="3"/>
  <c r="E233" i="3"/>
  <c r="E40" i="3"/>
  <c r="E221" i="3"/>
  <c r="E58" i="3"/>
  <c r="E77" i="3"/>
  <c r="G228" i="3"/>
  <c r="J228" i="3"/>
  <c r="E179" i="3"/>
  <c r="H161" i="3"/>
  <c r="G99" i="3"/>
  <c r="I99" i="3"/>
  <c r="D100" i="3"/>
  <c r="E111" i="3"/>
  <c r="H100" i="3"/>
  <c r="F58" i="3"/>
  <c r="F125" i="3"/>
  <c r="E149" i="3"/>
  <c r="D149" i="3"/>
  <c r="J100" i="3"/>
  <c r="J91" i="3"/>
  <c r="I100" i="3"/>
  <c r="G90" i="3"/>
  <c r="F91" i="3"/>
  <c r="G91" i="3"/>
  <c r="I90" i="3"/>
  <c r="I91" i="3"/>
  <c r="J99" i="3"/>
  <c r="H101" i="3"/>
  <c r="K91" i="3"/>
  <c r="K90" i="3"/>
  <c r="J90" i="3"/>
  <c r="K100" i="3"/>
  <c r="G57" i="3"/>
  <c r="G58" i="3"/>
  <c r="H56" i="3"/>
  <c r="I57" i="3"/>
  <c r="I58" i="3"/>
  <c r="K99" i="3"/>
  <c r="F148" i="3"/>
  <c r="J58" i="3"/>
  <c r="J57" i="3"/>
  <c r="J147" i="3"/>
  <c r="K58" i="3"/>
  <c r="K57" i="3"/>
  <c r="I147" i="3"/>
  <c r="F149" i="3"/>
  <c r="F41" i="3"/>
  <c r="F40" i="3"/>
  <c r="F233" i="3"/>
  <c r="F221" i="3"/>
  <c r="K147" i="3"/>
  <c r="F77" i="3"/>
  <c r="F111" i="3"/>
  <c r="G111" i="3"/>
  <c r="H110" i="3"/>
  <c r="H111" i="3"/>
  <c r="I111" i="3"/>
  <c r="J41" i="3"/>
  <c r="J40" i="3"/>
  <c r="I41" i="3"/>
  <c r="I40" i="3"/>
  <c r="H213" i="3"/>
  <c r="K149" i="3"/>
  <c r="K148" i="3"/>
  <c r="J149" i="3"/>
  <c r="J148" i="3"/>
  <c r="I149" i="3"/>
  <c r="I148" i="3"/>
  <c r="F179" i="3"/>
  <c r="G148" i="3"/>
  <c r="H148" i="3"/>
  <c r="G149" i="3"/>
  <c r="H149" i="3"/>
  <c r="I290" i="3"/>
  <c r="J290" i="3"/>
  <c r="K290" i="3"/>
  <c r="K111" i="3"/>
  <c r="J111" i="3"/>
  <c r="K125" i="3"/>
  <c r="H217" i="3"/>
  <c r="I219" i="3"/>
  <c r="I220" i="3"/>
  <c r="J219" i="3"/>
  <c r="J220" i="3"/>
  <c r="K221" i="3"/>
  <c r="K233" i="3"/>
  <c r="J221" i="3"/>
  <c r="J281" i="3"/>
  <c r="J283" i="3"/>
  <c r="J233" i="3"/>
  <c r="I281" i="3"/>
  <c r="I283" i="3"/>
  <c r="I221" i="3"/>
  <c r="I233" i="3"/>
  <c r="H216" i="3"/>
  <c r="H219" i="3"/>
  <c r="H220" i="3"/>
  <c r="H221" i="3"/>
  <c r="H281" i="3"/>
  <c r="H283" i="3"/>
  <c r="G281" i="3"/>
  <c r="G221" i="3"/>
  <c r="G233" i="3"/>
  <c r="H35" i="3"/>
  <c r="H41" i="3"/>
  <c r="H40" i="3"/>
  <c r="G35" i="3"/>
  <c r="K77" i="3"/>
  <c r="J77" i="3"/>
  <c r="G77" i="3"/>
  <c r="H76" i="3"/>
  <c r="H68" i="3"/>
  <c r="H77" i="3"/>
  <c r="I77" i="3"/>
  <c r="F66" i="3"/>
  <c r="H67" i="3"/>
  <c r="G67" i="3"/>
  <c r="F67" i="3"/>
  <c r="I125" i="3"/>
  <c r="J125" i="3"/>
  <c r="G125" i="3"/>
  <c r="H124" i="3"/>
  <c r="H125" i="3"/>
  <c r="I179" i="3"/>
  <c r="G41" i="3"/>
  <c r="G40" i="3"/>
  <c r="G283" i="3"/>
  <c r="M234" i="3"/>
  <c r="L66" i="3"/>
  <c r="N66" i="3"/>
  <c r="O66" i="3"/>
  <c r="P66" i="3"/>
  <c r="Q66" i="3"/>
  <c r="S66" i="3"/>
  <c r="T66" i="3"/>
  <c r="U66" i="3"/>
  <c r="V66" i="3"/>
  <c r="X66" i="3"/>
  <c r="Y66" i="3"/>
  <c r="Z66" i="3"/>
  <c r="AA66" i="3"/>
  <c r="AC66" i="3"/>
  <c r="AD66" i="3"/>
  <c r="AE66" i="3"/>
  <c r="AF66" i="3"/>
  <c r="AH66" i="3"/>
  <c r="AI66" i="3"/>
  <c r="AJ66" i="3"/>
  <c r="AK66" i="3"/>
  <c r="N67" i="3"/>
  <c r="O67" i="3"/>
  <c r="P67" i="3"/>
  <c r="Q67" i="3"/>
  <c r="S67" i="3"/>
  <c r="T67" i="3"/>
  <c r="U67" i="3"/>
  <c r="V67" i="3"/>
  <c r="X67" i="3"/>
  <c r="Y67" i="3"/>
  <c r="Z67" i="3"/>
  <c r="AA67" i="3"/>
  <c r="AC67" i="3"/>
  <c r="AD67" i="3"/>
  <c r="AE67" i="3"/>
  <c r="AF67" i="3"/>
  <c r="AH67" i="3"/>
  <c r="AI67" i="3"/>
  <c r="AJ67" i="3"/>
  <c r="AK67" i="3"/>
  <c r="Q141" i="3"/>
  <c r="S141" i="3"/>
  <c r="T141" i="3"/>
  <c r="U141" i="3"/>
  <c r="V141" i="3"/>
  <c r="X141" i="3"/>
  <c r="Y141" i="3"/>
  <c r="Z141" i="3"/>
  <c r="AA141" i="3"/>
  <c r="AC141" i="3"/>
  <c r="AD141" i="3"/>
  <c r="AE141" i="3"/>
  <c r="AF141" i="3"/>
  <c r="AH141" i="3"/>
  <c r="AI141" i="3"/>
  <c r="AJ141" i="3"/>
  <c r="AK141" i="3"/>
  <c r="AK58" i="3"/>
  <c r="AJ58" i="3"/>
  <c r="AI58" i="3"/>
  <c r="AH58" i="3"/>
  <c r="AK57" i="3"/>
  <c r="AJ57" i="3"/>
  <c r="AI57" i="3"/>
  <c r="AH57" i="3"/>
  <c r="AF58" i="3"/>
  <c r="AE58" i="3"/>
  <c r="AD58" i="3"/>
  <c r="AC58" i="3"/>
  <c r="AF57" i="3"/>
  <c r="AE57" i="3"/>
  <c r="AD57" i="3"/>
  <c r="AC57" i="3"/>
  <c r="AA58" i="3"/>
  <c r="Z58" i="3"/>
  <c r="Y58" i="3"/>
  <c r="X58" i="3"/>
  <c r="AA57" i="3"/>
  <c r="Z57" i="3"/>
  <c r="Y57" i="3"/>
  <c r="X57" i="3"/>
  <c r="V58" i="3"/>
  <c r="U58" i="3"/>
  <c r="T58" i="3"/>
  <c r="S58" i="3"/>
  <c r="V57" i="3"/>
  <c r="U57" i="3"/>
  <c r="T57" i="3"/>
  <c r="S57" i="3"/>
  <c r="Q58" i="3"/>
  <c r="Q57" i="3"/>
  <c r="P57" i="3"/>
  <c r="O57" i="3"/>
  <c r="N57" i="3"/>
  <c r="Q64" i="3"/>
  <c r="V64" i="3"/>
  <c r="AA64" i="3"/>
  <c r="L143" i="3"/>
  <c r="Q143" i="3"/>
  <c r="V143" i="3"/>
  <c r="AA143" i="3"/>
  <c r="AF64" i="3"/>
  <c r="AF143" i="3"/>
  <c r="AK64" i="3"/>
  <c r="AK143" i="3"/>
  <c r="AL250" i="3"/>
  <c r="AG250" i="3"/>
  <c r="AB250" i="3"/>
  <c r="W250" i="3"/>
  <c r="L63" i="3"/>
  <c r="L142" i="3"/>
  <c r="N136" i="3"/>
  <c r="N137" i="3"/>
  <c r="O136" i="3"/>
  <c r="O137" i="3"/>
  <c r="P136" i="3"/>
  <c r="P137" i="3"/>
  <c r="Q136" i="3"/>
  <c r="Q137" i="3"/>
  <c r="N138" i="3"/>
  <c r="N139" i="3"/>
  <c r="O138" i="3"/>
  <c r="O139" i="3"/>
  <c r="P138" i="3"/>
  <c r="P139" i="3"/>
  <c r="Q138" i="3"/>
  <c r="Q139" i="3"/>
  <c r="N125" i="3"/>
  <c r="O125" i="3"/>
  <c r="P125" i="3"/>
  <c r="Q125" i="3"/>
  <c r="N111" i="3"/>
  <c r="O111" i="3"/>
  <c r="P111" i="3"/>
  <c r="Q111" i="3"/>
  <c r="R20" i="3"/>
  <c r="M215" i="3"/>
  <c r="AK136" i="3"/>
  <c r="AK138" i="3"/>
  <c r="AK139" i="3"/>
  <c r="AJ136" i="3"/>
  <c r="AJ138" i="3"/>
  <c r="AJ139" i="3"/>
  <c r="AI136" i="3"/>
  <c r="AI138" i="3"/>
  <c r="AI139" i="3"/>
  <c r="AH136" i="3"/>
  <c r="AH138" i="3"/>
  <c r="AH139" i="3"/>
  <c r="AK137" i="3"/>
  <c r="AJ137" i="3"/>
  <c r="AI137" i="3"/>
  <c r="AH137" i="3"/>
  <c r="AF136" i="3"/>
  <c r="AF138" i="3"/>
  <c r="AF139" i="3"/>
  <c r="AE136" i="3"/>
  <c r="AE138" i="3"/>
  <c r="AE139" i="3"/>
  <c r="AD136" i="3"/>
  <c r="AD138" i="3"/>
  <c r="AD139" i="3"/>
  <c r="AC136" i="3"/>
  <c r="AC138" i="3"/>
  <c r="AC139" i="3"/>
  <c r="AF137" i="3"/>
  <c r="AE137" i="3"/>
  <c r="AD137" i="3"/>
  <c r="AC137" i="3"/>
  <c r="AA136" i="3"/>
  <c r="AA138" i="3"/>
  <c r="AA139" i="3"/>
  <c r="Z136" i="3"/>
  <c r="Z138" i="3"/>
  <c r="Z139" i="3"/>
  <c r="Y136" i="3"/>
  <c r="Y138" i="3"/>
  <c r="Y139" i="3"/>
  <c r="X136" i="3"/>
  <c r="X138" i="3"/>
  <c r="X139" i="3"/>
  <c r="AA137" i="3"/>
  <c r="Z137" i="3"/>
  <c r="Y137" i="3"/>
  <c r="X137" i="3"/>
  <c r="V136" i="3"/>
  <c r="V138" i="3"/>
  <c r="V139" i="3"/>
  <c r="U136" i="3"/>
  <c r="U138" i="3"/>
  <c r="U139" i="3"/>
  <c r="T136" i="3"/>
  <c r="T138" i="3"/>
  <c r="T139" i="3"/>
  <c r="S136" i="3"/>
  <c r="S138" i="3"/>
  <c r="S139" i="3"/>
  <c r="V137" i="3"/>
  <c r="U137" i="3"/>
  <c r="T137" i="3"/>
  <c r="S137" i="3"/>
  <c r="AK126" i="3"/>
  <c r="AK125" i="3"/>
  <c r="AJ125" i="3"/>
  <c r="AI125" i="3"/>
  <c r="AH125" i="3"/>
  <c r="AF125" i="3"/>
  <c r="AE125" i="3"/>
  <c r="AD125" i="3"/>
  <c r="AC125" i="3"/>
  <c r="AA125" i="3"/>
  <c r="Z125" i="3"/>
  <c r="Y125" i="3"/>
  <c r="X125" i="3"/>
  <c r="V125" i="3"/>
  <c r="U125" i="3"/>
  <c r="T125" i="3"/>
  <c r="S125" i="3"/>
  <c r="AK112" i="3"/>
  <c r="AK111" i="3"/>
  <c r="AJ111" i="3"/>
  <c r="AI111" i="3"/>
  <c r="AH111" i="3"/>
  <c r="AF111" i="3"/>
  <c r="AE111" i="3"/>
  <c r="AD111" i="3"/>
  <c r="AC111" i="3"/>
  <c r="AA111" i="3"/>
  <c r="Z111" i="3"/>
  <c r="Y111" i="3"/>
  <c r="X111" i="3"/>
  <c r="V111" i="3"/>
  <c r="U111" i="3"/>
  <c r="T111" i="3"/>
  <c r="S111" i="3"/>
  <c r="AL20" i="3"/>
  <c r="AG20" i="3"/>
  <c r="AB20" i="3"/>
  <c r="W20" i="3"/>
  <c r="AL270" i="3"/>
  <c r="AL272" i="3"/>
  <c r="L226" i="3"/>
  <c r="R250" i="3"/>
  <c r="M245" i="3"/>
  <c r="M289" i="3"/>
  <c r="AH76" i="3"/>
  <c r="AI76" i="3"/>
  <c r="AJ76" i="3"/>
  <c r="AK75" i="3"/>
  <c r="AK76" i="3"/>
  <c r="AL76" i="3"/>
  <c r="AL77" i="3"/>
  <c r="AC76" i="3"/>
  <c r="AD76" i="3"/>
  <c r="AE76" i="3"/>
  <c r="AF76" i="3"/>
  <c r="AG76" i="3"/>
  <c r="AG77" i="3"/>
  <c r="X76" i="3"/>
  <c r="Y76" i="3"/>
  <c r="Z76" i="3"/>
  <c r="AA76" i="3"/>
  <c r="AB76" i="3"/>
  <c r="AB77" i="3"/>
  <c r="S76" i="3"/>
  <c r="T76" i="3"/>
  <c r="U76" i="3"/>
  <c r="V76" i="3"/>
  <c r="W76" i="3"/>
  <c r="W77" i="3"/>
  <c r="N76" i="3"/>
  <c r="O76" i="3"/>
  <c r="P76" i="3"/>
  <c r="Q76" i="3"/>
  <c r="R76" i="3"/>
  <c r="R77" i="3"/>
  <c r="L76" i="3"/>
  <c r="M76" i="3"/>
  <c r="M77" i="3"/>
  <c r="C315" i="3"/>
  <c r="C316" i="3"/>
  <c r="N178" i="3"/>
  <c r="N36" i="3"/>
  <c r="AL277" i="3"/>
  <c r="AG277" i="3"/>
  <c r="AK155" i="3"/>
  <c r="AJ155" i="3"/>
  <c r="AI155" i="3"/>
  <c r="AH155" i="3"/>
  <c r="AG257" i="3"/>
  <c r="AK154" i="3"/>
  <c r="AJ154" i="3"/>
  <c r="AI154" i="3"/>
  <c r="AH154" i="3"/>
  <c r="AI176" i="3"/>
  <c r="AI26" i="3"/>
  <c r="AI178" i="3"/>
  <c r="AI36" i="3"/>
  <c r="AJ176" i="3"/>
  <c r="AJ26" i="3"/>
  <c r="AJ178" i="3"/>
  <c r="AJ36" i="3"/>
  <c r="AK174" i="3"/>
  <c r="AK176" i="3"/>
  <c r="AK26" i="3"/>
  <c r="AK178" i="3"/>
  <c r="AK36" i="3"/>
  <c r="AH35" i="3"/>
  <c r="AL23" i="3"/>
  <c r="AL25" i="3"/>
  <c r="AL31" i="3"/>
  <c r="AL32" i="3"/>
  <c r="AL33" i="3"/>
  <c r="AL35" i="3"/>
  <c r="AI35" i="3"/>
  <c r="AJ35" i="3"/>
  <c r="AK35" i="3"/>
  <c r="AL39" i="3"/>
  <c r="AD176" i="3"/>
  <c r="AD26" i="3"/>
  <c r="AD178" i="3"/>
  <c r="AD36" i="3"/>
  <c r="AE176" i="3"/>
  <c r="AE26" i="3"/>
  <c r="AE178" i="3"/>
  <c r="AE36" i="3"/>
  <c r="AF176" i="3"/>
  <c r="AF26" i="3"/>
  <c r="AF178" i="3"/>
  <c r="AF36" i="3"/>
  <c r="AC35" i="3"/>
  <c r="AG23" i="3"/>
  <c r="AG25" i="3"/>
  <c r="AG31" i="3"/>
  <c r="AG32" i="3"/>
  <c r="AG33" i="3"/>
  <c r="AG35" i="3"/>
  <c r="AD35" i="3"/>
  <c r="AE35" i="3"/>
  <c r="AF35" i="3"/>
  <c r="AG39" i="3"/>
  <c r="AH176" i="3"/>
  <c r="AH26" i="3"/>
  <c r="AH27" i="3"/>
  <c r="AH178" i="3"/>
  <c r="AH36" i="3"/>
  <c r="AH37" i="3"/>
  <c r="AI27" i="3"/>
  <c r="AI37" i="3"/>
  <c r="AJ27" i="3"/>
  <c r="AJ37" i="3"/>
  <c r="AK27" i="3"/>
  <c r="AK37" i="3"/>
  <c r="AL37" i="3"/>
  <c r="AL42" i="3"/>
  <c r="AC176" i="3"/>
  <c r="AC26" i="3"/>
  <c r="AC27" i="3"/>
  <c r="AC178" i="3"/>
  <c r="AC36" i="3"/>
  <c r="AC37" i="3"/>
  <c r="AD27" i="3"/>
  <c r="AD37" i="3"/>
  <c r="AE27" i="3"/>
  <c r="AE37" i="3"/>
  <c r="AF27" i="3"/>
  <c r="AF37" i="3"/>
  <c r="AG37" i="3"/>
  <c r="AG42" i="3"/>
  <c r="AK42" i="3"/>
  <c r="AF42" i="3"/>
  <c r="AK153" i="3"/>
  <c r="AJ42" i="3"/>
  <c r="AE42" i="3"/>
  <c r="AJ153" i="3"/>
  <c r="AI42" i="3"/>
  <c r="AD42" i="3"/>
  <c r="AI153" i="3"/>
  <c r="AH42" i="3"/>
  <c r="AC42" i="3"/>
  <c r="AH153" i="3"/>
  <c r="AB277" i="3"/>
  <c r="AF155" i="3"/>
  <c r="AE155" i="3"/>
  <c r="AD155" i="3"/>
  <c r="AC155" i="3"/>
  <c r="AB257" i="3"/>
  <c r="AF154" i="3"/>
  <c r="AE154" i="3"/>
  <c r="AD154" i="3"/>
  <c r="AC154" i="3"/>
  <c r="Y176" i="3"/>
  <c r="Y26" i="3"/>
  <c r="Y178" i="3"/>
  <c r="Y36" i="3"/>
  <c r="Z176" i="3"/>
  <c r="Z26" i="3"/>
  <c r="Z178" i="3"/>
  <c r="Z36" i="3"/>
  <c r="AA175" i="3"/>
  <c r="AA176" i="3"/>
  <c r="AA26" i="3"/>
  <c r="AA178" i="3"/>
  <c r="AA36" i="3"/>
  <c r="X35" i="3"/>
  <c r="AB23" i="3"/>
  <c r="AB25" i="3"/>
  <c r="AB31" i="3"/>
  <c r="AB32" i="3"/>
  <c r="AB33" i="3"/>
  <c r="AB35" i="3"/>
  <c r="Y35" i="3"/>
  <c r="Z35" i="3"/>
  <c r="AA35" i="3"/>
  <c r="AB39" i="3"/>
  <c r="X176" i="3"/>
  <c r="X26" i="3"/>
  <c r="X27" i="3"/>
  <c r="X178" i="3"/>
  <c r="X36" i="3"/>
  <c r="X37" i="3"/>
  <c r="Y27" i="3"/>
  <c r="Y37" i="3"/>
  <c r="Z27" i="3"/>
  <c r="Z37" i="3"/>
  <c r="AA27" i="3"/>
  <c r="AA37" i="3"/>
  <c r="AB37" i="3"/>
  <c r="AB42" i="3"/>
  <c r="AA42" i="3"/>
  <c r="AF153" i="3"/>
  <c r="Z42" i="3"/>
  <c r="AE153" i="3"/>
  <c r="Y42" i="3"/>
  <c r="AD153" i="3"/>
  <c r="X42" i="3"/>
  <c r="AC153" i="3"/>
  <c r="W277" i="3"/>
  <c r="AA155" i="3"/>
  <c r="Z155" i="3"/>
  <c r="Y155" i="3"/>
  <c r="X155" i="3"/>
  <c r="W257" i="3"/>
  <c r="AA154" i="3"/>
  <c r="Z154" i="3"/>
  <c r="Y154" i="3"/>
  <c r="X154" i="3"/>
  <c r="T176" i="3"/>
  <c r="T26" i="3"/>
  <c r="T178" i="3"/>
  <c r="T36" i="3"/>
  <c r="U176" i="3"/>
  <c r="U26" i="3"/>
  <c r="U178" i="3"/>
  <c r="U36" i="3"/>
  <c r="V176" i="3"/>
  <c r="V26" i="3"/>
  <c r="V178" i="3"/>
  <c r="V36" i="3"/>
  <c r="S35" i="3"/>
  <c r="W23" i="3"/>
  <c r="W25" i="3"/>
  <c r="W31" i="3"/>
  <c r="W32" i="3"/>
  <c r="W33" i="3"/>
  <c r="W35" i="3"/>
  <c r="T35" i="3"/>
  <c r="U35" i="3"/>
  <c r="V35" i="3"/>
  <c r="W39" i="3"/>
  <c r="S176" i="3"/>
  <c r="S26" i="3"/>
  <c r="S27" i="3"/>
  <c r="S178" i="3"/>
  <c r="S36" i="3"/>
  <c r="S37" i="3"/>
  <c r="T27" i="3"/>
  <c r="T37" i="3"/>
  <c r="U27" i="3"/>
  <c r="U37" i="3"/>
  <c r="V27" i="3"/>
  <c r="V37" i="3"/>
  <c r="W37" i="3"/>
  <c r="W42" i="3"/>
  <c r="V42" i="3"/>
  <c r="AA153" i="3"/>
  <c r="U42" i="3"/>
  <c r="Z153" i="3"/>
  <c r="T42" i="3"/>
  <c r="Y153" i="3"/>
  <c r="S42" i="3"/>
  <c r="X153" i="3"/>
  <c r="R277" i="3"/>
  <c r="V155" i="3"/>
  <c r="U155" i="3"/>
  <c r="T155" i="3"/>
  <c r="S155" i="3"/>
  <c r="R257" i="3"/>
  <c r="V154" i="3"/>
  <c r="U154" i="3"/>
  <c r="T154" i="3"/>
  <c r="S154" i="3"/>
  <c r="Q42" i="3"/>
  <c r="V153" i="3"/>
  <c r="P42" i="3"/>
  <c r="U153" i="3"/>
  <c r="O42" i="3"/>
  <c r="T153" i="3"/>
  <c r="N42" i="3"/>
  <c r="S153" i="3"/>
  <c r="AL27" i="3"/>
  <c r="AK149" i="3"/>
  <c r="AJ149" i="3"/>
  <c r="AI149" i="3"/>
  <c r="AH149" i="3"/>
  <c r="AK148" i="3"/>
  <c r="AJ148" i="3"/>
  <c r="AI148" i="3"/>
  <c r="AH148" i="3"/>
  <c r="AG27" i="3"/>
  <c r="AF149" i="3"/>
  <c r="AE149" i="3"/>
  <c r="AD149" i="3"/>
  <c r="AC149" i="3"/>
  <c r="AF148" i="3"/>
  <c r="AE148" i="3"/>
  <c r="AD148" i="3"/>
  <c r="AC148" i="3"/>
  <c r="AB27" i="3"/>
  <c r="AA149" i="3"/>
  <c r="Z149" i="3"/>
  <c r="Y149" i="3"/>
  <c r="X149" i="3"/>
  <c r="AA148" i="3"/>
  <c r="Z148" i="3"/>
  <c r="Y148" i="3"/>
  <c r="X148" i="3"/>
  <c r="W27" i="3"/>
  <c r="V149" i="3"/>
  <c r="U149" i="3"/>
  <c r="T149" i="3"/>
  <c r="S149" i="3"/>
  <c r="V148" i="3"/>
  <c r="U148" i="3"/>
  <c r="T148" i="3"/>
  <c r="S148" i="3"/>
  <c r="P155" i="3"/>
  <c r="O155" i="3"/>
  <c r="N155" i="3"/>
  <c r="P154" i="3"/>
  <c r="O154" i="3"/>
  <c r="N154" i="3"/>
  <c r="L37" i="3"/>
  <c r="L42" i="3"/>
  <c r="Q153" i="3"/>
  <c r="P153" i="3"/>
  <c r="O153" i="3"/>
  <c r="N153" i="3"/>
  <c r="Q149" i="3"/>
  <c r="P149" i="3"/>
  <c r="O149" i="3"/>
  <c r="N149" i="3"/>
  <c r="Q148" i="3"/>
  <c r="P148" i="3"/>
  <c r="O148" i="3"/>
  <c r="N148" i="3"/>
  <c r="M33" i="3"/>
  <c r="M35" i="3"/>
  <c r="L35" i="3"/>
  <c r="M39" i="3"/>
  <c r="M37" i="3"/>
  <c r="M42" i="3"/>
  <c r="P208" i="3"/>
  <c r="P213" i="3"/>
  <c r="L216" i="3"/>
  <c r="N216" i="3"/>
  <c r="O216" i="3"/>
  <c r="P216" i="3"/>
  <c r="P219" i="3"/>
  <c r="P220" i="3"/>
  <c r="P190" i="3"/>
  <c r="O208" i="3"/>
  <c r="O213" i="3"/>
  <c r="O219" i="3"/>
  <c r="O220" i="3"/>
  <c r="O190" i="3"/>
  <c r="N208" i="3"/>
  <c r="N213" i="3"/>
  <c r="L219" i="3"/>
  <c r="N219" i="3"/>
  <c r="N220" i="3"/>
  <c r="N195" i="3"/>
  <c r="O195" i="3"/>
  <c r="P195" i="3"/>
  <c r="P261" i="3"/>
  <c r="P185" i="3"/>
  <c r="O185" i="3"/>
  <c r="P259" i="3"/>
  <c r="P262" i="3"/>
  <c r="P274" i="3"/>
  <c r="Q208" i="3"/>
  <c r="Q213" i="3"/>
  <c r="Q216" i="3"/>
  <c r="Q219" i="3"/>
  <c r="Q220" i="3"/>
  <c r="Q195" i="3"/>
  <c r="Q261" i="3"/>
  <c r="Q185" i="3"/>
  <c r="Q190" i="3"/>
  <c r="Q259" i="3"/>
  <c r="Q262" i="3"/>
  <c r="Q274" i="3"/>
  <c r="R27" i="3"/>
  <c r="L153" i="3"/>
  <c r="L149" i="3"/>
  <c r="L148" i="3"/>
  <c r="L41" i="3"/>
  <c r="S216" i="3"/>
  <c r="T216" i="3"/>
  <c r="U216" i="3"/>
  <c r="V216" i="3"/>
  <c r="X216" i="3"/>
  <c r="Y216" i="3"/>
  <c r="Z216" i="3"/>
  <c r="AA216" i="3"/>
  <c r="AC216" i="3"/>
  <c r="AD216" i="3"/>
  <c r="AE216" i="3"/>
  <c r="AF216" i="3"/>
  <c r="AH216" i="3"/>
  <c r="AI216" i="3"/>
  <c r="AJ216" i="3"/>
  <c r="AK216" i="3"/>
  <c r="AL216" i="3"/>
  <c r="AL219" i="3"/>
  <c r="AL233" i="3"/>
  <c r="AK208" i="3"/>
  <c r="AK213" i="3"/>
  <c r="AK219" i="3"/>
  <c r="AK220" i="3"/>
  <c r="AK185" i="3"/>
  <c r="AL185" i="3"/>
  <c r="AL232" i="3"/>
  <c r="N190" i="3"/>
  <c r="O261" i="3"/>
  <c r="N261" i="3"/>
  <c r="R261" i="3"/>
  <c r="N185" i="3"/>
  <c r="N259" i="3"/>
  <c r="O259" i="3"/>
  <c r="R259" i="3"/>
  <c r="R262" i="3"/>
  <c r="R274" i="3"/>
  <c r="M261" i="3"/>
  <c r="M251" i="3"/>
  <c r="M253" i="3"/>
  <c r="S208" i="3"/>
  <c r="S213" i="3"/>
  <c r="S219" i="3"/>
  <c r="S220" i="3"/>
  <c r="S190" i="3"/>
  <c r="T208" i="3"/>
  <c r="T213" i="3"/>
  <c r="T219" i="3"/>
  <c r="T220" i="3"/>
  <c r="T190" i="3"/>
  <c r="U208" i="3"/>
  <c r="U213" i="3"/>
  <c r="U219" i="3"/>
  <c r="U220" i="3"/>
  <c r="U190" i="3"/>
  <c r="V208" i="3"/>
  <c r="V213" i="3"/>
  <c r="S195" i="3"/>
  <c r="T195" i="3"/>
  <c r="T261" i="3"/>
  <c r="U195" i="3"/>
  <c r="U261" i="3"/>
  <c r="V219" i="3"/>
  <c r="V220" i="3"/>
  <c r="V195" i="3"/>
  <c r="V261" i="3"/>
  <c r="S261" i="3"/>
  <c r="W261" i="3"/>
  <c r="S185" i="3"/>
  <c r="S259" i="3"/>
  <c r="T185" i="3"/>
  <c r="T259" i="3"/>
  <c r="U185" i="3"/>
  <c r="U259" i="3"/>
  <c r="V185" i="3"/>
  <c r="V190" i="3"/>
  <c r="V259" i="3"/>
  <c r="W259" i="3"/>
  <c r="W262" i="3"/>
  <c r="W274" i="3"/>
  <c r="X208" i="3"/>
  <c r="X213" i="3"/>
  <c r="Y208" i="3"/>
  <c r="Y213" i="3"/>
  <c r="Z208" i="3"/>
  <c r="Z213" i="3"/>
  <c r="AA208" i="3"/>
  <c r="AA213" i="3"/>
  <c r="X219" i="3"/>
  <c r="X220" i="3"/>
  <c r="X195" i="3"/>
  <c r="Y219" i="3"/>
  <c r="Y220" i="3"/>
  <c r="Y195" i="3"/>
  <c r="Y261" i="3"/>
  <c r="Z219" i="3"/>
  <c r="Z220" i="3"/>
  <c r="Z195" i="3"/>
  <c r="Z261" i="3"/>
  <c r="AA219" i="3"/>
  <c r="AA220" i="3"/>
  <c r="AA195" i="3"/>
  <c r="AA261" i="3"/>
  <c r="X261" i="3"/>
  <c r="AB261" i="3"/>
  <c r="X185" i="3"/>
  <c r="X259" i="3"/>
  <c r="Y185" i="3"/>
  <c r="Y259" i="3"/>
  <c r="Z185" i="3"/>
  <c r="Z259" i="3"/>
  <c r="AA185" i="3"/>
  <c r="AA259" i="3"/>
  <c r="AB259" i="3"/>
  <c r="AB262" i="3"/>
  <c r="AB274" i="3"/>
  <c r="AC208" i="3"/>
  <c r="AC213" i="3"/>
  <c r="AD208" i="3"/>
  <c r="AD213" i="3"/>
  <c r="AE208" i="3"/>
  <c r="AE213" i="3"/>
  <c r="AF208" i="3"/>
  <c r="AF213" i="3"/>
  <c r="AC219" i="3"/>
  <c r="AC220" i="3"/>
  <c r="AC195" i="3"/>
  <c r="AD219" i="3"/>
  <c r="AD220" i="3"/>
  <c r="AD195" i="3"/>
  <c r="AD261" i="3"/>
  <c r="AE219" i="3"/>
  <c r="AE220" i="3"/>
  <c r="AE195" i="3"/>
  <c r="AE261" i="3"/>
  <c r="AF219" i="3"/>
  <c r="AF220" i="3"/>
  <c r="AF195" i="3"/>
  <c r="AF261" i="3"/>
  <c r="AC261" i="3"/>
  <c r="AG261" i="3"/>
  <c r="AC185" i="3"/>
  <c r="AC259" i="3"/>
  <c r="AD185" i="3"/>
  <c r="AD259" i="3"/>
  <c r="AE185" i="3"/>
  <c r="AE259" i="3"/>
  <c r="AF185" i="3"/>
  <c r="AF259" i="3"/>
  <c r="AG259" i="3"/>
  <c r="AG262" i="3"/>
  <c r="AG274" i="3"/>
  <c r="AH208" i="3"/>
  <c r="AH213" i="3"/>
  <c r="AH219" i="3"/>
  <c r="AH220" i="3"/>
  <c r="AH185" i="3"/>
  <c r="AH259" i="3"/>
  <c r="AH195" i="3"/>
  <c r="AH261" i="3"/>
  <c r="AH262" i="3"/>
  <c r="AH274" i="3"/>
  <c r="AI208" i="3"/>
  <c r="AI213" i="3"/>
  <c r="AI219" i="3"/>
  <c r="AI220" i="3"/>
  <c r="AI195" i="3"/>
  <c r="AI261" i="3"/>
  <c r="AI185" i="3"/>
  <c r="AI259" i="3"/>
  <c r="AI262" i="3"/>
  <c r="AI274" i="3"/>
  <c r="AJ208" i="3"/>
  <c r="AJ213" i="3"/>
  <c r="AJ219" i="3"/>
  <c r="AJ220" i="3"/>
  <c r="AJ195" i="3"/>
  <c r="AJ261" i="3"/>
  <c r="AJ185" i="3"/>
  <c r="AJ259" i="3"/>
  <c r="AJ262" i="3"/>
  <c r="AJ274" i="3"/>
  <c r="AK195" i="3"/>
  <c r="AK261" i="3"/>
  <c r="AK259" i="3"/>
  <c r="AK262" i="3"/>
  <c r="AK274" i="3"/>
  <c r="AL195" i="3"/>
  <c r="AL21" i="3"/>
  <c r="AL200" i="3"/>
  <c r="AL229" i="3"/>
  <c r="AL187" i="3"/>
  <c r="AL17" i="3"/>
  <c r="AL227" i="3"/>
  <c r="AG216" i="3"/>
  <c r="AG219" i="3"/>
  <c r="AG233" i="3"/>
  <c r="AG185" i="3"/>
  <c r="AG232" i="3"/>
  <c r="AC262" i="3"/>
  <c r="AC274" i="3"/>
  <c r="AD262" i="3"/>
  <c r="AD274" i="3"/>
  <c r="AE262" i="3"/>
  <c r="AE274" i="3"/>
  <c r="AF262" i="3"/>
  <c r="AF274" i="3"/>
  <c r="AG195" i="3"/>
  <c r="AG21" i="3"/>
  <c r="AG200" i="3"/>
  <c r="AG229" i="3"/>
  <c r="AG187" i="3"/>
  <c r="AG17" i="3"/>
  <c r="AG227" i="3"/>
  <c r="AB216" i="3"/>
  <c r="AB219" i="3"/>
  <c r="AB233" i="3"/>
  <c r="AB185" i="3"/>
  <c r="AB232" i="3"/>
  <c r="X262" i="3"/>
  <c r="X274" i="3"/>
  <c r="Y262" i="3"/>
  <c r="Y274" i="3"/>
  <c r="Z262" i="3"/>
  <c r="Z274" i="3"/>
  <c r="AA262" i="3"/>
  <c r="AA274" i="3"/>
  <c r="AB195" i="3"/>
  <c r="AB21" i="3"/>
  <c r="AB200" i="3"/>
  <c r="AB229" i="3"/>
  <c r="AB187" i="3"/>
  <c r="AB17" i="3"/>
  <c r="AB227" i="3"/>
  <c r="W216" i="3"/>
  <c r="W219" i="3"/>
  <c r="W233" i="3"/>
  <c r="W185" i="3"/>
  <c r="W190" i="3"/>
  <c r="W232" i="3"/>
  <c r="S262" i="3"/>
  <c r="S274" i="3"/>
  <c r="T262" i="3"/>
  <c r="T274" i="3"/>
  <c r="U262" i="3"/>
  <c r="U274" i="3"/>
  <c r="V262" i="3"/>
  <c r="V274" i="3"/>
  <c r="W195" i="3"/>
  <c r="W21" i="3"/>
  <c r="W200" i="3"/>
  <c r="W229" i="3"/>
  <c r="W187" i="3"/>
  <c r="W17" i="3"/>
  <c r="W227" i="3"/>
  <c r="R216" i="3"/>
  <c r="R219" i="3"/>
  <c r="R233" i="3"/>
  <c r="R185" i="3"/>
  <c r="R190" i="3"/>
  <c r="R232" i="3"/>
  <c r="O262" i="3"/>
  <c r="O274" i="3"/>
  <c r="N262" i="3"/>
  <c r="N274" i="3"/>
  <c r="R195" i="3"/>
  <c r="R21" i="3"/>
  <c r="R200" i="3"/>
  <c r="R229" i="3"/>
  <c r="R187" i="3"/>
  <c r="R17" i="3"/>
  <c r="R227" i="3"/>
  <c r="AL290" i="3"/>
  <c r="AG290" i="3"/>
  <c r="AB290" i="3"/>
  <c r="W290" i="3"/>
  <c r="M185" i="3"/>
  <c r="M190" i="3"/>
  <c r="M232" i="3"/>
  <c r="M195" i="3"/>
  <c r="M21" i="3"/>
  <c r="M200" i="3"/>
  <c r="M229" i="3"/>
  <c r="M187" i="3"/>
  <c r="M17" i="3"/>
  <c r="M227" i="3"/>
  <c r="R201" i="3"/>
  <c r="R256" i="3"/>
  <c r="L77" i="3"/>
  <c r="N77" i="3"/>
  <c r="O77" i="3"/>
  <c r="P77" i="3"/>
  <c r="M22" i="3"/>
  <c r="M19" i="3"/>
  <c r="M18" i="3"/>
  <c r="L145" i="3"/>
  <c r="N145" i="3"/>
  <c r="O145" i="3"/>
  <c r="P145" i="3"/>
  <c r="M208" i="3"/>
  <c r="M213" i="3"/>
  <c r="L40" i="3"/>
  <c r="L233" i="3"/>
  <c r="M38" i="3"/>
  <c r="M40" i="3"/>
  <c r="M41" i="3"/>
  <c r="M216" i="3"/>
  <c r="M219" i="3"/>
  <c r="M233" i="3"/>
  <c r="P290" i="3"/>
  <c r="O290" i="3"/>
  <c r="N40" i="3"/>
  <c r="O40" i="3"/>
  <c r="P40" i="3"/>
  <c r="N41" i="3"/>
  <c r="O41" i="3"/>
  <c r="P41" i="3"/>
  <c r="N233" i="3"/>
  <c r="O233" i="3"/>
  <c r="P233" i="3"/>
  <c r="AK290" i="3"/>
  <c r="AJ290" i="3"/>
  <c r="AI290" i="3"/>
  <c r="AH290" i="3"/>
  <c r="AF290" i="3"/>
  <c r="AE290" i="3"/>
  <c r="AD290" i="3"/>
  <c r="AC290" i="3"/>
  <c r="AA290" i="3"/>
  <c r="Z290" i="3"/>
  <c r="Y290" i="3"/>
  <c r="X290" i="3"/>
  <c r="W241" i="3"/>
  <c r="AL201" i="3"/>
  <c r="AG201" i="3"/>
  <c r="AB201" i="3"/>
  <c r="W201" i="3"/>
  <c r="AL256" i="3"/>
  <c r="AL253" i="3"/>
  <c r="AL251" i="3"/>
  <c r="AG256" i="3"/>
  <c r="AG253" i="3"/>
  <c r="AG251" i="3"/>
  <c r="AB256" i="3"/>
  <c r="AB253" i="3"/>
  <c r="AB251" i="3"/>
  <c r="W256" i="3"/>
  <c r="W253" i="3"/>
  <c r="W251" i="3"/>
  <c r="R251" i="3"/>
  <c r="R253" i="3"/>
  <c r="AL208" i="3"/>
  <c r="AL213" i="3"/>
  <c r="AG208" i="3"/>
  <c r="AG213" i="3"/>
  <c r="AB208" i="3"/>
  <c r="AB213" i="3"/>
  <c r="W208" i="3"/>
  <c r="W213" i="3"/>
  <c r="R208" i="3"/>
  <c r="R213" i="3"/>
  <c r="AL241" i="3"/>
  <c r="AG241" i="3"/>
  <c r="AB241" i="3"/>
  <c r="AL26" i="3"/>
  <c r="AG26" i="3"/>
  <c r="AB26" i="3"/>
  <c r="W26" i="3"/>
  <c r="AL36" i="3"/>
  <c r="AG36" i="3"/>
  <c r="AB36" i="3"/>
  <c r="W36" i="3"/>
  <c r="R36" i="3"/>
  <c r="R26" i="3"/>
  <c r="AL41" i="3"/>
  <c r="AK41" i="3"/>
  <c r="AJ41" i="3"/>
  <c r="AI41" i="3"/>
  <c r="AH41" i="3"/>
  <c r="AL38" i="3"/>
  <c r="AL40" i="3"/>
  <c r="AK40" i="3"/>
  <c r="AJ40" i="3"/>
  <c r="AI40" i="3"/>
  <c r="AH40" i="3"/>
  <c r="AG41" i="3"/>
  <c r="AF41" i="3"/>
  <c r="AE41" i="3"/>
  <c r="AD41" i="3"/>
  <c r="AC41" i="3"/>
  <c r="AG38" i="3"/>
  <c r="AG40" i="3"/>
  <c r="AF40" i="3"/>
  <c r="AE40" i="3"/>
  <c r="AD40" i="3"/>
  <c r="AC40" i="3"/>
  <c r="AB41" i="3"/>
  <c r="AA41" i="3"/>
  <c r="Z41" i="3"/>
  <c r="Y41" i="3"/>
  <c r="X41" i="3"/>
  <c r="AB38" i="3"/>
  <c r="AB40" i="3"/>
  <c r="AA40" i="3"/>
  <c r="Z40" i="3"/>
  <c r="Y40" i="3"/>
  <c r="X40" i="3"/>
  <c r="W41" i="3"/>
  <c r="V41" i="3"/>
  <c r="U41" i="3"/>
  <c r="T41" i="3"/>
  <c r="S41" i="3"/>
  <c r="W38" i="3"/>
  <c r="W40" i="3"/>
  <c r="V40" i="3"/>
  <c r="U40" i="3"/>
  <c r="T40" i="3"/>
  <c r="S40" i="3"/>
  <c r="AK78" i="3"/>
  <c r="AK77" i="3"/>
  <c r="AJ77" i="3"/>
  <c r="AI77" i="3"/>
  <c r="AH77" i="3"/>
  <c r="AF77" i="3"/>
  <c r="AE77" i="3"/>
  <c r="AD77" i="3"/>
  <c r="AC77" i="3"/>
  <c r="AA77" i="3"/>
  <c r="Z77" i="3"/>
  <c r="Y77" i="3"/>
  <c r="X77" i="3"/>
  <c r="V77" i="3"/>
  <c r="U77" i="3"/>
  <c r="T77" i="3"/>
  <c r="S77" i="3"/>
  <c r="Q77" i="3"/>
  <c r="AL22" i="3"/>
  <c r="AL19" i="3"/>
  <c r="AL18" i="3"/>
  <c r="AG22" i="3"/>
  <c r="AG19" i="3"/>
  <c r="AG18" i="3"/>
  <c r="AB22" i="3"/>
  <c r="AB19" i="3"/>
  <c r="AB18" i="3"/>
  <c r="W22" i="3"/>
  <c r="W19" i="3"/>
  <c r="W18" i="3"/>
  <c r="R22" i="3"/>
  <c r="R19" i="3"/>
  <c r="R18" i="3"/>
  <c r="Q145" i="3"/>
  <c r="S145" i="3"/>
  <c r="U145" i="3"/>
  <c r="V145" i="3"/>
  <c r="X145" i="3"/>
  <c r="Y145" i="3"/>
  <c r="Z145" i="3"/>
  <c r="AA145" i="3"/>
  <c r="AC145" i="3"/>
  <c r="AD145" i="3"/>
  <c r="AE145" i="3"/>
  <c r="AF145" i="3"/>
  <c r="AH145" i="3"/>
  <c r="AI145" i="3"/>
  <c r="AJ145" i="3"/>
  <c r="AK145" i="3"/>
  <c r="V290" i="3"/>
  <c r="U290" i="3"/>
  <c r="T290" i="3"/>
  <c r="R241" i="3"/>
  <c r="Q40" i="3"/>
  <c r="R38" i="3"/>
  <c r="R40" i="3"/>
  <c r="Q41" i="3"/>
  <c r="R41" i="3"/>
  <c r="AL261" i="3"/>
  <c r="AL259" i="3"/>
  <c r="AL262" i="3"/>
  <c r="AL274" i="3"/>
  <c r="Q233" i="3"/>
  <c r="S233" i="3"/>
  <c r="T233" i="3"/>
  <c r="U233" i="3"/>
  <c r="V233" i="3"/>
  <c r="X233" i="3"/>
  <c r="Y233" i="3"/>
  <c r="Z233" i="3"/>
  <c r="AA233" i="3"/>
  <c r="AC233" i="3"/>
  <c r="AD233" i="3"/>
  <c r="AE233" i="3"/>
  <c r="AF233" i="3"/>
  <c r="AH233" i="3"/>
  <c r="AI233" i="3"/>
  <c r="AJ233" i="3"/>
  <c r="AK233" i="3"/>
  <c r="N290" i="3"/>
  <c r="C301" i="3"/>
  <c r="S290" i="3"/>
  <c r="Q155" i="3"/>
  <c r="Q154" i="3"/>
  <c r="M241" i="3"/>
  <c r="M257" i="3"/>
  <c r="N275" i="3"/>
  <c r="N276" i="3"/>
  <c r="O275" i="3"/>
  <c r="O276" i="3"/>
  <c r="P275" i="3"/>
  <c r="P276" i="3"/>
  <c r="Q275" i="3"/>
  <c r="Q276" i="3"/>
  <c r="Q184" i="3"/>
  <c r="R184" i="3"/>
  <c r="M184" i="3"/>
  <c r="L155" i="3"/>
  <c r="L154" i="3"/>
  <c r="M259" i="3"/>
  <c r="M262" i="3"/>
  <c r="M274" i="3"/>
  <c r="M276" i="3"/>
  <c r="R275" i="3"/>
  <c r="R276" i="3"/>
  <c r="W275" i="3"/>
  <c r="W276" i="3"/>
  <c r="AB275" i="3"/>
  <c r="AB276" i="3"/>
  <c r="AG275" i="3"/>
  <c r="AG276" i="3"/>
  <c r="AH275" i="3"/>
  <c r="AH276" i="3"/>
  <c r="AI275" i="3"/>
  <c r="AI276" i="3"/>
  <c r="AJ275" i="3"/>
  <c r="AJ276" i="3"/>
  <c r="AK275" i="3"/>
  <c r="AK276" i="3"/>
  <c r="AK184" i="3"/>
  <c r="AK189" i="3"/>
  <c r="AL189" i="3"/>
  <c r="AL198" i="3"/>
  <c r="AL231" i="3"/>
  <c r="AC275" i="3"/>
  <c r="AC276" i="3"/>
  <c r="AD275" i="3"/>
  <c r="AD276" i="3"/>
  <c r="AE275" i="3"/>
  <c r="AE276" i="3"/>
  <c r="AF275" i="3"/>
  <c r="AF276" i="3"/>
  <c r="AF184" i="3"/>
  <c r="AF189" i="3"/>
  <c r="AG189" i="3"/>
  <c r="AG198" i="3"/>
  <c r="AG231" i="3"/>
  <c r="X275" i="3"/>
  <c r="X276" i="3"/>
  <c r="Y275" i="3"/>
  <c r="Y276" i="3"/>
  <c r="Z275" i="3"/>
  <c r="Z276" i="3"/>
  <c r="AA275" i="3"/>
  <c r="AA276" i="3"/>
  <c r="AA184" i="3"/>
  <c r="AA189" i="3"/>
  <c r="AB189" i="3"/>
  <c r="AB198" i="3"/>
  <c r="AB231" i="3"/>
  <c r="S275" i="3"/>
  <c r="S276" i="3"/>
  <c r="T275" i="3"/>
  <c r="T276" i="3"/>
  <c r="U275" i="3"/>
  <c r="U276" i="3"/>
  <c r="V275" i="3"/>
  <c r="V276" i="3"/>
  <c r="V184" i="3"/>
  <c r="V189" i="3"/>
  <c r="W189" i="3"/>
  <c r="W198" i="3"/>
  <c r="W231" i="3"/>
  <c r="Q189" i="3"/>
  <c r="R189" i="3"/>
  <c r="R198" i="3"/>
  <c r="R231" i="3"/>
  <c r="AL184" i="3"/>
  <c r="AL281" i="3"/>
  <c r="AL283" i="3"/>
  <c r="AG184" i="3"/>
  <c r="AG281" i="3"/>
  <c r="AG283" i="3"/>
  <c r="AB184" i="3"/>
  <c r="AB281" i="3"/>
  <c r="AB283" i="3"/>
  <c r="W184" i="3"/>
  <c r="W281" i="3"/>
  <c r="W283" i="3"/>
  <c r="R281" i="3"/>
  <c r="R283" i="3"/>
  <c r="R290" i="3"/>
  <c r="M281" i="3"/>
  <c r="M283" i="3"/>
  <c r="L189" i="3"/>
  <c r="M189" i="3"/>
  <c r="M198" i="3"/>
  <c r="M231" i="3"/>
  <c r="L281" i="3"/>
  <c r="L283" i="3"/>
  <c r="M290" i="3"/>
  <c r="L290" i="3"/>
  <c r="L198" i="3"/>
  <c r="L221" i="3"/>
  <c r="M220" i="3"/>
  <c r="M221" i="3"/>
  <c r="O184" i="3"/>
  <c r="O281" i="3"/>
  <c r="O283" i="3"/>
  <c r="P184" i="3"/>
  <c r="P281" i="3"/>
  <c r="P283" i="3"/>
  <c r="N184" i="3"/>
  <c r="N281" i="3"/>
  <c r="N283" i="3"/>
  <c r="N189" i="3"/>
  <c r="N198" i="3"/>
  <c r="N221" i="3"/>
  <c r="O189" i="3"/>
  <c r="O198" i="3"/>
  <c r="O221" i="3"/>
  <c r="P189" i="3"/>
  <c r="P198" i="3"/>
  <c r="P221" i="3"/>
  <c r="AK281" i="3"/>
  <c r="AK283" i="3"/>
  <c r="AJ184" i="3"/>
  <c r="AJ281" i="3"/>
  <c r="AJ283" i="3"/>
  <c r="AI184" i="3"/>
  <c r="AI281" i="3"/>
  <c r="AI283" i="3"/>
  <c r="AH184" i="3"/>
  <c r="AH281" i="3"/>
  <c r="AH283" i="3"/>
  <c r="AF281" i="3"/>
  <c r="AF283" i="3"/>
  <c r="AE184" i="3"/>
  <c r="AE281" i="3"/>
  <c r="AE283" i="3"/>
  <c r="AD184" i="3"/>
  <c r="AD281" i="3"/>
  <c r="AD283" i="3"/>
  <c r="AC184" i="3"/>
  <c r="AC281" i="3"/>
  <c r="AC283" i="3"/>
  <c r="AA281" i="3"/>
  <c r="AA283" i="3"/>
  <c r="Z184" i="3"/>
  <c r="Z281" i="3"/>
  <c r="Z283" i="3"/>
  <c r="Y184" i="3"/>
  <c r="Y281" i="3"/>
  <c r="Y283" i="3"/>
  <c r="X184" i="3"/>
  <c r="X281" i="3"/>
  <c r="X283" i="3"/>
  <c r="V281" i="3"/>
  <c r="V283" i="3"/>
  <c r="U184" i="3"/>
  <c r="U281" i="3"/>
  <c r="U283" i="3"/>
  <c r="T184" i="3"/>
  <c r="T281" i="3"/>
  <c r="T283" i="3"/>
  <c r="S184" i="3"/>
  <c r="S281" i="3"/>
  <c r="S283" i="3"/>
  <c r="Q281" i="3"/>
  <c r="Q283" i="3"/>
  <c r="Q290" i="3"/>
  <c r="Q198" i="3"/>
  <c r="Q221" i="3"/>
  <c r="S189" i="3"/>
  <c r="S198" i="3"/>
  <c r="S221" i="3"/>
  <c r="AL275" i="3"/>
  <c r="AL276" i="3"/>
  <c r="AL220" i="3"/>
  <c r="AL221" i="3"/>
  <c r="AK198" i="3"/>
  <c r="AK221" i="3"/>
  <c r="AJ189" i="3"/>
  <c r="AJ198" i="3"/>
  <c r="AJ221" i="3"/>
  <c r="AI189" i="3"/>
  <c r="AI198" i="3"/>
  <c r="AI221" i="3"/>
  <c r="AH189" i="3"/>
  <c r="AH198" i="3"/>
  <c r="AH221" i="3"/>
  <c r="AG220" i="3"/>
  <c r="AG221" i="3"/>
  <c r="AF198" i="3"/>
  <c r="AF221" i="3"/>
  <c r="AE189" i="3"/>
  <c r="AE198" i="3"/>
  <c r="AE221" i="3"/>
  <c r="AD189" i="3"/>
  <c r="AD198" i="3"/>
  <c r="AD221" i="3"/>
  <c r="AC189" i="3"/>
  <c r="AC198" i="3"/>
  <c r="AC221" i="3"/>
  <c r="AB220" i="3"/>
  <c r="AB221" i="3"/>
  <c r="AA198" i="3"/>
  <c r="AA221" i="3"/>
  <c r="Z189" i="3"/>
  <c r="Z198" i="3"/>
  <c r="Z221" i="3"/>
  <c r="Y189" i="3"/>
  <c r="Y198" i="3"/>
  <c r="Y221" i="3"/>
  <c r="X189" i="3"/>
  <c r="X198" i="3"/>
  <c r="X221" i="3"/>
  <c r="W220" i="3"/>
  <c r="W221" i="3"/>
  <c r="V198" i="3"/>
  <c r="V221" i="3"/>
  <c r="U189" i="3"/>
  <c r="U198" i="3"/>
  <c r="U221" i="3"/>
  <c r="T189" i="3"/>
  <c r="T198" i="3"/>
  <c r="T221" i="3"/>
  <c r="R220" i="3"/>
  <c r="R221" i="3"/>
</calcChain>
</file>

<file path=xl/comments1.xml><?xml version="1.0" encoding="utf-8"?>
<comments xmlns="http://schemas.openxmlformats.org/spreadsheetml/2006/main">
  <authors>
    <author>Gutenberg Research</author>
  </authors>
  <commentList>
    <comment ref="J77" authorId="0">
      <text>
        <r>
          <rPr>
            <sz val="9"/>
            <color indexed="81"/>
            <rFont val="Tahoma"/>
            <family val="2"/>
          </rPr>
          <t xml:space="preserve">From the model add Depreciation/Amortization back to non-GAAP Operating Income </t>
        </r>
      </text>
    </comment>
  </commentList>
</comments>
</file>

<file path=xl/comments2.xml><?xml version="1.0" encoding="utf-8"?>
<comments xmlns="http://schemas.openxmlformats.org/spreadsheetml/2006/main">
  <authors>
    <author>Gutenberg Research</author>
    <author>Admin</author>
  </authors>
  <commentList>
    <comment ref="J12" authorId="0">
      <text>
        <r>
          <rPr>
            <b/>
            <sz val="9"/>
            <color indexed="81"/>
            <rFont val="Tahoma"/>
            <family val="2"/>
          </rPr>
          <t>John Moschella</t>
        </r>
        <r>
          <rPr>
            <sz val="9"/>
            <color indexed="81"/>
            <rFont val="Tahoma"/>
            <family val="2"/>
          </rPr>
          <t>: Our earnings models use this estimate of volatility in the required return on equity section of the Stage-One DCF. This represents our forecast of the 12-month forward average VIX. Yes, the average is a trailing average, if you would like to use a different estimate or time frame, feel free to plug it in.</t>
        </r>
      </text>
    </comment>
    <comment ref="O12" authorId="0">
      <text>
        <r>
          <rPr>
            <b/>
            <sz val="9"/>
            <color indexed="81"/>
            <rFont val="Tahoma"/>
            <family val="2"/>
          </rPr>
          <t>John Moschella:</t>
        </r>
        <r>
          <rPr>
            <sz val="9"/>
            <color indexed="81"/>
            <rFont val="Tahoma"/>
            <family val="2"/>
          </rPr>
          <t xml:space="preserve"> This is the "risk-free" rate used in our Premium models in the Stage-One DCF section. </t>
        </r>
      </text>
    </comment>
    <comment ref="R12" authorId="0">
      <text>
        <r>
          <rPr>
            <b/>
            <sz val="9"/>
            <color indexed="81"/>
            <rFont val="Tahoma"/>
            <family val="2"/>
          </rPr>
          <t>John Moschella:</t>
        </r>
        <r>
          <rPr>
            <sz val="9"/>
            <color indexed="81"/>
            <rFont val="Tahoma"/>
            <family val="2"/>
          </rPr>
          <t xml:space="preserve"> This is the resulting forward stage-one ERP estimate used in the DCF valuation of our Premium Earnings Models.</t>
        </r>
      </text>
    </comment>
    <comment ref="K15" authorId="0">
      <text>
        <r>
          <rPr>
            <b/>
            <sz val="9"/>
            <color indexed="81"/>
            <rFont val="Tahoma"/>
            <family val="2"/>
          </rPr>
          <t xml:space="preserve">John Moschella: </t>
        </r>
        <r>
          <rPr>
            <sz val="9"/>
            <color indexed="81"/>
            <rFont val="Tahoma"/>
            <family val="2"/>
          </rPr>
          <t>Cells K7 through K15 include the assumptions for the FOMC rate changes. In our base-case scenario we assume the Fed Funds rate will increase/decrease based on the market's expectations as approximated by the CME's FedWatch tool, which uses Fed Funds futures contracts to asses the probability of future rate changes. The market's expectations are periodically compared to the FOMC's latest projection material, to determine if the market outlook is dislocated from the FOMC members. If you believe rates will be higher/lower in the future, then change these input cells.</t>
        </r>
      </text>
    </comment>
    <comment ref="I16" authorId="0">
      <text>
        <r>
          <rPr>
            <b/>
            <sz val="9"/>
            <color indexed="81"/>
            <rFont val="Tahoma"/>
            <family val="2"/>
          </rPr>
          <t xml:space="preserve">John Moschella: </t>
        </r>
        <r>
          <rPr>
            <sz val="9"/>
            <color indexed="81"/>
            <rFont val="Tahoma"/>
            <family val="2"/>
          </rPr>
          <t>Approximately 15 year average VIX. In our base-case scenario we assume the VIX will move toward this level over the forecast quarters. If you believe the market will be more/less volatile change the VIX estimates in cells H7 through H16. Note our Premium Models use this historic average VIX in the Stage-Two DCF.</t>
        </r>
        <r>
          <rPr>
            <b/>
            <sz val="9"/>
            <color indexed="81"/>
            <rFont val="Tahoma"/>
            <family val="2"/>
          </rPr>
          <t xml:space="preserve">
FAQ: Can I enter hardcoded VIX values in cells H7 through H15? </t>
        </r>
        <r>
          <rPr>
            <sz val="9"/>
            <color indexed="81"/>
            <rFont val="Tahoma"/>
            <family val="2"/>
          </rPr>
          <t>Yes, the only reason I have input equations here is so you can see how I am smoothing the VIX forecast back to the 15-year average.</t>
        </r>
      </text>
    </comment>
    <comment ref="L16" authorId="1">
      <text>
        <r>
          <rPr>
            <b/>
            <sz val="9"/>
            <color indexed="81"/>
            <rFont val="Tahoma"/>
            <family val="2"/>
          </rPr>
          <t xml:space="preserve">John Moschella: </t>
        </r>
        <r>
          <rPr>
            <sz val="9"/>
            <color indexed="81"/>
            <rFont val="Tahoma"/>
            <family val="2"/>
          </rPr>
          <t>In cells L7 through L15, enter your assumptions for how the spread between the Fed Funds rate and the 10-year U.S. Treasury will change. In general, if the market expects the economy to expand, the yield curve will steepen and the spread will increase. If the market expects the economy to contract the spread will decrease.</t>
        </r>
      </text>
    </comment>
    <comment ref="P16" authorId="1">
      <text>
        <r>
          <rPr>
            <b/>
            <sz val="9"/>
            <color indexed="81"/>
            <rFont val="Tahoma"/>
            <family val="2"/>
          </rPr>
          <t xml:space="preserve">John Moschella: </t>
        </r>
        <r>
          <rPr>
            <sz val="9"/>
            <color indexed="81"/>
            <rFont val="Tahoma"/>
            <family val="2"/>
          </rPr>
          <t>Enter your assumptions for the quarterly return (including dividends) for the S&amp;P500 Index in cells P7 through P15. This will be used to project the new Constant Sharpe in cells E72 and E73.</t>
        </r>
      </text>
    </comment>
    <comment ref="E73" authorId="1">
      <text>
        <r>
          <rPr>
            <b/>
            <sz val="9"/>
            <color indexed="81"/>
            <rFont val="Tahoma"/>
            <family val="2"/>
          </rPr>
          <t xml:space="preserve">John Moschella: </t>
        </r>
        <r>
          <rPr>
            <sz val="9"/>
            <color indexed="81"/>
            <rFont val="Tahoma"/>
            <family val="2"/>
          </rPr>
          <t>This is the Constant Sharpe used in our Premium Models to forecast the forward required return on equity.</t>
        </r>
      </text>
    </comment>
    <comment ref="E75" authorId="1">
      <text>
        <r>
          <rPr>
            <b/>
            <sz val="9"/>
            <color indexed="81"/>
            <rFont val="Tahoma"/>
            <family val="2"/>
          </rPr>
          <t xml:space="preserve">John Moschella: </t>
        </r>
        <r>
          <rPr>
            <sz val="9"/>
            <color indexed="81"/>
            <rFont val="Tahoma"/>
            <family val="2"/>
          </rPr>
          <t xml:space="preserve">This is the risk-free rate used for the Stage-two WACC calculation.
</t>
        </r>
      </text>
    </comment>
  </commentList>
</comments>
</file>

<file path=xl/sharedStrings.xml><?xml version="1.0" encoding="utf-8"?>
<sst xmlns="http://schemas.openxmlformats.org/spreadsheetml/2006/main" count="1336" uniqueCount="575">
  <si>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</si>
  <si>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</si>
  <si>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</si>
  <si>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</si>
  <si>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</si>
  <si>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</si>
  <si>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</si>
  <si>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</si>
  <si>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</si>
  <si>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</si>
  <si>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</si>
  <si>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</si>
  <si>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</si>
  <si>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</si>
  <si>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</si>
  <si>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</si>
  <si>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</si>
  <si>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</si>
  <si>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</si>
  <si>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Balance Sheet Ratios &amp; Assumptions</t>
  </si>
  <si>
    <t>Receivables turnover</t>
  </si>
  <si>
    <t>Number of days of payables</t>
  </si>
  <si>
    <t>Cash Flow Ratios &amp; Assumptions</t>
  </si>
  <si>
    <t>Operating margin (GAAP)</t>
  </si>
  <si>
    <t>Discounted FCFF</t>
  </si>
  <si>
    <t>Provisions for income tax</t>
  </si>
  <si>
    <t>Cash and equivalents</t>
  </si>
  <si>
    <t>Goodwill</t>
  </si>
  <si>
    <t>Accounts payable</t>
  </si>
  <si>
    <t xml:space="preserve">Retained earnings </t>
  </si>
  <si>
    <t>Total shareholders' equity</t>
  </si>
  <si>
    <t xml:space="preserve">Basic EPS </t>
  </si>
  <si>
    <t xml:space="preserve">Diluted EPS </t>
  </si>
  <si>
    <t>DCF Period (approximate number of years)</t>
  </si>
  <si>
    <t>Total operating expenses</t>
  </si>
  <si>
    <t>Change in basic shares  (excluding repurchases)</t>
  </si>
  <si>
    <t>Change in diluted shares  (excluding repurchases)</t>
  </si>
  <si>
    <t>GR</t>
  </si>
  <si>
    <t>Ratio Analysis</t>
  </si>
  <si>
    <t xml:space="preserve">Net Cash and investments per share </t>
  </si>
  <si>
    <t>Days sales outstanding</t>
  </si>
  <si>
    <t>Payables turnover</t>
  </si>
  <si>
    <t>Net Cash from Operations growth rate (YoY)</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</si>
  <si>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</si>
  <si>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</si>
  <si>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</si>
  <si>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</si>
  <si>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</si>
  <si>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</si>
  <si>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</si>
  <si>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</si>
  <si>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</si>
  <si>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</si>
  <si>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</si>
  <si>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</si>
  <si>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</si>
  <si>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Share-based compensation to revenue</t>
  </si>
  <si>
    <t>Segment Data</t>
  </si>
  <si>
    <t>Reconciliation</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</si>
  <si>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</si>
  <si>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</si>
  <si>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</si>
  <si>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</si>
  <si>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</si>
  <si>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</si>
  <si>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</si>
  <si>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</si>
  <si>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</si>
  <si>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</si>
  <si>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</si>
  <si>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</si>
  <si>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</si>
  <si>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</si>
  <si>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Sept-19E</t>
  </si>
  <si>
    <t>Dec-19E</t>
  </si>
  <si>
    <t>Mar-20E</t>
  </si>
  <si>
    <t>June-20E</t>
  </si>
  <si>
    <t>Sept-20E</t>
  </si>
  <si>
    <t>Dec-20E</t>
  </si>
  <si>
    <t>Mar-21E</t>
  </si>
  <si>
    <t>June-21E</t>
  </si>
  <si>
    <t>Sept-21E</t>
  </si>
  <si>
    <t>Dec-21E</t>
  </si>
  <si>
    <t>Mar-22E</t>
  </si>
  <si>
    <t>June-22E</t>
  </si>
  <si>
    <t>Sept-22E</t>
  </si>
  <si>
    <t>Dec-22E</t>
  </si>
  <si>
    <t>Mar-23E</t>
  </si>
  <si>
    <t>June-23E</t>
  </si>
  <si>
    <t>Sept-23E</t>
  </si>
  <si>
    <t>F4Q20E</t>
  </si>
  <si>
    <t>FY 2020E</t>
  </si>
  <si>
    <t>F1Q21E</t>
  </si>
  <si>
    <t>F2Q21E</t>
  </si>
  <si>
    <t>F3Q21E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</si>
  <si>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</si>
  <si>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</si>
  <si>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</si>
  <si>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</si>
  <si>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</si>
  <si>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</si>
  <si>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</si>
  <si>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</si>
  <si>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</si>
  <si>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</si>
  <si>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</si>
  <si>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</si>
  <si>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</si>
  <si>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</si>
  <si>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</si>
  <si>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</si>
  <si>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</si>
  <si>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</si>
  <si>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</si>
  <si>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</si>
  <si>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</si>
  <si>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</si>
  <si>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</si>
  <si>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</si>
  <si>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</si>
  <si>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</si>
  <si>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</si>
  <si>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</si>
  <si>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</si>
  <si>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</si>
  <si>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</si>
  <si>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</si>
  <si>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</si>
  <si>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</si>
  <si>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</si>
  <si>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</si>
  <si>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</si>
  <si>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</si>
  <si>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</si>
  <si>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</si>
  <si>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</si>
  <si>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</si>
  <si>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</si>
  <si>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</si>
  <si>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Operating expenses exDepreciation($M)</t>
  </si>
  <si>
    <t>Operating expenses exDepreciation (% of revenue)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</si>
  <si>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</si>
  <si>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</si>
  <si>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</si>
  <si>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</si>
  <si>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</si>
  <si>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</si>
  <si>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</si>
  <si>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</si>
  <si>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</si>
  <si>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</si>
  <si>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</si>
  <si>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</si>
  <si>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</si>
  <si>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</si>
  <si>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</si>
  <si>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</si>
  <si>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</si>
  <si>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</si>
  <si>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</si>
  <si>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</si>
  <si>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</si>
  <si>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</si>
  <si>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</si>
  <si>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</si>
  <si>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</si>
  <si>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</si>
  <si>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</si>
  <si>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</si>
  <si>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</si>
  <si>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</si>
  <si>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</si>
  <si>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</si>
  <si>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</si>
  <si>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</si>
  <si>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</si>
  <si>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</si>
  <si>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</si>
  <si>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</si>
  <si>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</si>
  <si>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</si>
  <si>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</si>
  <si>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</si>
  <si>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</si>
  <si>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</si>
  <si>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</si>
  <si>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</si>
  <si>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</si>
  <si>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</si>
  <si>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</si>
  <si>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</si>
  <si>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</si>
  <si>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</si>
  <si>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</si>
  <si>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</si>
  <si>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</si>
  <si>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</si>
  <si>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</si>
  <si>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</si>
  <si>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</si>
  <si>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</si>
  <si>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</si>
  <si>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</si>
  <si>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</si>
  <si>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</si>
  <si>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</si>
  <si>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</si>
  <si>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</si>
  <si>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</si>
  <si>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</si>
  <si>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</si>
  <si>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</si>
  <si>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</si>
  <si>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</si>
  <si>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</si>
  <si>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</si>
  <si>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</si>
  <si>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</si>
  <si>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</si>
  <si>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</si>
  <si>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</si>
  <si>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</si>
  <si>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</si>
  <si>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</si>
  <si>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</si>
  <si>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</si>
  <si>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</si>
  <si>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</si>
  <si>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</si>
  <si>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</si>
  <si>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</si>
  <si>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</si>
  <si>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</si>
  <si>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</si>
  <si>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</si>
  <si>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</si>
  <si>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</si>
  <si>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</si>
  <si>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</si>
  <si>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</si>
  <si>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</si>
  <si>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</si>
  <si>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</si>
  <si>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</si>
  <si>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</si>
  <si>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</si>
  <si>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</si>
  <si>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</si>
  <si>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</si>
  <si>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</si>
  <si>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</si>
  <si>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</si>
  <si>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</si>
  <si>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</si>
  <si>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</si>
  <si>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</si>
  <si>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</si>
  <si>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</si>
  <si>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</si>
  <si>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</si>
  <si>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</si>
  <si>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</si>
  <si>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</si>
  <si>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</si>
  <si>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</si>
  <si>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</si>
  <si>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</si>
  <si>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</si>
  <si>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</si>
  <si>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</si>
  <si>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</si>
  <si>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</si>
  <si>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</si>
  <si>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</si>
  <si>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</si>
  <si>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</si>
  <si>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</si>
  <si>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</si>
  <si>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</si>
  <si>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</si>
  <si>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</si>
  <si>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</si>
  <si>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</si>
  <si>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</si>
  <si>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</si>
  <si>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</si>
  <si>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</si>
  <si>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Inventory outstanding</t>
  </si>
  <si>
    <t>Impact of extra week - 4Q2021 (Operating income)</t>
  </si>
  <si>
    <t>Multiple Valuation</t>
  </si>
  <si>
    <t>P/E 3-month average</t>
  </si>
  <si>
    <t>P/E 3 month high</t>
  </si>
  <si>
    <t>P/E 3 month low</t>
  </si>
  <si>
    <t>P/E used for valuation</t>
  </si>
  <si>
    <t>Adjustments</t>
  </si>
  <si>
    <t>Implied P/E 12 month target value</t>
  </si>
  <si>
    <t>Discounted Cash Flow Valuation</t>
  </si>
  <si>
    <t>Weighted Average Cost of Capital (WACC) Inputs</t>
  </si>
  <si>
    <t>Shares outstanding</t>
  </si>
  <si>
    <t>Market Capitalization ($M)</t>
  </si>
  <si>
    <t>Beta (relative to the S&amp;P500)</t>
  </si>
  <si>
    <t>S&amp;P500 implied volatility</t>
  </si>
  <si>
    <t>Equity market risk premium</t>
  </si>
  <si>
    <t>Estimate of Risk Free (future 10yr UST)</t>
  </si>
  <si>
    <t>Required return on equity (CAPM)</t>
  </si>
  <si>
    <t>Equity to total capital</t>
  </si>
  <si>
    <t>Average cost of debt</t>
  </si>
  <si>
    <t>After tax cost of debt</t>
  </si>
  <si>
    <t>Stage 1 WACC</t>
  </si>
  <si>
    <t>Constant Growth Stage Assumptions</t>
  </si>
  <si>
    <t>Revenue growth (in perpetuity)</t>
  </si>
  <si>
    <t>Constant CFO growth rate</t>
  </si>
  <si>
    <t>Average CapEx (% of sales)</t>
  </si>
  <si>
    <t>Stage 2 Long-Term WACC</t>
  </si>
  <si>
    <t>DCF Valuation</t>
  </si>
  <si>
    <t>PV of terminal value (Stage 2)</t>
  </si>
  <si>
    <t>NPV of Stage 1 cash flows</t>
  </si>
  <si>
    <t>Plus cash/(debt) per share</t>
  </si>
  <si>
    <t>Implied DCF 12-month target value</t>
  </si>
  <si>
    <t>Target share price</t>
  </si>
  <si>
    <t>Constant market sharpe ratio</t>
  </si>
  <si>
    <t>Risk Estimation Summary</t>
  </si>
  <si>
    <t>Mean monthly return</t>
  </si>
  <si>
    <t xml:space="preserve">Standard deviation </t>
  </si>
  <si>
    <t>Implied target value</t>
  </si>
  <si>
    <t>Implied upper bound</t>
  </si>
  <si>
    <t>Implied Lower bound</t>
  </si>
  <si>
    <r>
      <rPr>
        <b/>
        <sz val="11"/>
        <color theme="1"/>
        <rFont val="Calibri"/>
        <family val="2"/>
        <scheme val="minor"/>
      </rPr>
      <t>Last updated:</t>
    </r>
    <r>
      <rPr>
        <sz val="11"/>
        <color theme="1"/>
        <rFont val="Calibri"/>
        <family val="2"/>
        <scheme val="minor"/>
      </rPr>
      <t xml:space="preserve"> 8/22/2020</t>
    </r>
  </si>
  <si>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</si>
  <si>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</si>
  <si>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Price</t>
  </si>
  <si>
    <t>% Change</t>
  </si>
  <si>
    <t>Monthly return</t>
  </si>
  <si>
    <t>Diff from mean</t>
  </si>
  <si>
    <t>Diff Squared</t>
  </si>
  <si>
    <t>Mean</t>
  </si>
  <si>
    <t>Sum of squared differences</t>
  </si>
  <si>
    <t>Variance</t>
  </si>
  <si>
    <t>Standard Deviation</t>
  </si>
  <si>
    <t>check</t>
  </si>
  <si>
    <t>SBUX Price</t>
  </si>
  <si>
    <t>SBUX % Change</t>
  </si>
  <si>
    <t>S&amp;P500 Index</t>
  </si>
  <si>
    <t>S&amp;P500 % Change</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</si>
  <si>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</si>
  <si>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</si>
  <si>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</si>
  <si>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</si>
  <si>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</si>
  <si>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</si>
  <si>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</si>
  <si>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</si>
  <si>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</si>
  <si>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</si>
  <si>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</si>
  <si>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</si>
  <si>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</si>
  <si>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</si>
  <si>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</si>
  <si>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</si>
  <si>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</si>
  <si>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</si>
  <si>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</si>
  <si>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</si>
  <si>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</si>
  <si>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</si>
  <si>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</si>
  <si>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</si>
  <si>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Example 1: PE multiple based on NTM EPS estimates and past three months historic close prices.</t>
  </si>
  <si>
    <t>Example 2: PE multiple based on FY2021 EPS estimates.</t>
  </si>
  <si>
    <t>Consensus EPS Estimates</t>
  </si>
  <si>
    <t>Consensus</t>
  </si>
  <si>
    <t>F4Q2020</t>
  </si>
  <si>
    <t>F1Q2021</t>
  </si>
  <si>
    <t>F2Q2021</t>
  </si>
  <si>
    <t>F3Q2021</t>
  </si>
  <si>
    <t>NTM EPS Est</t>
  </si>
  <si>
    <t>NTM PE Ratio</t>
  </si>
  <si>
    <t>FY2021</t>
  </si>
  <si>
    <t>FY'21 PE Ratio</t>
  </si>
  <si>
    <t>NTM PE Ratio Average:</t>
  </si>
  <si>
    <t>FY21 PE Average:</t>
  </si>
  <si>
    <t xml:space="preserve">NTM PE Ratio High: </t>
  </si>
  <si>
    <t>FY21 PE High:</t>
  </si>
  <si>
    <t>NTM PE Ratio Low:</t>
  </si>
  <si>
    <t>FY21 PE Low:</t>
  </si>
  <si>
    <t>Consensus FY2021 EPS Range</t>
  </si>
  <si>
    <t>Average</t>
  </si>
  <si>
    <t>High</t>
  </si>
  <si>
    <t>Low</t>
  </si>
  <si>
    <t xml:space="preserve">Implied PT </t>
  </si>
  <si>
    <t>at Average PE</t>
  </si>
  <si>
    <t>at High PE</t>
  </si>
  <si>
    <t>at Low PE</t>
  </si>
  <si>
    <t>Average EPS</t>
  </si>
  <si>
    <t>High EPS</t>
  </si>
  <si>
    <t>Low EPS</t>
  </si>
  <si>
    <t>Example 3: Assume we are using the Average FY2021 PE of 30.6x and average FY2021 EPS estimate of $2.72 for a PT of $83. What is the implied EV/EBITDA ratio?</t>
  </si>
  <si>
    <t>FY2021 ~EBITDA ($B)</t>
  </si>
  <si>
    <t>Price Target ($)</t>
  </si>
  <si>
    <t>Share Count (B)</t>
  </si>
  <si>
    <t>Est Equity Value ($B)</t>
  </si>
  <si>
    <t>Debt ($B)</t>
  </si>
  <si>
    <t>Cash/Investments ($B)</t>
  </si>
  <si>
    <t xml:space="preserve">Net Debt </t>
  </si>
  <si>
    <t>FY2021 EV</t>
  </si>
  <si>
    <t>Implied FY21 EV/EBITDA</t>
  </si>
  <si>
    <t>Equity Risk Premium Model (Constant Sharpe ERP Approach)</t>
  </si>
  <si>
    <t>By obtaining this model you are deemed to have read and agreed to our Terms of Use. Visit our website for details: https://www.gutenbergresearch.com/terms-of-use.html</t>
  </si>
  <si>
    <t>Last Updated: 10/7/2020</t>
  </si>
  <si>
    <t>Step 1: Calculate the Historic Constant Sharpe</t>
  </si>
  <si>
    <t>Step 2: Enter estimates for the Fed Funds Rate, 10yr U.S. Treasury Spread, and Quarterly Equity Market Return.</t>
  </si>
  <si>
    <t>Step 3: Calculate the Equity Risk Premium</t>
  </si>
  <si>
    <t>Year</t>
  </si>
  <si>
    <t>S&amp;P500 
Total Return
(Annual)</t>
  </si>
  <si>
    <t>10yr U.S. Treasury 
(1yr Average)</t>
  </si>
  <si>
    <t>Excess 
Return</t>
  </si>
  <si>
    <t>Quarter</t>
  </si>
  <si>
    <t>S&amp;P500 VIX (Quarterly Average)</t>
  </si>
  <si>
    <t xml:space="preserve">Historic Average VIX </t>
  </si>
  <si>
    <t>Trailing 1yr Average VIX</t>
  </si>
  <si>
    <t>Fed Funds Rate (Quarterly Average)</t>
  </si>
  <si>
    <t>Quarterly Average Spread (10yr minus Fed Funds Rate)</t>
  </si>
  <si>
    <t>Historic Average Spread</t>
  </si>
  <si>
    <t>Quarterly Average 10yr U.S. Treasury Rate</t>
  </si>
  <si>
    <t>Trailing Average 10yr U.S. Treasury Rate</t>
  </si>
  <si>
    <t>S&amp;P500 Total Return (Quarterly)</t>
  </si>
  <si>
    <t>ERP Estimate</t>
  </si>
  <si>
    <t>Historic Average ERP</t>
  </si>
  <si>
    <t>Resulting Required Return on Equity 
(Beta of 1)</t>
  </si>
  <si>
    <t>2022 Est</t>
  </si>
  <si>
    <t>4Q2022E</t>
  </si>
  <si>
    <t>2021 Est</t>
  </si>
  <si>
    <t>3Q2022E</t>
  </si>
  <si>
    <t>2020 Est</t>
  </si>
  <si>
    <t>2Q2022E</t>
  </si>
  <si>
    <t>1Q2022E</t>
  </si>
  <si>
    <t>4Q2021E</t>
  </si>
  <si>
    <t>3Q2021E</t>
  </si>
  <si>
    <t>2Q2021E</t>
  </si>
  <si>
    <t>1Q2021E</t>
  </si>
  <si>
    <t>4Q2020E</t>
  </si>
  <si>
    <t>3Q2020</t>
  </si>
  <si>
    <t>2Q2020</t>
  </si>
  <si>
    <t>1Q2020</t>
  </si>
  <si>
    <t>4Q2019</t>
  </si>
  <si>
    <t>3Q2019</t>
  </si>
  <si>
    <t>2Q2019</t>
  </si>
  <si>
    <t>1Q2019</t>
  </si>
  <si>
    <t>4Q2018</t>
  </si>
  <si>
    <t>3Q2018</t>
  </si>
  <si>
    <t>2Q2018</t>
  </si>
  <si>
    <t>1Q2018</t>
  </si>
  <si>
    <t>4Q2017</t>
  </si>
  <si>
    <t>3Q2017</t>
  </si>
  <si>
    <t>2Q2017</t>
  </si>
  <si>
    <t>1Q2017</t>
  </si>
  <si>
    <t>4Q2016</t>
  </si>
  <si>
    <t>3Q2016</t>
  </si>
  <si>
    <t>2Q2016</t>
  </si>
  <si>
    <t>1Q2016</t>
  </si>
  <si>
    <t>4Q2015</t>
  </si>
  <si>
    <t xml:space="preserve">3Q2015 </t>
  </si>
  <si>
    <t>2Q2015</t>
  </si>
  <si>
    <t>1Q2015</t>
  </si>
  <si>
    <t>4Q2014</t>
  </si>
  <si>
    <t>3Q2014</t>
  </si>
  <si>
    <t>2Q2014</t>
  </si>
  <si>
    <t>1Q2014</t>
  </si>
  <si>
    <t>4Q2013</t>
  </si>
  <si>
    <t>3Q2013</t>
  </si>
  <si>
    <t>2Q2013</t>
  </si>
  <si>
    <t>1Q2013</t>
  </si>
  <si>
    <t>4Q2012</t>
  </si>
  <si>
    <t>3Q2012</t>
  </si>
  <si>
    <t>2Q2012</t>
  </si>
  <si>
    <t>1Q2012</t>
  </si>
  <si>
    <t>4Q2011</t>
  </si>
  <si>
    <t>3Q2011</t>
  </si>
  <si>
    <t>2Q2011</t>
  </si>
  <si>
    <t>1Q2011</t>
  </si>
  <si>
    <t>4Q2010</t>
  </si>
  <si>
    <t>3Q2010</t>
  </si>
  <si>
    <t>2Q2010</t>
  </si>
  <si>
    <t>1Q2010</t>
  </si>
  <si>
    <t>4Q2009</t>
  </si>
  <si>
    <t>3Q2009</t>
  </si>
  <si>
    <t>2Q2009</t>
  </si>
  <si>
    <t>1Q2009</t>
  </si>
  <si>
    <t>4Q2008</t>
  </si>
  <si>
    <t>3Q2008</t>
  </si>
  <si>
    <t>2Q2008</t>
  </si>
  <si>
    <t>1Q2008</t>
  </si>
  <si>
    <t>Historic Average Excess Return</t>
  </si>
  <si>
    <t>4Q2007</t>
  </si>
  <si>
    <t>S&amp;P500 Standard Deviation</t>
  </si>
  <si>
    <t>3Q2007</t>
  </si>
  <si>
    <t>Market Constant Sharpe Ratio</t>
  </si>
  <si>
    <t>2Q2007</t>
  </si>
  <si>
    <t>2018 Market Sharpe Ratio</t>
  </si>
  <si>
    <t>1Q2007</t>
  </si>
  <si>
    <t>2019 Market Sharpe Ratio</t>
  </si>
  <si>
    <t>4Q2006</t>
  </si>
  <si>
    <t>2020 Projected Market Sharpe Ratio</t>
  </si>
  <si>
    <t>3Q2006</t>
  </si>
  <si>
    <t>2021 Projected Market Sharpe Ratio</t>
  </si>
  <si>
    <t>2Q2006</t>
  </si>
  <si>
    <t>2022 Projected Market Sharpe Ratio</t>
  </si>
  <si>
    <t>1Q2006</t>
  </si>
  <si>
    <t>Historic Long-Term Average RF Rate</t>
  </si>
  <si>
    <t>4Q2005</t>
  </si>
  <si>
    <t>3Q2005</t>
  </si>
  <si>
    <t>2Q2005</t>
  </si>
  <si>
    <t>1Q2005</t>
  </si>
  <si>
    <t>4Q2004</t>
  </si>
  <si>
    <t>3Q2004</t>
  </si>
  <si>
    <t>2Q2004</t>
  </si>
  <si>
    <t>1Q2004</t>
  </si>
  <si>
    <t>4Q2003</t>
  </si>
  <si>
    <t>3Q2003</t>
  </si>
  <si>
    <t>2Q2003</t>
  </si>
  <si>
    <t>1Q2003</t>
  </si>
  <si>
    <t>4Q2002</t>
  </si>
  <si>
    <t>3Q2002</t>
  </si>
  <si>
    <t>2Q2002</t>
  </si>
  <si>
    <t>1Q2002</t>
  </si>
  <si>
    <t>4Q2001</t>
  </si>
  <si>
    <t>3Q2001</t>
  </si>
  <si>
    <t>2Q2001</t>
  </si>
  <si>
    <t>1Q2001</t>
  </si>
  <si>
    <t>4Q2000</t>
  </si>
  <si>
    <t>3Q2000</t>
  </si>
  <si>
    <t>2Q2000</t>
  </si>
  <si>
    <t>1Q2000</t>
  </si>
  <si>
    <t>4Q1999</t>
  </si>
  <si>
    <t>3Q1999</t>
  </si>
  <si>
    <t>2Q1999</t>
  </si>
  <si>
    <t>1Q1999</t>
  </si>
  <si>
    <t>4Q1998</t>
  </si>
  <si>
    <t>3Q1998</t>
  </si>
  <si>
    <t>2Q1998</t>
  </si>
  <si>
    <t>1Q1998</t>
  </si>
  <si>
    <t>4Q1997</t>
  </si>
  <si>
    <t>3Q1997</t>
  </si>
  <si>
    <t>2Q1997</t>
  </si>
  <si>
    <t>1Q1997</t>
  </si>
  <si>
    <t>4Q1996</t>
  </si>
  <si>
    <t>3Q1996</t>
  </si>
  <si>
    <t>2Q1996</t>
  </si>
  <si>
    <t>1Q1996</t>
  </si>
  <si>
    <t>4Q1995</t>
  </si>
  <si>
    <t>3Q1995</t>
  </si>
  <si>
    <t>2Q1995</t>
  </si>
  <si>
    <t>1Q1995</t>
  </si>
  <si>
    <t>4Q1994</t>
  </si>
  <si>
    <t>3Q1994</t>
  </si>
  <si>
    <t>2Q1994</t>
  </si>
  <si>
    <t>1Q1994</t>
  </si>
  <si>
    <t>4Q1993</t>
  </si>
  <si>
    <t>3Q1993</t>
  </si>
  <si>
    <t>2Q1993</t>
  </si>
  <si>
    <t>1Q1993</t>
  </si>
  <si>
    <t>4Q1992</t>
  </si>
  <si>
    <t>3Q1992</t>
  </si>
  <si>
    <t>2Q1992</t>
  </si>
  <si>
    <t>1Q1992</t>
  </si>
  <si>
    <t>4Q1991</t>
  </si>
  <si>
    <t>3Q1991</t>
  </si>
  <si>
    <t>2Q1991</t>
  </si>
  <si>
    <t>1Q1991</t>
  </si>
  <si>
    <t>4Q1990</t>
  </si>
  <si>
    <t>3Q1990</t>
  </si>
  <si>
    <t>2Q1990</t>
  </si>
  <si>
    <t>1Q1990</t>
  </si>
  <si>
    <t>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</si>
</sst>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5" formatCode="_(* #,##0.0000_);_(* \(#,##0.0000\);_(* &quot;-&quot;??_);_(@_)"/>
    <numFmt numFmtId="226" formatCode="0.000%"/>
    <numFmt numFmtId="231" formatCode="0.0\x"/>
    <numFmt numFmtId="232" formatCode="0.00000"/>
    <numFmt numFmtId="233" formatCode="&quot;$&quot;#,##0.0_);[Red]\(&quot;$&quot;#,##0.0\)"/>
    <numFmt numFmtId="234" formatCode="&quot;$&quot;#,##0.0_);\(&quot;$&quot;#,##0.0\)"/>
    <numFmt numFmtId="235" formatCode="yyyy\-mm\-dd"/>
    <numFmt numFmtId="236" formatCode="&quot;$&quot;\ #,##0_);&quot;$&quot;\ \(#,##0\);&quot;$&quot;\ \ \ \-\ \ "/>
    <numFmt numFmtId="237" formatCode="&quot;$&quot;\ ##,##0.0_);&quot;$&quot;\ \(#,##0.0\);&quot;$&quot;\ \ \ \-\ \ "/>
    <numFmt numFmtId="238" formatCode="&quot;$&quot;\ ##,##0.00_);&quot;$&quot;\ \(#,##0.00\);&quot;$&quot;\ \ \ \-\ \ "/>
    <numFmt numFmtId="239" formatCode="&quot;$&quot;\ ##,##0\ ??/??;&quot;$&quot;\ \-#,##0\ ??/??;&quot;$&quot;\ \ \ \-\ \ "/>
    <numFmt numFmtId="240" formatCode="#,##0_);\(#,##0\);\-\ \ "/>
    <numFmt numFmtId="241" formatCode="##,##0.0_);\(#,##0.0\);\-\ \ "/>
    <numFmt numFmtId="242" formatCode="##,##0.00_);\(#,##0.00\);\-\ \ "/>
    <numFmt numFmtId="243" formatCode="_-* #,##0.00\ _€_-;\-* #,##0.00\ _€_-;_-* &quot;-&quot;??\ _€_-;_-@_-"/>
    <numFmt numFmtId="244" formatCode="dd\ mmmyy\ hh:mm"/>
    <numFmt numFmtId="245" formatCode="_-* #,##0_-;\-* #,##0_-;_-* &quot;-&quot;_-;_-@_-"/>
    <numFmt numFmtId="246" formatCode="_-* #,##0.00_-;\-* #,##0.00_-;_-* &quot;-&quot;??_-;_-@_-"/>
    <numFmt numFmtId="247" formatCode="_-* #,##0.00\ _z_ł_-;\-* #,##0.00\ _z_ł_-;_-* &quot;-&quot;??\ _z_ł_-;_-@_-"/>
    <numFmt numFmtId="248" formatCode="##,##0\ ??/??;\-#,##0\ ??/??;\-\ \ "/>
    <numFmt numFmtId="249" formatCode="&quot;$&quot;#,##0_);&quot;$&quot;\ \(#,##0\);\ &quot;$&quot;\ \ \ \-\ \ \ "/>
    <numFmt numFmtId="250" formatCode="#,##0_);\(#,##0\);\ \ \-\ \ \ "/>
    <numFmt numFmtId="251" formatCode="_ &quot;\&quot;* #,##0.00_ ;_ &quot;\&quot;* &quot;\&quot;&quot;\&quot;\-#,##0.00_ ;_ &quot;\&quot;* &quot;-&quot;??_ ;_ @_ "/>
    <numFmt numFmtId="252" formatCode="_(&quot;$&quot;* #,##0_);_(&quot;$&quot;* \(#,##0\);_(&quot;$&quot;* &quot;-&quot;??_);_(@_)"/>
    <numFmt numFmtId="253" formatCode="#,##0.0;\(#,##0.0\)"/>
    <numFmt numFmtId="254" formatCode="#,##0.000;\(#,##0.000\)"/>
    <numFmt numFmtId="255" formatCode="#,##0.0\x;\(#,##0.0\)\x"/>
    <numFmt numFmtId="256" formatCode="dd\-mmm\-yy"/>
    <numFmt numFmtId="257" formatCode="#,##0.0,,_);\(#,##0.0,,\);&quot;-  &quot;"/>
    <numFmt numFmtId="258" formatCode="#,##0.0"/>
    <numFmt numFmtId="259" formatCode="_(&quot;$&quot;* #,##0.00_);_(&quot;$&quot;* \(#,##0.00\);_(* &quot;-&quot;_);_(@_)"/>
    <numFmt numFmtId="260" formatCode="_(* #,##0.00_);_(* \(#,##0.00\);_(* &quot;-&quot;_);_(@_)"/>
    <numFmt numFmtId="261" formatCode="#,##0.0\x"/>
    <numFmt numFmtId="262" formatCode="&quot;$&quot;#,##0.00"/>
    <numFmt numFmtId="263" formatCode="#,##0.00\x"/>
    <numFmt numFmtId="264" formatCode="_(&quot;$&quot;* #,##0.0_);_(&quot;$&quot;* \(#,##0.0\);_(* &quot;-&quot;_);_(@_)"/>
    <numFmt numFmtId="265" formatCode="#,##0.000"/>
    <numFmt numFmtId="266" formatCode="mm/dd/yyyy"/>
    <numFmt numFmtId="267" formatCode="_(* #,##0.0_);_(* \(#,##0.0\);_(* &quot;-&quot;_);_(@_)"/>
    <numFmt numFmtId="268" formatCode="mm/dd/yy"/>
    <numFmt numFmtId="272" formatCode="_(* #,##0.0000000_);_(* \(#,##0.0000000\);_(* &quot;-&quot;??_);_(@_)"/>
  </numFmts>
  <fonts count="1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u/>
      <sz val="11"/>
      <color theme="1"/>
      <name val="Calibri"/>
      <family val="2"/>
      <scheme val="minor"/>
    </font>
    <font>
      <b/>
      <u/>
      <sz val="11"/>
      <color theme="1"/>
      <name val="Calibri"/>
      <family val="2"/>
      <scheme val="minor"/>
    </font>
    <font>
      <u val="singleAccounting"/>
      <sz val="11"/>
      <color theme="1"/>
      <name val="Calibri"/>
      <family val="2"/>
      <scheme val="minor"/>
    </font>
    <font>
      <b/>
      <sz val="11"/>
      <color theme="0"/>
      <name val="Calibri"/>
      <family val="2"/>
      <scheme val="minor"/>
    </font>
    <font>
      <sz val="9"/>
      <color indexed="81"/>
      <name val="Tahoma"/>
      <family val="2"/>
    </font>
    <font>
      <b/>
      <sz val="11"/>
      <color theme="0" tint="-0.14999847407452621"/>
      <name val="Calibri"/>
      <family val="2"/>
      <scheme val="minor"/>
    </font>
    <font>
      <i/>
      <sz val="11"/>
      <color theme="1"/>
      <name val="Calibri"/>
      <family val="2"/>
      <scheme val="minor"/>
    </font>
    <font>
      <sz val="11"/>
      <color indexed="22"/>
      <name val="Calibri"/>
      <family val="2"/>
    </font>
    <font>
      <sz val="11"/>
      <color indexed="20"/>
      <name val="Calibri"/>
      <family val="2"/>
    </font>
    <font>
      <b/>
      <sz val="11"/>
      <color indexed="52"/>
      <name val="Calibri"/>
      <family val="2"/>
    </font>
    <font>
      <b/>
      <sz val="11"/>
      <color indexed="22"/>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b/>
      <sz val="18"/>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u/>
      <sz val="10"/>
      <color theme="10"/>
      <name val="Arial"/>
      <family val="2"/>
    </font>
    <font>
      <u/>
      <sz val="11"/>
      <color rgb="FF002060"/>
      <name val="Calibri"/>
      <family val="2"/>
      <scheme val="minor"/>
    </font>
    <font>
      <b/>
      <sz val="11"/>
      <color rgb="FF002060"/>
      <name val="Calibri"/>
      <family val="2"/>
      <scheme val="minor"/>
    </font>
    <font>
      <b/>
      <sz val="9"/>
      <color indexed="81"/>
      <name val="Tahoma"/>
      <family val="2"/>
    </font>
    <font>
      <sz val="10"/>
      <color indexed="8"/>
      <name val="MS Sans Serif"/>
      <family val="2"/>
    </font>
    <font>
      <sz val="8"/>
      <name val="Times"/>
      <family val="1"/>
    </font>
    <font>
      <sz val="10"/>
      <name val="GE Inspira Pitch"/>
      <family val="2"/>
    </font>
    <font>
      <sz val="9"/>
      <name val="Tahoma"/>
      <family val="2"/>
    </font>
    <font>
      <b/>
      <sz val="12"/>
      <color indexed="61"/>
      <name val="Tahoma"/>
      <family val="2"/>
    </font>
    <font>
      <sz val="12"/>
      <name val="Tms Rmn"/>
    </font>
    <font>
      <b/>
      <sz val="9"/>
      <color indexed="12"/>
      <name val="Tahoma"/>
      <family val="2"/>
    </font>
    <font>
      <b/>
      <sz val="8"/>
      <name val="Arial"/>
      <family val="2"/>
    </font>
    <font>
      <b/>
      <u val="singleAccounting"/>
      <sz val="8"/>
      <name val="Arial"/>
      <family val="2"/>
    </font>
    <font>
      <b/>
      <sz val="9"/>
      <name val="Tahoma"/>
      <family val="2"/>
    </font>
    <font>
      <sz val="10"/>
      <name val="Arial CE"/>
      <charset val="238"/>
    </font>
    <font>
      <sz val="12"/>
      <name val="Arial"/>
      <family val="2"/>
    </font>
    <font>
      <b/>
      <sz val="9"/>
      <color indexed="42"/>
      <name val="Tahoma"/>
      <family val="2"/>
    </font>
    <font>
      <u/>
      <sz val="9"/>
      <color indexed="12"/>
      <name val="Arial"/>
      <family val="2"/>
    </font>
    <font>
      <b/>
      <sz val="9"/>
      <color indexed="63"/>
      <name val="Tahoma"/>
      <family val="2"/>
    </font>
    <font>
      <i/>
      <sz val="10"/>
      <name val="Arial"/>
      <family val="2"/>
    </font>
    <font>
      <b/>
      <sz val="12"/>
      <color indexed="20"/>
      <name val="Tahoma"/>
      <family val="2"/>
    </font>
    <font>
      <sz val="10"/>
      <color indexed="12"/>
      <name val="Tms Rmn"/>
    </font>
    <font>
      <sz val="11"/>
      <color theme="1"/>
      <name val="Arial"/>
      <family val="2"/>
    </font>
    <font>
      <sz val="8"/>
      <color theme="1"/>
      <name val="Tahoma"/>
      <family val="2"/>
    </font>
    <font>
      <b/>
      <i/>
      <sz val="10"/>
      <color indexed="8"/>
      <name val="Arial"/>
      <family val="2"/>
    </font>
    <font>
      <b/>
      <sz val="10"/>
      <color indexed="8"/>
      <name val="Arial"/>
      <family val="2"/>
    </font>
    <font>
      <b/>
      <i/>
      <sz val="22"/>
      <color indexed="8"/>
      <name val="Times New Roman"/>
      <family val="1"/>
    </font>
    <font>
      <b/>
      <sz val="10"/>
      <name val="Times New Roman"/>
      <family val="1"/>
    </font>
    <font>
      <sz val="10"/>
      <name val="Times New Roman"/>
      <family val="1"/>
    </font>
    <font>
      <sz val="22"/>
      <name val="UBSHeadline"/>
      <family val="1"/>
    </font>
    <font>
      <b/>
      <sz val="10"/>
      <name val="Arial CE"/>
      <family val="2"/>
      <charset val="238"/>
    </font>
    <font>
      <u/>
      <sz val="9"/>
      <color indexed="36"/>
      <name val="Arial"/>
      <family val="2"/>
    </font>
    <font>
      <b/>
      <sz val="10"/>
      <color indexed="12"/>
      <name val="Arial"/>
      <family val="2"/>
    </font>
    <font>
      <sz val="8"/>
      <color indexed="39"/>
      <name val="Arial"/>
      <family val="2"/>
    </font>
    <font>
      <u/>
      <sz val="8"/>
      <name val="Arial"/>
      <family val="2"/>
    </font>
    <font>
      <i/>
      <sz val="8"/>
      <name val="Arial"/>
      <family val="2"/>
    </font>
    <font>
      <b/>
      <sz val="8"/>
      <color indexed="9"/>
      <name val="Arial"/>
      <family val="2"/>
    </font>
    <font>
      <b/>
      <sz val="8"/>
      <color indexed="8"/>
      <name val="Arial"/>
      <family val="2"/>
    </font>
    <font>
      <sz val="7"/>
      <name val="Arial"/>
      <family val="2"/>
    </font>
    <font>
      <sz val="11"/>
      <name val="ＭＳ Ｐゴシック"/>
      <family val="3"/>
      <charset val="128"/>
    </font>
    <font>
      <sz val="11"/>
      <color theme="1"/>
      <name val="Calibri"/>
      <family val="2"/>
    </font>
  </fonts>
  <fills count="4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gray0625">
        <fgColor indexed="10"/>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mediumGray">
        <fgColor indexed="22"/>
      </patternFill>
    </fill>
    <fill>
      <patternFill patternType="solid">
        <fgColor indexed="63"/>
        <bgColor indexed="64"/>
      </patternFill>
    </fill>
    <fill>
      <patternFill patternType="solid">
        <fgColor theme="0"/>
        <bgColor indexed="64"/>
      </patternFill>
    </fill>
  </fills>
  <borders count="7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right style="thin">
        <color rgb="FFBFBFBF"/>
      </right>
      <top/>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style="thin">
        <color rgb="FFBFBFBF"/>
      </left>
      <right/>
      <top/>
      <bottom style="thin">
        <color rgb="FFBFBFBF"/>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style="thin">
        <color auto="1"/>
      </bottom>
      <diagonal/>
    </border>
    <border>
      <left/>
      <right/>
      <top style="double">
        <color auto="1"/>
      </top>
      <bottom style="double">
        <color auto="1"/>
      </bottom>
      <diagonal/>
    </border>
    <border>
      <left style="thin">
        <color indexed="20"/>
      </left>
      <right style="thin">
        <color indexed="20"/>
      </right>
      <top style="thin">
        <color indexed="20"/>
      </top>
      <bottom style="thin">
        <color indexed="20"/>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auto="1"/>
      </left>
      <right style="medium">
        <color auto="1"/>
      </right>
      <top style="medium">
        <color auto="1"/>
      </top>
      <bottom style="medium">
        <color auto="1"/>
      </bottom>
      <diagonal/>
    </border>
    <border>
      <left style="double">
        <color auto="1"/>
      </left>
      <right/>
      <top/>
      <bottom/>
      <diagonal/>
    </border>
    <border>
      <left/>
      <right/>
      <top/>
      <bottom style="thick">
        <color auto="1"/>
      </bottom>
      <diagonal/>
    </border>
  </borders>
  <cellStyleXfs count="157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15" applyNumberFormat="0" applyFill="0" applyAlignment="0" applyProtection="0"/>
    <xf numFmtId="0" fontId="9" fillId="0" borderId="16"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0" fontId="11" fillId="0" borderId="0" applyNumberFormat="0" applyFill="0" applyBorder="0" applyAlignment="0" applyProtection="0"/>
    <xf numFmtId="0" fontId="12" fillId="0" borderId="0"/>
    <xf numFmtId="176" fontId="13" fillId="0" borderId="0">
      <alignment horizontal="center"/>
    </xf>
    <xf numFmtId="37" fontId="14" fillId="0" borderId="0"/>
    <xf numFmtId="37" fontId="15" fillId="0" borderId="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6" fillId="0" borderId="2" applyAlignment="0" applyProtection="0"/>
    <xf numFmtId="177" fontId="16" fillId="0" borderId="2" applyAlignment="0" applyProtection="0"/>
    <xf numFmtId="177" fontId="16" fillId="0" borderId="2" applyAlignment="0" applyProtection="0"/>
    <xf numFmtId="177" fontId="1" fillId="0" borderId="0" applyAlignment="0" applyProtection="0"/>
    <xf numFmtId="178" fontId="17"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8" fillId="0" borderId="0" applyFill="0" applyBorder="0" applyProtection="0">
      <alignment horizontal="center"/>
      <protection locked="0"/>
    </xf>
    <xf numFmtId="0" fontId="19"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19" fillId="0" borderId="7"/>
    <xf numFmtId="192" fontId="1" fillId="0" borderId="0"/>
    <xf numFmtId="0" fontId="12"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0" fillId="0" borderId="0" applyFont="0" applyFill="0" applyBorder="0" applyAlignment="0" applyProtection="0"/>
    <xf numFmtId="4" fontId="1" fillId="0" borderId="0" applyFont="0" applyFill="0" applyBorder="0" applyAlignment="0" applyProtection="0"/>
    <xf numFmtId="4" fontId="1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2" fillId="0" borderId="0" applyFill="0" applyBorder="0" applyAlignment="0" applyProtection="0">
      <protection locked="0"/>
    </xf>
    <xf numFmtId="193" fontId="3" fillId="0" borderId="0">
      <alignment horizontal="center"/>
    </xf>
    <xf numFmtId="194" fontId="23" fillId="0" borderId="0" applyFill="0" applyBorder="0" applyProtection="0"/>
    <xf numFmtId="195" fontId="24" fillId="0" borderId="0" applyFont="0" applyFill="0" applyBorder="0" applyAlignment="0" applyProtection="0"/>
    <xf numFmtId="196" fontId="25"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1" fontId="13" fillId="0" borderId="0"/>
    <xf numFmtId="14" fontId="26" fillId="0" borderId="0">
      <alignment horizontal="center"/>
    </xf>
    <xf numFmtId="14" fontId="17" fillId="0" borderId="0" applyFill="0" applyBorder="0" applyAlignment="0"/>
    <xf numFmtId="15" fontId="27" fillId="5" borderId="0" applyNumberFormat="0" applyFont="0" applyFill="0" applyBorder="0" applyAlignment="0">
      <alignment horizontal="center" wrapText="1"/>
    </xf>
    <xf numFmtId="0" fontId="17" fillId="0" borderId="14" applyNumberFormat="0" applyFill="0" applyBorder="0" applyAlignment="0" applyProtection="0"/>
    <xf numFmtId="178" fontId="2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5" fillId="0" borderId="17">
      <protection hidden="1"/>
    </xf>
    <xf numFmtId="199" fontId="3" fillId="0" borderId="0" applyFont="0" applyFill="0" applyBorder="0" applyAlignment="0" applyProtection="0"/>
    <xf numFmtId="38" fontId="29" fillId="5" borderId="0" applyNumberFormat="0" applyBorder="0" applyAlignment="0" applyProtection="0"/>
    <xf numFmtId="0" fontId="30" fillId="0" borderId="18" applyNumberFormat="0" applyAlignment="0" applyProtection="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30" fillId="0" borderId="9">
      <alignment horizontal="left" vertical="center"/>
    </xf>
    <xf numFmtId="0" fontId="30" fillId="0" borderId="9">
      <alignment horizontal="left" vertical="center"/>
    </xf>
    <xf numFmtId="0" fontId="30" fillId="0" borderId="9">
      <alignment horizontal="left" vertical="center"/>
    </xf>
    <xf numFmtId="0" fontId="1" fillId="0" borderId="0">
      <alignment horizontal="left" vertical="center"/>
    </xf>
    <xf numFmtId="14" fontId="31" fillId="6" borderId="17">
      <alignment horizontal="center" vertical="center"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Fill="0" applyAlignment="0" applyProtection="0">
      <protection locked="0"/>
    </xf>
    <xf numFmtId="0" fontId="18" fillId="0" borderId="7" applyFill="0" applyAlignment="0" applyProtection="0">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29" fillId="7" borderId="14" applyNumberFormat="0" applyBorder="0" applyAlignment="0" applyProtection="0"/>
    <xf numFmtId="178" fontId="3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204" fontId="13" fillId="0" borderId="7"/>
    <xf numFmtId="37" fontId="37" fillId="0" borderId="0"/>
    <xf numFmtId="205" fontId="19" fillId="0" borderId="0"/>
    <xf numFmtId="205" fontId="1" fillId="0" borderId="0"/>
    <xf numFmtId="206" fontId="3" fillId="0" borderId="0"/>
    <xf numFmtId="207"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39" fillId="0" borderId="0"/>
    <xf numFmtId="0" fontId="3" fillId="0" borderId="0"/>
    <xf numFmtId="0" fontId="3" fillId="0" borderId="0"/>
    <xf numFmtId="37" fontId="40" fillId="0" borderId="0"/>
    <xf numFmtId="0" fontId="1" fillId="0" borderId="0"/>
    <xf numFmtId="0" fontId="1" fillId="0" borderId="0"/>
    <xf numFmtId="0" fontId="3" fillId="0" borderId="0">
      <alignment wrapText="1"/>
    </xf>
    <xf numFmtId="0" fontId="3" fillId="0" borderId="0"/>
    <xf numFmtId="37" fontId="40" fillId="0" borderId="0"/>
    <xf numFmtId="0" fontId="3" fillId="0" borderId="0"/>
    <xf numFmtId="37" fontId="40" fillId="0" borderId="0"/>
    <xf numFmtId="0" fontId="1" fillId="0" borderId="0"/>
    <xf numFmtId="0" fontId="20" fillId="0" borderId="0"/>
    <xf numFmtId="37" fontId="1" fillId="0" borderId="0"/>
    <xf numFmtId="0" fontId="1" fillId="0" borderId="0"/>
    <xf numFmtId="37" fontId="1" fillId="0" borderId="0"/>
    <xf numFmtId="0" fontId="3" fillId="0" borderId="0">
      <alignment wrapText="1"/>
    </xf>
    <xf numFmtId="37" fontId="41"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6" fillId="0" borderId="0"/>
    <xf numFmtId="218" fontId="25"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36" fillId="0" borderId="19" applyNumberFormat="0" applyBorder="0"/>
    <xf numFmtId="204" fontId="13" fillId="0" borderId="0"/>
    <xf numFmtId="0" fontId="43" fillId="8" borderId="20" applyNumberFormat="0" applyFont="0" applyFill="0" applyAlignment="0">
      <alignment horizontal="center" vertical="center"/>
    </xf>
    <xf numFmtId="178" fontId="44"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4"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0" fillId="0" borderId="21"/>
    <xf numFmtId="0" fontId="45" fillId="0" borderId="0"/>
    <xf numFmtId="0" fontId="19" fillId="0" borderId="0"/>
    <xf numFmtId="0" fontId="36" fillId="0" borderId="0"/>
    <xf numFmtId="37" fontId="46" fillId="0" borderId="17">
      <alignment horizontal="right"/>
      <protection locked="0"/>
    </xf>
    <xf numFmtId="37" fontId="47" fillId="0" borderId="17">
      <alignment horizontal="right"/>
      <protection locked="0"/>
    </xf>
    <xf numFmtId="49" fontId="17"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8" fillId="0" borderId="0" applyFill="0" applyBorder="0" applyProtection="0">
      <alignment horizontal="left" vertical="top"/>
    </xf>
    <xf numFmtId="40" fontId="4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7" fontId="40" fillId="0" borderId="7"/>
    <xf numFmtId="37" fontId="40" fillId="0" borderId="22"/>
    <xf numFmtId="0" fontId="3" fillId="0" borderId="0"/>
    <xf numFmtId="0" fontId="3" fillId="0" borderId="0"/>
    <xf numFmtId="0" fontId="3" fillId="0" borderId="0"/>
    <xf numFmtId="44" fontId="1"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 fillId="0" borderId="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4" borderId="0" applyNumberFormat="0" applyBorder="0" applyAlignment="0" applyProtection="0"/>
    <xf numFmtId="0" fontId="42" fillId="17" borderId="0" applyNumberFormat="0" applyBorder="0" applyAlignment="0" applyProtection="0"/>
    <xf numFmtId="0" fontId="42" fillId="19" borderId="0" applyNumberFormat="0" applyBorder="0" applyAlignment="0" applyProtection="0"/>
    <xf numFmtId="0" fontId="42" fillId="14" borderId="0" applyNumberFormat="0" applyBorder="0" applyAlignment="0" applyProtection="0"/>
    <xf numFmtId="0" fontId="81" fillId="20" borderId="0" applyNumberFormat="0" applyBorder="0" applyAlignment="0" applyProtection="0"/>
    <xf numFmtId="0" fontId="81" fillId="18" borderId="0" applyNumberFormat="0" applyBorder="0" applyAlignment="0" applyProtection="0"/>
    <xf numFmtId="0" fontId="81" fillId="4" borderId="0" applyNumberFormat="0" applyBorder="0" applyAlignment="0" applyProtection="0"/>
    <xf numFmtId="0" fontId="81" fillId="17" borderId="0" applyNumberFormat="0" applyBorder="0" applyAlignment="0" applyProtection="0"/>
    <xf numFmtId="0" fontId="81" fillId="20" borderId="0" applyNumberFormat="0" applyBorder="0" applyAlignment="0" applyProtection="0"/>
    <xf numFmtId="0" fontId="81" fillId="14"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81" fillId="23"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2" fillId="25" borderId="0" applyNumberFormat="0" applyBorder="0" applyAlignment="0" applyProtection="0"/>
    <xf numFmtId="0" fontId="83" fillId="13" borderId="47" applyNumberFormat="0" applyAlignment="0" applyProtection="0"/>
    <xf numFmtId="0" fontId="84" fillId="26" borderId="48" applyNumberFormat="0" applyAlignment="0" applyProtection="0"/>
    <xf numFmtId="0" fontId="85" fillId="0" borderId="0" applyNumberFormat="0" applyFill="0" applyBorder="0" applyAlignment="0" applyProtection="0"/>
    <xf numFmtId="0" fontId="86" fillId="27" borderId="0" applyNumberFormat="0" applyBorder="0" applyAlignment="0" applyProtection="0"/>
    <xf numFmtId="0" fontId="87" fillId="0" borderId="49" applyNumberFormat="0" applyFill="0" applyAlignment="0" applyProtection="0"/>
    <xf numFmtId="0" fontId="87" fillId="0" borderId="0" applyNumberFormat="0" applyFill="0" applyBorder="0" applyAlignment="0" applyProtection="0"/>
    <xf numFmtId="0" fontId="88" fillId="14" borderId="47" applyNumberFormat="0" applyAlignment="0" applyProtection="0"/>
    <xf numFmtId="0" fontId="89" fillId="0" borderId="50" applyNumberFormat="0" applyFill="0" applyAlignment="0" applyProtection="0"/>
    <xf numFmtId="0" fontId="90"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42" fillId="15" borderId="51" applyNumberFormat="0" applyFont="0" applyAlignment="0" applyProtection="0"/>
    <xf numFmtId="0" fontId="91" fillId="13" borderId="52" applyNumberFormat="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7" fillId="0" borderId="0"/>
    <xf numFmtId="0" fontId="3" fillId="0" borderId="0" applyNumberFormat="0" applyFill="0" applyBorder="0" applyAlignment="0" applyProtection="0"/>
    <xf numFmtId="0" fontId="97" fillId="0" borderId="0" applyNumberFormat="0" applyFill="0" applyBorder="0" applyAlignment="0" applyProtection="0"/>
    <xf numFmtId="0" fontId="3" fillId="0" borderId="0"/>
    <xf numFmtId="168"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4" borderId="0" applyNumberFormat="0" applyFont="0" applyAlignment="0" applyProtection="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applyFont="0" applyFill="0" applyBorder="0" applyAlignment="0" applyProtection="0"/>
    <xf numFmtId="175" fontId="3" fillId="0" borderId="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2" fillId="0" borderId="0"/>
    <xf numFmtId="0" fontId="102" fillId="0" borderId="0"/>
    <xf numFmtId="0" fontId="3" fillId="0" borderId="0"/>
    <xf numFmtId="0" fontId="3" fillId="0" borderId="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102" fillId="0" borderId="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236" fontId="40" fillId="0" borderId="0">
      <alignment horizontal="right"/>
      <protection locked="0"/>
    </xf>
    <xf numFmtId="237" fontId="40" fillId="0" borderId="0">
      <alignment horizontal="right"/>
      <protection locked="0"/>
    </xf>
    <xf numFmtId="238" fontId="40" fillId="0" borderId="0">
      <alignment horizontal="right"/>
      <protection locked="0"/>
    </xf>
    <xf numFmtId="239" fontId="40" fillId="0" borderId="0">
      <alignment horizontal="right"/>
      <protection locked="0"/>
    </xf>
    <xf numFmtId="240" fontId="40" fillId="0" borderId="0">
      <alignment horizontal="right"/>
      <protection locked="0"/>
    </xf>
    <xf numFmtId="241" fontId="40" fillId="0" borderId="0">
      <alignment horizontal="right"/>
      <protection locked="0"/>
    </xf>
    <xf numFmtId="242" fontId="40" fillId="0" borderId="0">
      <alignment horizontal="right"/>
      <protection locked="0"/>
    </xf>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4" borderId="0" applyNumberFormat="0" applyBorder="0" applyAlignment="0" applyProtection="0"/>
    <xf numFmtId="0" fontId="42" fillId="17" borderId="0" applyNumberFormat="0" applyBorder="0" applyAlignment="0" applyProtection="0"/>
    <xf numFmtId="0" fontId="42" fillId="19" borderId="0" applyNumberFormat="0" applyBorder="0" applyAlignment="0" applyProtection="0"/>
    <xf numFmtId="0" fontId="42" fillId="14" borderId="0" applyNumberFormat="0" applyBorder="0" applyAlignment="0" applyProtection="0"/>
    <xf numFmtId="7" fontId="13" fillId="31" borderId="14">
      <protection locked="0"/>
    </xf>
    <xf numFmtId="0" fontId="103" fillId="0" borderId="0"/>
    <xf numFmtId="0" fontId="104" fillId="5" borderId="0"/>
    <xf numFmtId="0" fontId="105" fillId="32" borderId="0">
      <alignment vertical="center"/>
    </xf>
    <xf numFmtId="0" fontId="106" fillId="0" borderId="0" applyNumberFormat="0" applyFill="0" applyBorder="0" applyAlignment="0" applyProtection="0"/>
    <xf numFmtId="0" fontId="107" fillId="33" borderId="0"/>
    <xf numFmtId="0" fontId="107" fillId="33" borderId="0"/>
    <xf numFmtId="0" fontId="108" fillId="0" borderId="0" applyNumberFormat="0" applyFill="0" applyBorder="0" applyProtection="0">
      <alignment wrapText="1"/>
    </xf>
    <xf numFmtId="0" fontId="30" fillId="0" borderId="0" applyNumberFormat="0" applyFill="0" applyBorder="0" applyProtection="0">
      <alignment wrapText="1"/>
    </xf>
    <xf numFmtId="0" fontId="109" fillId="0" borderId="0" applyNumberFormat="0" applyFill="0" applyBorder="0" applyProtection="0">
      <alignment horizontal="center"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2" fillId="0" borderId="0"/>
    <xf numFmtId="0" fontId="1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44" fontId="110" fillId="33" borderId="0" applyFont="0" applyFill="0" applyBorder="0" applyAlignment="0" applyProtection="0">
      <alignment vertical="center"/>
    </xf>
    <xf numFmtId="38" fontId="36" fillId="0" borderId="67">
      <alignment vertical="center"/>
    </xf>
    <xf numFmtId="245" fontId="3" fillId="0" borderId="0" applyFont="0" applyFill="0" applyBorder="0" applyAlignment="0" applyProtection="0"/>
    <xf numFmtId="246" fontId="3" fillId="0" borderId="0" applyFont="0" applyFill="0" applyBorder="0" applyAlignment="0" applyProtection="0"/>
    <xf numFmtId="247" fontId="111" fillId="0" borderId="0" applyFont="0" applyFill="0" applyBorder="0" applyAlignment="0" applyProtection="0"/>
    <xf numFmtId="199" fontId="3" fillId="0" borderId="0" applyFont="0" applyFill="0" applyBorder="0" applyAlignment="0" applyProtection="0"/>
    <xf numFmtId="248" fontId="40" fillId="0" borderId="0">
      <alignment horizontal="right"/>
      <protection locked="0"/>
    </xf>
    <xf numFmtId="0" fontId="29" fillId="0" borderId="0" applyNumberFormat="0" applyFill="0" applyBorder="0" applyProtection="0">
      <alignment wrapText="1"/>
    </xf>
    <xf numFmtId="0" fontId="112" fillId="0" borderId="0" applyNumberFormat="0" applyFill="0" applyBorder="0" applyProtection="0">
      <alignment wrapText="1"/>
    </xf>
    <xf numFmtId="0" fontId="113" fillId="35" borderId="0"/>
    <xf numFmtId="0" fontId="114" fillId="0" borderId="0" applyNumberFormat="0" applyFill="0" applyBorder="0" applyAlignment="0" applyProtection="0">
      <alignment vertical="top"/>
      <protection locked="0"/>
    </xf>
    <xf numFmtId="0" fontId="88" fillId="14" borderId="47" applyNumberFormat="0" applyAlignment="0" applyProtection="0"/>
    <xf numFmtId="0" fontId="88" fillId="14" borderId="47" applyNumberFormat="0" applyAlignment="0" applyProtection="0"/>
    <xf numFmtId="0" fontId="88" fillId="14" borderId="47" applyNumberFormat="0" applyAlignment="0" applyProtection="0"/>
    <xf numFmtId="0" fontId="88" fillId="14" borderId="47" applyNumberFormat="0" applyAlignment="0" applyProtection="0"/>
    <xf numFmtId="0" fontId="88" fillId="14" borderId="47" applyNumberFormat="0" applyAlignment="0" applyProtection="0"/>
    <xf numFmtId="0" fontId="88" fillId="14" borderId="47" applyNumberFormat="0" applyAlignment="0" applyProtection="0"/>
    <xf numFmtId="0" fontId="115" fillId="5" borderId="0"/>
    <xf numFmtId="0" fontId="29" fillId="0" borderId="0" applyNumberFormat="0" applyFill="0" applyBorder="0" applyProtection="0">
      <alignment horizontal="left"/>
    </xf>
    <xf numFmtId="2" fontId="116" fillId="0" borderId="14"/>
    <xf numFmtId="44" fontId="11" fillId="0" borderId="0">
      <alignment horizontal="justify"/>
    </xf>
    <xf numFmtId="0" fontId="117" fillId="36" borderId="68">
      <protection locked="0"/>
    </xf>
    <xf numFmtId="249" fontId="118" fillId="0" borderId="0">
      <protection locked="0"/>
    </xf>
    <xf numFmtId="250" fontId="118" fillId="0" borderId="0" applyFont="0" applyProtection="0">
      <protection locked="0"/>
    </xf>
    <xf numFmtId="38" fontId="36" fillId="0" borderId="0" applyFont="0" applyFill="0" applyBorder="0" applyAlignment="0" applyProtection="0"/>
    <xf numFmtId="40" fontId="36" fillId="0" borderId="0" applyFont="0" applyFill="0" applyBorder="0" applyAlignment="0" applyProtection="0"/>
    <xf numFmtId="251" fontId="3" fillId="0" borderId="0" applyFont="0" applyFill="0" applyBorder="0" applyAlignment="0" applyProtection="0"/>
    <xf numFmtId="252"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9" fillId="0" borderId="0"/>
    <xf numFmtId="0" fontId="3" fillId="0" borderId="0" applyNumberFormat="0" applyFill="0" applyBorder="0" applyAlignment="0" applyProtection="0"/>
    <xf numFmtId="0" fontId="119" fillId="0" borderId="0"/>
    <xf numFmtId="0" fontId="119" fillId="0" borderId="0"/>
    <xf numFmtId="0" fontId="119" fillId="0" borderId="0"/>
    <xf numFmtId="0" fontId="119"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1" fillId="0" borderId="0"/>
    <xf numFmtId="0" fontId="111" fillId="0" borderId="0"/>
    <xf numFmtId="0" fontId="120" fillId="0" borderId="0"/>
    <xf numFmtId="0" fontId="3" fillId="0" borderId="0"/>
    <xf numFmtId="0" fontId="3" fillId="0" borderId="0"/>
    <xf numFmtId="0" fontId="42" fillId="15" borderId="51" applyNumberFormat="0" applyFont="0" applyAlignment="0" applyProtection="0"/>
    <xf numFmtId="253" fontId="29" fillId="0" borderId="0" applyFill="0" applyBorder="0" applyProtection="0">
      <alignment horizontal="right" wrapText="1"/>
    </xf>
    <xf numFmtId="253" fontId="108" fillId="0" borderId="0" applyFill="0" applyBorder="0" applyProtection="0">
      <alignment horizontal="right" wrapText="1"/>
    </xf>
    <xf numFmtId="254" fontId="29" fillId="0" borderId="0" applyFill="0" applyBorder="0" applyProtection="0">
      <alignment horizontal="right" wrapText="1"/>
    </xf>
    <xf numFmtId="254" fontId="108" fillId="0" borderId="0" applyFill="0" applyBorder="0" applyProtection="0">
      <alignment horizontal="right" wrapText="1"/>
    </xf>
    <xf numFmtId="253" fontId="29" fillId="0" borderId="0" applyFill="0" applyBorder="0" applyProtection="0">
      <alignment horizontal="right" wrapText="1"/>
    </xf>
    <xf numFmtId="253" fontId="108" fillId="0" borderId="0" applyFill="0" applyBorder="0" applyProtection="0">
      <alignment horizontal="right" wrapText="1"/>
    </xf>
    <xf numFmtId="255" fontId="29" fillId="0" borderId="0" applyFill="0" applyBorder="0" applyProtection="0">
      <alignment horizontal="right" wrapText="1"/>
    </xf>
    <xf numFmtId="255" fontId="108" fillId="0" borderId="0" applyFill="0" applyBorder="0" applyProtection="0">
      <alignment horizontal="right" wrapText="1"/>
    </xf>
    <xf numFmtId="4" fontId="17" fillId="37" borderId="0">
      <alignment horizontal="right"/>
    </xf>
    <xf numFmtId="0" fontId="121" fillId="37" borderId="0">
      <alignment horizontal="center" vertical="center"/>
    </xf>
    <xf numFmtId="0" fontId="122" fillId="37" borderId="4"/>
    <xf numFmtId="0" fontId="121" fillId="37" borderId="0" applyBorder="0">
      <alignment horizontal="centerContinuous"/>
    </xf>
    <xf numFmtId="0" fontId="123" fillId="37" borderId="0" applyBorder="0">
      <alignment horizontal="centerContinuous"/>
    </xf>
    <xf numFmtId="0" fontId="124" fillId="0" borderId="69" applyNumberFormat="0" applyAlignment="0" applyProtection="0"/>
    <xf numFmtId="0" fontId="125" fillId="38" borderId="0" applyNumberFormat="0" applyFont="0" applyBorder="0" applyAlignment="0" applyProtection="0"/>
    <xf numFmtId="0" fontId="29" fillId="34" borderId="5" applyNumberFormat="0" applyFont="0" applyBorder="0" applyAlignment="0" applyProtection="0">
      <alignment horizontal="center"/>
    </xf>
    <xf numFmtId="0" fontId="29" fillId="8" borderId="5" applyNumberFormat="0" applyFont="0" applyBorder="0" applyAlignment="0" applyProtection="0">
      <alignment horizontal="center"/>
    </xf>
    <xf numFmtId="0" fontId="125" fillId="0" borderId="70" applyNumberFormat="0" applyAlignment="0" applyProtection="0"/>
    <xf numFmtId="0" fontId="125" fillId="0" borderId="71" applyNumberFormat="0" applyAlignment="0" applyProtection="0"/>
    <xf numFmtId="0" fontId="124" fillId="0" borderId="72" applyNumberFormat="0" applyAlignment="0" applyProtection="0"/>
    <xf numFmtId="49" fontId="126" fillId="0" borderId="7" applyFill="0" applyProtection="0">
      <alignment vertical="center"/>
    </xf>
    <xf numFmtId="0" fontId="12"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7" fillId="0" borderId="0" applyFont="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16" fillId="0" borderId="17">
      <alignment horizontal="center"/>
    </xf>
    <xf numFmtId="3" fontId="36" fillId="0" borderId="0" applyFont="0" applyFill="0" applyBorder="0" applyAlignment="0" applyProtection="0"/>
    <xf numFmtId="0" fontId="36" fillId="39" borderId="0" applyNumberFormat="0" applyFont="0" applyBorder="0" applyAlignment="0" applyProtection="0"/>
    <xf numFmtId="0" fontId="110" fillId="33" borderId="0"/>
    <xf numFmtId="0" fontId="107" fillId="38" borderId="0"/>
    <xf numFmtId="0" fontId="110" fillId="33" borderId="0"/>
    <xf numFmtId="38" fontId="3" fillId="0" borderId="0"/>
    <xf numFmtId="256" fontId="3" fillId="0" borderId="0"/>
    <xf numFmtId="256"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256" fontId="3" fillId="0" borderId="0"/>
    <xf numFmtId="256" fontId="3" fillId="0" borderId="0"/>
    <xf numFmtId="49" fontId="3" fillId="0" borderId="0"/>
    <xf numFmtId="49" fontId="3" fillId="0" borderId="0"/>
    <xf numFmtId="38" fontId="3" fillId="0" borderId="0"/>
    <xf numFmtId="257" fontId="3" fillId="0" borderId="0">
      <alignment horizontal="left" vertical="top" wrapText="1"/>
      <protection locked="0"/>
    </xf>
    <xf numFmtId="257" fontId="3" fillId="0" borderId="0">
      <alignment horizontal="left" vertical="top" wrapText="1"/>
      <protection locked="0"/>
    </xf>
    <xf numFmtId="0" fontId="128" fillId="0" borderId="0" applyNumberFormat="0" applyFill="0" applyBorder="0" applyAlignment="0" applyProtection="0">
      <alignment vertical="top"/>
      <protection locked="0"/>
    </xf>
    <xf numFmtId="2" fontId="31" fillId="0" borderId="73"/>
    <xf numFmtId="1" fontId="125" fillId="0" borderId="0" applyBorder="0">
      <alignment horizontal="left" vertical="top" wrapText="1"/>
    </xf>
    <xf numFmtId="0" fontId="48" fillId="0" borderId="74" applyBorder="0" applyAlignment="0">
      <alignment horizontal="center"/>
    </xf>
    <xf numFmtId="0" fontId="129" fillId="0" borderId="74" applyBorder="0" applyAlignment="0">
      <alignment horizontal="center"/>
    </xf>
    <xf numFmtId="0" fontId="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4" fontId="29" fillId="0" borderId="0" applyFill="0" applyBorder="0" applyProtection="0">
      <alignment horizontal="center" wrapText="1"/>
    </xf>
    <xf numFmtId="3" fontId="29" fillId="0" borderId="0" applyFill="0" applyBorder="0" applyProtection="0">
      <alignment horizontal="right" wrapText="1"/>
    </xf>
    <xf numFmtId="258" fontId="29" fillId="0" borderId="0" applyFill="0" applyBorder="0" applyProtection="0">
      <alignment horizontal="right" wrapText="1"/>
    </xf>
    <xf numFmtId="14" fontId="29" fillId="0" borderId="0" applyFill="0" applyBorder="0" applyProtection="0">
      <alignment horizontal="right"/>
    </xf>
    <xf numFmtId="259" fontId="29" fillId="0" borderId="0" applyFill="0" applyBorder="0" applyProtection="0">
      <alignment horizontal="right"/>
    </xf>
    <xf numFmtId="260" fontId="29" fillId="0" borderId="0" applyFill="0" applyBorder="0" applyProtection="0">
      <alignment horizontal="right"/>
    </xf>
    <xf numFmtId="261" fontId="29" fillId="0" borderId="0" applyFill="0" applyBorder="0" applyProtection="0">
      <alignment horizontal="center" wrapText="1"/>
    </xf>
    <xf numFmtId="262" fontId="29" fillId="0" borderId="0" applyFill="0" applyBorder="0" applyProtection="0">
      <alignment horizontal="center" wrapText="1"/>
    </xf>
    <xf numFmtId="4" fontId="29" fillId="0" borderId="0" applyFill="0" applyBorder="0" applyProtection="0">
      <alignment wrapText="1"/>
    </xf>
    <xf numFmtId="0" fontId="3" fillId="0" borderId="0"/>
    <xf numFmtId="0" fontId="29" fillId="0" borderId="0" applyNumberFormat="0" applyFill="0" applyBorder="0" applyProtection="0">
      <alignment horizontal="left" vertical="top" wrapText="1"/>
    </xf>
    <xf numFmtId="0" fontId="108" fillId="0" borderId="0" applyNumberFormat="0" applyFill="0" applyBorder="0" applyProtection="0">
      <alignment horizontal="left" vertical="top" wrapText="1"/>
    </xf>
    <xf numFmtId="4" fontId="130" fillId="0" borderId="0" applyFill="0" applyBorder="0" applyProtection="0">
      <alignment horizontal="center" wrapText="1"/>
    </xf>
    <xf numFmtId="261" fontId="130" fillId="0" borderId="0" applyFill="0" applyBorder="0" applyProtection="0">
      <alignment horizontal="right" wrapText="1"/>
    </xf>
    <xf numFmtId="258" fontId="130" fillId="0" borderId="0" applyFill="0" applyBorder="0" applyProtection="0">
      <alignment horizontal="right" wrapText="1"/>
    </xf>
    <xf numFmtId="3" fontId="130" fillId="0" borderId="0" applyFill="0" applyBorder="0" applyProtection="0">
      <alignment horizontal="right" wrapText="1"/>
    </xf>
    <xf numFmtId="3" fontId="130" fillId="0" borderId="0" applyFill="0" applyBorder="0" applyProtection="0">
      <alignment horizontal="center" wrapText="1"/>
    </xf>
    <xf numFmtId="259" fontId="130" fillId="0" borderId="0" applyFill="0" applyBorder="0" applyProtection="0">
      <alignment horizontal="right"/>
    </xf>
    <xf numFmtId="14" fontId="130" fillId="0" borderId="0" applyFill="0" applyBorder="0" applyProtection="0">
      <alignment horizontal="right"/>
    </xf>
    <xf numFmtId="4" fontId="130" fillId="0" borderId="0" applyFill="0" applyBorder="0" applyProtection="0">
      <alignment wrapText="1"/>
    </xf>
    <xf numFmtId="0" fontId="3" fillId="0" borderId="0"/>
    <xf numFmtId="0" fontId="108" fillId="0" borderId="75" applyNumberFormat="0" applyFill="0" applyProtection="0">
      <alignment wrapText="1"/>
    </xf>
    <xf numFmtId="0" fontId="31" fillId="0" borderId="0" applyNumberFormat="0" applyFill="0" applyBorder="0" applyProtection="0">
      <alignment wrapText="1"/>
    </xf>
    <xf numFmtId="0" fontId="108" fillId="0" borderId="75" applyNumberFormat="0" applyFill="0" applyProtection="0">
      <alignment horizontal="center" wrapText="1"/>
    </xf>
    <xf numFmtId="263" fontId="108" fillId="0" borderId="0" applyFill="0" applyBorder="0" applyProtection="0">
      <alignment horizontal="center" wrapText="1"/>
    </xf>
    <xf numFmtId="0" fontId="30" fillId="0" borderId="0" applyNumberFormat="0" applyFill="0" applyBorder="0" applyProtection="0">
      <alignment horizontal="justify" wrapText="1"/>
    </xf>
    <xf numFmtId="0" fontId="108" fillId="0" borderId="0" applyNumberFormat="0" applyFill="0" applyBorder="0" applyProtection="0">
      <alignment horizontal="centerContinuous" wrapText="1"/>
    </xf>
    <xf numFmtId="44" fontId="29" fillId="0" borderId="0" applyFill="0" applyBorder="0" applyProtection="0">
      <alignment horizontal="right" wrapText="1"/>
    </xf>
    <xf numFmtId="44" fontId="108" fillId="0" borderId="0" applyFill="0" applyBorder="0" applyProtection="0">
      <alignment horizontal="right" wrapText="1"/>
    </xf>
    <xf numFmtId="264" fontId="29" fillId="0" borderId="0" applyFill="0" applyBorder="0" applyProtection="0">
      <alignment horizontal="right" wrapText="1"/>
    </xf>
    <xf numFmtId="264" fontId="108" fillId="0" borderId="0" applyFill="0" applyBorder="0" applyProtection="0">
      <alignment horizontal="right" wrapText="1"/>
    </xf>
    <xf numFmtId="44" fontId="131" fillId="0" borderId="0" applyFill="0" applyBorder="0" applyProtection="0">
      <alignment horizontal="right" wrapText="1"/>
    </xf>
    <xf numFmtId="263" fontId="29" fillId="0" borderId="0" applyFill="0" applyBorder="0" applyProtection="0">
      <alignment horizontal="right" wrapText="1"/>
    </xf>
    <xf numFmtId="0" fontId="132" fillId="0" borderId="0" applyNumberFormat="0" applyFill="0" applyBorder="0" applyProtection="0">
      <alignment horizontal="left" wrapText="1"/>
    </xf>
    <xf numFmtId="0" fontId="132" fillId="0" borderId="0" applyNumberFormat="0" applyFill="0" applyBorder="0" applyProtection="0">
      <alignment horizontal="right" vertical="top" wrapText="1"/>
    </xf>
    <xf numFmtId="0" fontId="132" fillId="0" borderId="0" applyNumberFormat="0" applyFill="0" applyBorder="0" applyProtection="0">
      <alignment horizontal="right" wrapText="1"/>
    </xf>
    <xf numFmtId="0" fontId="132" fillId="0" borderId="0" applyNumberFormat="0" applyFill="0" applyBorder="0" applyProtection="0">
      <alignment horizontal="center" vertical="top" wrapText="1"/>
    </xf>
    <xf numFmtId="0" fontId="132" fillId="0" borderId="0" applyNumberFormat="0" applyFill="0" applyBorder="0" applyProtection="0">
      <alignment horizontal="center" wrapText="1"/>
    </xf>
    <xf numFmtId="0" fontId="133" fillId="32" borderId="0" applyNumberFormat="0" applyBorder="0" applyProtection="0">
      <alignment horizontal="left" wrapText="1"/>
    </xf>
    <xf numFmtId="0" fontId="133" fillId="32" borderId="0" applyNumberFormat="0" applyBorder="0" applyProtection="0">
      <alignment horizontal="left"/>
    </xf>
    <xf numFmtId="0" fontId="133" fillId="32" borderId="0" applyNumberFormat="0" applyBorder="0" applyProtection="0">
      <alignment horizontal="right"/>
    </xf>
    <xf numFmtId="0" fontId="134" fillId="40" borderId="0" applyNumberFormat="0" applyBorder="0" applyProtection="0">
      <alignment vertical="top" wrapText="1"/>
    </xf>
    <xf numFmtId="265" fontId="134" fillId="40" borderId="0" applyBorder="0" applyProtection="0">
      <alignment vertical="top" wrapText="1"/>
    </xf>
    <xf numFmtId="4" fontId="29" fillId="0" borderId="0" applyFill="0" applyBorder="0" applyProtection="0">
      <alignment horizontal="right"/>
    </xf>
    <xf numFmtId="265" fontId="29" fillId="0" borderId="0" applyFill="0" applyBorder="0" applyProtection="0">
      <alignment horizontal="right"/>
    </xf>
    <xf numFmtId="3" fontId="29" fillId="0" borderId="0" applyFill="0" applyBorder="0" applyProtection="0">
      <alignment horizontal="right"/>
    </xf>
    <xf numFmtId="258" fontId="29" fillId="0" borderId="0" applyFill="0" applyBorder="0" applyProtection="0">
      <alignment horizontal="right"/>
    </xf>
    <xf numFmtId="4" fontId="108" fillId="0" borderId="0" applyFill="0" applyBorder="0" applyProtection="0">
      <alignment horizontal="right"/>
    </xf>
    <xf numFmtId="4" fontId="132" fillId="0" borderId="0" applyFill="0" applyBorder="0" applyProtection="0">
      <alignment horizontal="right"/>
    </xf>
    <xf numFmtId="266" fontId="29" fillId="0" borderId="0" applyFill="0" applyBorder="0" applyProtection="0">
      <alignment horizontal="right" vertical="top" wrapText="1"/>
    </xf>
    <xf numFmtId="0" fontId="22" fillId="0" borderId="75" applyNumberFormat="0" applyFill="0" applyProtection="0">
      <alignment horizontal="left" vertical="top"/>
    </xf>
    <xf numFmtId="4" fontId="29" fillId="0" borderId="0" applyFill="0" applyBorder="0" applyProtection="0">
      <alignment horizontal="left"/>
    </xf>
    <xf numFmtId="4" fontId="29" fillId="0" borderId="0" applyFill="0" applyBorder="0" applyProtection="0">
      <alignment horizontal="center"/>
    </xf>
    <xf numFmtId="259" fontId="29" fillId="0" borderId="0" applyFill="0" applyBorder="0" applyProtection="0">
      <alignment horizontal="right"/>
    </xf>
    <xf numFmtId="264" fontId="29" fillId="0" borderId="0" applyFill="0" applyBorder="0" applyProtection="0">
      <alignment horizontal="right"/>
    </xf>
    <xf numFmtId="267" fontId="29" fillId="0" borderId="0" applyFill="0" applyBorder="0" applyProtection="0">
      <alignment horizontal="right"/>
    </xf>
    <xf numFmtId="268" fontId="29" fillId="0" borderId="0" applyFill="0" applyBorder="0" applyProtection="0">
      <alignment horizontal="right"/>
    </xf>
    <xf numFmtId="231" fontId="29" fillId="0" borderId="0" applyFill="0" applyBorder="0" applyProtection="0">
      <alignment horizontal="right"/>
    </xf>
    <xf numFmtId="4" fontId="29" fillId="0" borderId="0" applyFill="0" applyBorder="0" applyProtection="0">
      <alignment horizontal="center"/>
    </xf>
    <xf numFmtId="258" fontId="29" fillId="0" borderId="0" applyFill="0" applyBorder="0" applyProtection="0">
      <alignment horizontal="center"/>
    </xf>
    <xf numFmtId="0" fontId="29" fillId="0" borderId="0" applyNumberFormat="0" applyFill="0" applyBorder="0" applyProtection="0">
      <alignment horizontal="left" vertical="top" wrapText="1"/>
    </xf>
    <xf numFmtId="264" fontId="130" fillId="0" borderId="0" applyFill="0" applyBorder="0" applyProtection="0">
      <alignment horizontal="right"/>
    </xf>
    <xf numFmtId="259" fontId="130" fillId="0" borderId="0" applyFill="0" applyBorder="0" applyProtection="0">
      <alignment horizontal="right"/>
    </xf>
    <xf numFmtId="267" fontId="130" fillId="0" borderId="0" applyFill="0" applyBorder="0" applyProtection="0">
      <alignment horizontal="right"/>
    </xf>
    <xf numFmtId="14" fontId="130" fillId="0" borderId="0" applyFill="0" applyBorder="0" applyProtection="0">
      <alignment horizontal="right"/>
    </xf>
    <xf numFmtId="0" fontId="135" fillId="0" borderId="0" applyNumberFormat="0" applyFill="0" applyBorder="0" applyProtection="0">
      <alignment horizontal="left"/>
    </xf>
    <xf numFmtId="0" fontId="108" fillId="0" borderId="75" applyNumberFormat="0" applyFill="0" applyProtection="0"/>
    <xf numFmtId="0" fontId="31" fillId="0" borderId="0" applyNumberFormat="0" applyFill="0" applyBorder="0" applyProtection="0"/>
    <xf numFmtId="0" fontId="108" fillId="0" borderId="75" applyNumberFormat="0" applyFill="0" applyProtection="0">
      <alignment horizontal="center"/>
    </xf>
    <xf numFmtId="0" fontId="108" fillId="0" borderId="0" applyNumberFormat="0" applyFill="0" applyBorder="0" applyProtection="0">
      <alignment horizontal="center"/>
    </xf>
    <xf numFmtId="0" fontId="108" fillId="0" borderId="0" applyNumberFormat="0" applyFill="0" applyBorder="0" applyProtection="0"/>
    <xf numFmtId="189" fontId="3" fillId="0" borderId="0" applyFont="0" applyFill="0" applyBorder="0" applyAlignment="0" applyProtection="0"/>
    <xf numFmtId="220" fontId="3" fillId="0" borderId="0" applyFont="0" applyFill="0" applyBorder="0" applyAlignment="0" applyProtection="0"/>
    <xf numFmtId="0" fontId="136" fillId="0" borderId="0"/>
    <xf numFmtId="0" fontId="73" fillId="0" borderId="0" applyNumberFormat="0" applyFill="0" applyBorder="0" applyAlignment="0" applyProtection="0"/>
    <xf numFmtId="0" fontId="73" fillId="0" borderId="0" applyNumberFormat="0" applyFill="0" applyBorder="0" applyAlignment="0" applyProtection="0"/>
  </cellStyleXfs>
  <cellXfs count="778">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43" fontId="4" fillId="0" borderId="0" xfId="1" applyFont="1"/>
    <xf numFmtId="165" fontId="4" fillId="0" borderId="5" xfId="1" applyNumberFormat="1" applyFont="1" applyBorder="1" applyAlignment="1">
      <alignment horizontal="right"/>
    </xf>
    <xf numFmtId="164" fontId="52" fillId="0" borderId="0" xfId="1" quotePrefix="1" applyNumberFormat="1" applyFont="1" applyAlignment="1">
      <alignment horizontal="right"/>
    </xf>
    <xf numFmtId="164" fontId="52"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1" fillId="0" borderId="0" xfId="0" applyFont="1"/>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2" fillId="0" borderId="2" xfId="1" quotePrefix="1" applyNumberFormat="1" applyFont="1" applyBorder="1" applyAlignment="1">
      <alignment horizontal="right"/>
    </xf>
    <xf numFmtId="9" fontId="51" fillId="0" borderId="2" xfId="2" quotePrefix="1" applyFont="1" applyBorder="1" applyAlignment="1">
      <alignment horizontal="right"/>
    </xf>
    <xf numFmtId="164" fontId="50"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165" fontId="60" fillId="0" borderId="0" xfId="1" applyNumberFormat="1" applyFont="1" applyAlignment="1">
      <alignment horizontal="right"/>
    </xf>
    <xf numFmtId="165" fontId="60" fillId="0" borderId="5" xfId="1" applyNumberFormat="1" applyFont="1" applyBorder="1" applyAlignment="1">
      <alignment horizontal="right"/>
    </xf>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8" fillId="0" borderId="0" xfId="1" applyFont="1" applyAlignment="1">
      <alignment horizontal="right"/>
    </xf>
    <xf numFmtId="0" fontId="58" fillId="0" borderId="3" xfId="0" applyFont="1" applyBorder="1" applyAlignment="1">
      <alignment horizontal="left" indent="1"/>
    </xf>
    <xf numFmtId="0" fontId="58" fillId="10" borderId="4" xfId="0" applyFont="1" applyFill="1" applyBorder="1" applyAlignment="1">
      <alignment horizontal="left"/>
    </xf>
    <xf numFmtId="165" fontId="59" fillId="0" borderId="7" xfId="1" applyNumberFormat="1" applyFont="1" applyBorder="1" applyAlignment="1">
      <alignment horizontal="right"/>
    </xf>
    <xf numFmtId="166" fontId="58" fillId="0" borderId="0" xfId="2" quotePrefix="1" applyNumberFormat="1" applyFont="1" applyAlignment="1">
      <alignment horizontal="right"/>
    </xf>
    <xf numFmtId="0" fontId="58" fillId="10" borderId="3" xfId="0" applyFont="1" applyFill="1" applyBorder="1" applyAlignment="1">
      <alignment horizontal="left"/>
    </xf>
    <xf numFmtId="9" fontId="58" fillId="0" borderId="0" xfId="2" quotePrefix="1" applyFont="1" applyAlignment="1">
      <alignment horizontal="right"/>
    </xf>
    <xf numFmtId="165" fontId="62" fillId="0" borderId="0" xfId="2" applyNumberFormat="1" applyFont="1" applyAlignment="1">
      <alignment horizontal="right"/>
    </xf>
    <xf numFmtId="166" fontId="58" fillId="0" borderId="0" xfId="2" applyNumberFormat="1" applyFont="1" applyAlignment="1">
      <alignment horizontal="right"/>
    </xf>
    <xf numFmtId="0" fontId="58" fillId="0" borderId="3" xfId="0" applyFont="1" applyBorder="1"/>
    <xf numFmtId="164" fontId="58" fillId="0" borderId="5" xfId="1" quotePrefix="1" applyNumberFormat="1" applyFont="1" applyBorder="1" applyAlignment="1">
      <alignment horizontal="right"/>
    </xf>
    <xf numFmtId="9" fontId="58" fillId="0" borderId="5" xfId="2" quotePrefix="1" applyFont="1" applyBorder="1" applyAlignment="1">
      <alignment horizontal="right"/>
    </xf>
    <xf numFmtId="0" fontId="61" fillId="0" borderId="25" xfId="0" applyFont="1" applyBorder="1" applyAlignment="1">
      <alignment horizontal="left"/>
    </xf>
    <xf numFmtId="43" fontId="58" fillId="0" borderId="7" xfId="1" applyFont="1" applyBorder="1" applyAlignment="1">
      <alignment horizontal="right"/>
    </xf>
    <xf numFmtId="43" fontId="58" fillId="0" borderId="8" xfId="1" applyFont="1" applyBorder="1" applyAlignment="1">
      <alignment horizontal="right"/>
    </xf>
    <xf numFmtId="0" fontId="4" fillId="0" borderId="4" xfId="0" applyFont="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indent="1"/>
    </xf>
    <xf numFmtId="0" fontId="57" fillId="2" borderId="3" xfId="0" applyFont="1" applyFill="1" applyBorder="1" applyAlignment="1">
      <alignment horizontal="left"/>
    </xf>
    <xf numFmtId="0" fontId="61" fillId="10" borderId="4" xfId="0" applyFont="1" applyFill="1" applyBorder="1" applyAlignment="1">
      <alignment horizontal="left"/>
    </xf>
    <xf numFmtId="0" fontId="58" fillId="0" borderId="25" xfId="0" applyFont="1" applyBorder="1" applyAlignment="1">
      <alignment horizontal="left"/>
    </xf>
    <xf numFmtId="0" fontId="58" fillId="0" borderId="26" xfId="0" applyFont="1" applyBorder="1" applyAlignment="1">
      <alignment horizontal="left"/>
    </xf>
    <xf numFmtId="0" fontId="59" fillId="0" borderId="4" xfId="0" applyFont="1" applyBorder="1" applyAlignment="1">
      <alignment horizontal="left"/>
    </xf>
    <xf numFmtId="0" fontId="58" fillId="0" borderId="3" xfId="0" applyFont="1" applyBorder="1" applyAlignment="1">
      <alignment horizontal="left" indent="2"/>
    </xf>
    <xf numFmtId="0" fontId="58" fillId="0" borderId="6" xfId="0" applyFont="1" applyBorder="1" applyAlignment="1">
      <alignment horizontal="left"/>
    </xf>
    <xf numFmtId="0" fontId="59" fillId="0" borderId="3" xfId="0" applyFont="1" applyBorder="1" applyAlignment="1">
      <alignment horizontal="left" indent="2"/>
    </xf>
    <xf numFmtId="165" fontId="59" fillId="10" borderId="0" xfId="1" applyNumberFormat="1" applyFont="1" applyFill="1" applyAlignment="1">
      <alignment horizontal="right"/>
    </xf>
    <xf numFmtId="165" fontId="58" fillId="10" borderId="0" xfId="1" applyNumberFormat="1" applyFont="1" applyFill="1" applyAlignment="1">
      <alignment horizontal="right"/>
    </xf>
    <xf numFmtId="165" fontId="58" fillId="10" borderId="5" xfId="1" applyNumberFormat="1" applyFont="1" applyFill="1" applyBorder="1" applyAlignment="1">
      <alignment horizontal="right"/>
    </xf>
    <xf numFmtId="165" fontId="58" fillId="10" borderId="30" xfId="1" applyNumberFormat="1" applyFont="1" applyFill="1" applyBorder="1" applyAlignment="1">
      <alignment horizontal="right"/>
    </xf>
    <xf numFmtId="165" fontId="58" fillId="10" borderId="29" xfId="1" applyNumberFormat="1" applyFont="1" applyFill="1" applyBorder="1" applyAlignment="1">
      <alignment horizontal="right"/>
    </xf>
    <xf numFmtId="164" fontId="54" fillId="2" borderId="33"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0" fillId="3" borderId="5" xfId="1" quotePrefix="1" applyNumberFormat="1" applyFont="1" applyFill="1" applyBorder="1" applyAlignment="1">
      <alignment horizontal="right"/>
    </xf>
    <xf numFmtId="0" fontId="57" fillId="2" borderId="4" xfId="0" applyFont="1" applyFill="1" applyBorder="1" applyAlignment="1">
      <alignment horizontal="left"/>
    </xf>
    <xf numFmtId="166" fontId="4" fillId="0" borderId="0" xfId="2" applyNumberFormat="1" applyFont="1" applyAlignment="1">
      <alignment horizontal="right"/>
    </xf>
    <xf numFmtId="166" fontId="58" fillId="0" borderId="0" xfId="1" applyNumberFormat="1" applyFont="1" applyAlignment="1">
      <alignment horizontal="right"/>
    </xf>
    <xf numFmtId="165" fontId="58" fillId="0" borderId="0" xfId="1" applyNumberFormat="1" applyFont="1" applyAlignment="1">
      <alignment horizontal="left"/>
    </xf>
    <xf numFmtId="43" fontId="58" fillId="0" borderId="0" xfId="1" applyFont="1" applyAlignment="1">
      <alignment horizontal="left"/>
    </xf>
    <xf numFmtId="166" fontId="58" fillId="0" borderId="0" xfId="2" applyNumberFormat="1" applyFont="1" applyAlignment="1">
      <alignment horizontal="left"/>
    </xf>
    <xf numFmtId="9" fontId="58" fillId="0" borderId="0" xfId="1" applyNumberFormat="1" applyFont="1" applyAlignment="1">
      <alignment horizontal="left"/>
    </xf>
    <xf numFmtId="0" fontId="58" fillId="0" borderId="4" xfId="0" applyFont="1" applyBorder="1"/>
    <xf numFmtId="0" fontId="58" fillId="0" borderId="12" xfId="0" applyFont="1" applyBorder="1"/>
    <xf numFmtId="0" fontId="58" fillId="0" borderId="13" xfId="0" applyFont="1" applyBorder="1"/>
    <xf numFmtId="0" fontId="58" fillId="10" borderId="0" xfId="0" applyFont="1" applyFill="1" applyAlignment="1">
      <alignment horizontal="left"/>
    </xf>
    <xf numFmtId="9" fontId="4" fillId="0" borderId="0" xfId="1" applyNumberFormat="1" applyFont="1"/>
    <xf numFmtId="0" fontId="58" fillId="0" borderId="3" xfId="3" applyFont="1" applyBorder="1" applyAlignment="1">
      <alignment horizontal="left" vertical="top"/>
    </xf>
    <xf numFmtId="0" fontId="58" fillId="0" borderId="4" xfId="3" applyFont="1" applyBorder="1" applyAlignment="1">
      <alignment horizontal="left" vertical="top"/>
    </xf>
    <xf numFmtId="17" fontId="58" fillId="0" borderId="0" xfId="1" applyNumberFormat="1" applyFont="1" applyAlignment="1">
      <alignment horizontal="right" wrapText="1"/>
    </xf>
    <xf numFmtId="0" fontId="58" fillId="0" borderId="4" xfId="0" applyFont="1" applyBorder="1" applyAlignment="1">
      <alignment horizontal="left" indent="1"/>
    </xf>
    <xf numFmtId="0" fontId="59" fillId="0" borderId="3" xfId="0" applyFont="1" applyBorder="1" applyAlignment="1">
      <alignment horizontal="left" indent="4"/>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5" fontId="51" fillId="0" borderId="5" xfId="1" quotePrefix="1" applyNumberFormat="1" applyFont="1" applyBorder="1" applyAlignment="1">
      <alignment horizontal="right"/>
    </xf>
    <xf numFmtId="164" fontId="51" fillId="0" borderId="5" xfId="1" quotePrefix="1" applyNumberFormat="1" applyFont="1" applyBorder="1" applyAlignment="1">
      <alignment horizontal="right"/>
    </xf>
    <xf numFmtId="0" fontId="65" fillId="0" borderId="0" xfId="0" applyFont="1"/>
    <xf numFmtId="0" fontId="65" fillId="0" borderId="3" xfId="0" applyFont="1" applyBorder="1" applyAlignment="1">
      <alignment horizontal="left"/>
    </xf>
    <xf numFmtId="165" fontId="65" fillId="0" borderId="0" xfId="1" applyNumberFormat="1" applyFont="1" applyAlignment="1">
      <alignment horizontal="right"/>
    </xf>
    <xf numFmtId="165" fontId="65" fillId="0" borderId="5" xfId="1" quotePrefix="1" applyNumberFormat="1" applyFont="1" applyBorder="1" applyAlignment="1">
      <alignment horizontal="right"/>
    </xf>
    <xf numFmtId="0" fontId="65" fillId="0" borderId="3" xfId="0" applyFont="1" applyBorder="1" applyAlignment="1">
      <alignment horizontal="left" indent="2"/>
    </xf>
    <xf numFmtId="0" fontId="65" fillId="0" borderId="4" xfId="0" applyFont="1" applyBorder="1" applyAlignment="1">
      <alignment horizontal="left" indent="1"/>
    </xf>
    <xf numFmtId="164" fontId="65" fillId="0" borderId="0" xfId="1" applyNumberFormat="1" applyFont="1" applyAlignment="1">
      <alignment horizontal="right"/>
    </xf>
    <xf numFmtId="164" fontId="65" fillId="0" borderId="5" xfId="1" quotePrefix="1" applyNumberFormat="1" applyFont="1" applyBorder="1" applyAlignment="1">
      <alignment horizontal="right"/>
    </xf>
    <xf numFmtId="167" fontId="65" fillId="0" borderId="0" xfId="1" applyNumberFormat="1" applyFont="1" applyAlignment="1">
      <alignment horizontal="right"/>
    </xf>
    <xf numFmtId="165" fontId="59" fillId="0" borderId="31" xfId="1" applyNumberFormat="1" applyFont="1" applyBorder="1" applyAlignment="1">
      <alignment horizontal="right"/>
    </xf>
    <xf numFmtId="165" fontId="51" fillId="0" borderId="32" xfId="1" quotePrefix="1" applyNumberFormat="1" applyFont="1" applyBorder="1" applyAlignment="1">
      <alignment horizontal="right"/>
    </xf>
    <xf numFmtId="164" fontId="58" fillId="0" borderId="0" xfId="2" applyNumberFormat="1" applyFont="1" applyAlignment="1">
      <alignment horizontal="right"/>
    </xf>
    <xf numFmtId="164" fontId="60" fillId="0" borderId="0" xfId="2" applyNumberFormat="1" applyFont="1" applyAlignment="1">
      <alignment horizontal="right"/>
    </xf>
    <xf numFmtId="43" fontId="65" fillId="0" borderId="0" xfId="1" applyFont="1"/>
    <xf numFmtId="43" fontId="65" fillId="0" borderId="4" xfId="1" applyFont="1" applyBorder="1"/>
    <xf numFmtId="43" fontId="65" fillId="0" borderId="5" xfId="1" quotePrefix="1" applyFont="1" applyBorder="1" applyAlignment="1">
      <alignment horizontal="right"/>
    </xf>
    <xf numFmtId="43" fontId="65" fillId="0" borderId="3" xfId="1" applyFont="1" applyBorder="1" applyAlignment="1">
      <alignment horizontal="left" indent="4"/>
    </xf>
    <xf numFmtId="166" fontId="65" fillId="0" borderId="0" xfId="2" applyNumberFormat="1" applyFont="1" applyAlignment="1">
      <alignment horizontal="right"/>
    </xf>
    <xf numFmtId="164" fontId="58" fillId="0" borderId="32" xfId="1" applyNumberFormat="1" applyFont="1" applyBorder="1" applyAlignment="1">
      <alignment horizontal="right"/>
    </xf>
    <xf numFmtId="164" fontId="60" fillId="0" borderId="5" xfId="2" applyNumberFormat="1" applyFont="1" applyBorder="1" applyAlignment="1">
      <alignment horizontal="right"/>
    </xf>
    <xf numFmtId="0" fontId="67" fillId="0" borderId="0" xfId="0" applyFont="1"/>
    <xf numFmtId="0" fontId="68" fillId="0" borderId="4" xfId="0" applyFont="1" applyBorder="1" applyAlignment="1">
      <alignment horizontal="left"/>
    </xf>
    <xf numFmtId="0" fontId="66" fillId="0" borderId="13" xfId="0" applyFont="1" applyBorder="1"/>
    <xf numFmtId="9" fontId="62" fillId="0" borderId="0" xfId="2" applyFont="1" applyAlignment="1">
      <alignment horizontal="right"/>
    </xf>
    <xf numFmtId="0" fontId="66" fillId="0" borderId="26" xfId="0" applyFont="1" applyBorder="1" applyAlignment="1">
      <alignment horizontal="left"/>
    </xf>
    <xf numFmtId="0" fontId="66" fillId="0" borderId="12" xfId="0" applyFont="1" applyBorder="1" applyAlignment="1">
      <alignment horizontal="left" indent="2"/>
    </xf>
    <xf numFmtId="0" fontId="66" fillId="0" borderId="13" xfId="0" applyFont="1" applyBorder="1" applyAlignment="1">
      <alignment horizontal="left"/>
    </xf>
    <xf numFmtId="0" fontId="65" fillId="0" borderId="25" xfId="0" applyFont="1" applyBorder="1" applyAlignment="1">
      <alignment horizontal="left" indent="1"/>
    </xf>
    <xf numFmtId="0" fontId="65" fillId="0" borderId="26" xfId="0" applyFont="1" applyBorder="1"/>
    <xf numFmtId="0" fontId="66" fillId="0" borderId="35" xfId="0" applyFont="1" applyBorder="1" applyAlignment="1">
      <alignment horizontal="left" indent="2"/>
    </xf>
    <xf numFmtId="10" fontId="4" fillId="0" borderId="0" xfId="2" applyNumberFormat="1" applyFont="1" applyAlignment="1">
      <alignment horizontal="right"/>
    </xf>
    <xf numFmtId="0" fontId="4" fillId="0" borderId="10" xfId="0" applyFont="1" applyBorder="1" applyAlignment="1">
      <alignment horizontal="left"/>
    </xf>
    <xf numFmtId="43" fontId="51" fillId="0" borderId="0" xfId="0" applyNumberFormat="1" applyFont="1" applyAlignment="1">
      <alignment horizontal="left"/>
    </xf>
    <xf numFmtId="164" fontId="59" fillId="0" borderId="5" xfId="1" quotePrefix="1" applyNumberFormat="1" applyFont="1" applyBorder="1" applyAlignment="1">
      <alignment horizontal="right"/>
    </xf>
    <xf numFmtId="165" fontId="60" fillId="10" borderId="5" xfId="1" applyNumberFormat="1" applyFont="1" applyFill="1" applyBorder="1" applyAlignment="1">
      <alignment horizontal="right"/>
    </xf>
    <xf numFmtId="165" fontId="59" fillId="10" borderId="5" xfId="1" applyNumberFormat="1" applyFont="1" applyFill="1" applyBorder="1" applyAlignment="1">
      <alignment horizontal="right"/>
    </xf>
    <xf numFmtId="165" fontId="50" fillId="3" borderId="0" xfId="1" quotePrefix="1" applyNumberFormat="1" applyFont="1" applyFill="1" applyAlignment="1">
      <alignment horizontal="right"/>
    </xf>
    <xf numFmtId="165" fontId="50" fillId="3" borderId="5" xfId="1" quotePrefix="1" applyNumberFormat="1" applyFont="1" applyFill="1" applyBorder="1" applyAlignment="1">
      <alignment horizontal="right"/>
    </xf>
    <xf numFmtId="165" fontId="59" fillId="0" borderId="8" xfId="1" applyNumberFormat="1" applyFont="1" applyBorder="1" applyAlignment="1">
      <alignment horizontal="right"/>
    </xf>
    <xf numFmtId="165" fontId="4" fillId="10" borderId="31" xfId="1" applyNumberFormat="1" applyFont="1" applyFill="1" applyBorder="1" applyAlignment="1">
      <alignment horizontal="right"/>
    </xf>
    <xf numFmtId="165" fontId="58" fillId="10" borderId="32" xfId="1" applyNumberFormat="1" applyFont="1" applyFill="1" applyBorder="1" applyAlignment="1">
      <alignment horizontal="right"/>
    </xf>
    <xf numFmtId="165" fontId="60" fillId="10" borderId="0" xfId="1" applyNumberFormat="1" applyFont="1" applyFill="1" applyAlignment="1">
      <alignment horizontal="right"/>
    </xf>
    <xf numFmtId="165" fontId="58" fillId="0" borderId="32" xfId="1" applyNumberFormat="1" applyFont="1" applyBorder="1" applyAlignment="1">
      <alignment horizontal="right"/>
    </xf>
    <xf numFmtId="165" fontId="58" fillId="10" borderId="31" xfId="1" applyNumberFormat="1" applyFont="1" applyFill="1" applyBorder="1" applyAlignment="1">
      <alignment horizontal="right"/>
    </xf>
    <xf numFmtId="0" fontId="71" fillId="0" borderId="0" xfId="0" applyFont="1"/>
    <xf numFmtId="0" fontId="4" fillId="0" borderId="0" xfId="0" applyFont="1" applyFill="1"/>
    <xf numFmtId="0" fontId="66" fillId="0" borderId="37" xfId="0" applyFont="1" applyBorder="1" applyAlignment="1">
      <alignment horizontal="left" indent="1"/>
    </xf>
    <xf numFmtId="165" fontId="58" fillId="0" borderId="0" xfId="1" applyNumberFormat="1" applyFont="1" applyFill="1" applyAlignment="1">
      <alignment horizontal="right"/>
    </xf>
    <xf numFmtId="165" fontId="58" fillId="0" borderId="5" xfId="1" applyNumberFormat="1" applyFont="1" applyFill="1" applyBorder="1" applyAlignment="1">
      <alignment horizontal="right"/>
    </xf>
    <xf numFmtId="43" fontId="58" fillId="0" borderId="0" xfId="1" applyNumberFormat="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0" fillId="0" borderId="0" xfId="1" applyNumberFormat="1" applyFont="1" applyFill="1" applyAlignment="1">
      <alignment horizontal="right"/>
    </xf>
    <xf numFmtId="164" fontId="69" fillId="0" borderId="31" xfId="1" applyNumberFormat="1" applyFont="1" applyFill="1" applyBorder="1" applyAlignment="1">
      <alignment horizontal="right"/>
    </xf>
    <xf numFmtId="164" fontId="66" fillId="0" borderId="30" xfId="1" applyNumberFormat="1" applyFont="1" applyFill="1" applyBorder="1" applyAlignment="1">
      <alignment horizontal="right"/>
    </xf>
    <xf numFmtId="164" fontId="70" fillId="0" borderId="31" xfId="1" applyNumberFormat="1" applyFont="1" applyFill="1" applyBorder="1" applyAlignment="1">
      <alignment horizontal="right"/>
    </xf>
    <xf numFmtId="43" fontId="59" fillId="0" borderId="0" xfId="1" applyFont="1" applyFill="1" applyAlignment="1">
      <alignment horizontal="right"/>
    </xf>
    <xf numFmtId="43" fontId="66" fillId="0" borderId="36" xfId="1" applyFont="1" applyFill="1" applyBorder="1" applyAlignment="1">
      <alignment horizontal="right"/>
    </xf>
    <xf numFmtId="43" fontId="58" fillId="0" borderId="7" xfId="1" applyFont="1" applyFill="1" applyBorder="1" applyAlignment="1">
      <alignment horizontal="right"/>
    </xf>
    <xf numFmtId="0" fontId="51" fillId="0" borderId="0" xfId="0" applyFont="1" applyFill="1"/>
    <xf numFmtId="43" fontId="65" fillId="0" borderId="0" xfId="1" applyFont="1" applyFill="1"/>
    <xf numFmtId="165" fontId="60" fillId="0" borderId="0" xfId="1" applyNumberFormat="1" applyFont="1" applyFill="1" applyAlignment="1">
      <alignment horizontal="right"/>
    </xf>
    <xf numFmtId="7" fontId="58" fillId="0" borderId="0" xfId="1" applyNumberFormat="1" applyFont="1" applyFill="1" applyAlignment="1">
      <alignment horizontal="right"/>
    </xf>
    <xf numFmtId="0" fontId="65" fillId="0" borderId="0" xfId="0" applyFont="1" applyFill="1"/>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164" fontId="65" fillId="0" borderId="0" xfId="1" applyNumberFormat="1" applyFont="1" applyFill="1" applyAlignment="1">
      <alignment horizontal="right"/>
    </xf>
    <xf numFmtId="166" fontId="58" fillId="0" borderId="0" xfId="2" applyNumberFormat="1" applyFont="1" applyFill="1" applyAlignment="1">
      <alignment horizontal="left"/>
    </xf>
    <xf numFmtId="165" fontId="58" fillId="0" borderId="0" xfId="1" quotePrefix="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30" xfId="1" applyNumberFormat="1" applyFont="1" applyFill="1" applyBorder="1" applyAlignment="1">
      <alignment horizontal="right"/>
    </xf>
    <xf numFmtId="43" fontId="66" fillId="0" borderId="34" xfId="1" applyFont="1" applyFill="1" applyBorder="1" applyAlignment="1">
      <alignment horizontal="right"/>
    </xf>
    <xf numFmtId="43" fontId="66" fillId="0" borderId="36" xfId="1" applyNumberFormat="1" applyFont="1" applyFill="1" applyBorder="1" applyAlignment="1">
      <alignment horizontal="right"/>
    </xf>
    <xf numFmtId="166" fontId="65" fillId="0" borderId="0" xfId="2" applyNumberFormat="1" applyFont="1" applyFill="1" applyAlignment="1">
      <alignment horizontal="right"/>
    </xf>
    <xf numFmtId="164" fontId="60" fillId="0" borderId="5"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31" xfId="1" applyNumberFormat="1" applyFont="1" applyFill="1" applyBorder="1" applyAlignment="1">
      <alignment horizontal="right"/>
    </xf>
    <xf numFmtId="9" fontId="58" fillId="0" borderId="0" xfId="2" applyFont="1" applyFill="1" applyAlignment="1">
      <alignment horizontal="right"/>
    </xf>
    <xf numFmtId="167" fontId="65" fillId="0" borderId="0" xfId="1" applyNumberFormat="1" applyFont="1" applyFill="1" applyAlignment="1">
      <alignment horizontal="right"/>
    </xf>
    <xf numFmtId="164" fontId="58" fillId="0" borderId="0" xfId="2" applyNumberFormat="1" applyFont="1" applyFill="1" applyAlignment="1">
      <alignment horizontal="right"/>
    </xf>
    <xf numFmtId="164" fontId="60" fillId="0" borderId="0" xfId="2" applyNumberFormat="1" applyFont="1" applyFill="1" applyAlignment="1">
      <alignment horizontal="right"/>
    </xf>
    <xf numFmtId="9" fontId="58" fillId="0" borderId="30" xfId="2" applyFont="1" applyFill="1" applyBorder="1" applyAlignment="1">
      <alignment horizontal="right"/>
    </xf>
    <xf numFmtId="165" fontId="65"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10" fontId="62" fillId="0" borderId="0" xfId="2" applyNumberFormat="1" applyFont="1" applyAlignment="1">
      <alignment horizontal="right"/>
    </xf>
    <xf numFmtId="0" fontId="58" fillId="10" borderId="3" xfId="0" applyFont="1" applyFill="1" applyBorder="1" applyAlignment="1">
      <alignment horizontal="left"/>
    </xf>
    <xf numFmtId="0" fontId="58" fillId="10" borderId="4" xfId="0" applyFont="1" applyFill="1" applyBorder="1" applyAlignment="1">
      <alignment horizontal="left"/>
    </xf>
    <xf numFmtId="0" fontId="59" fillId="0" borderId="3" xfId="0" applyFont="1" applyBorder="1" applyAlignment="1">
      <alignment horizontal="left" indent="3"/>
    </xf>
    <xf numFmtId="0" fontId="65" fillId="0" borderId="25" xfId="0" applyFont="1" applyBorder="1" applyAlignment="1">
      <alignment horizontal="left" indent="5"/>
    </xf>
    <xf numFmtId="0" fontId="66" fillId="0" borderId="12" xfId="0" applyFont="1" applyBorder="1" applyAlignment="1">
      <alignment horizontal="left" indent="6"/>
    </xf>
    <xf numFmtId="43" fontId="59" fillId="0" borderId="5" xfId="1" applyFont="1" applyFill="1" applyBorder="1" applyAlignment="1">
      <alignment horizontal="right"/>
    </xf>
    <xf numFmtId="164" fontId="50"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58" fillId="0" borderId="31" xfId="1" applyNumberFormat="1" applyFont="1" applyFill="1" applyBorder="1" applyAlignment="1">
      <alignment horizontal="right"/>
    </xf>
    <xf numFmtId="165" fontId="4" fillId="10"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58" fillId="0" borderId="8" xfId="2" quotePrefix="1" applyFont="1" applyFill="1" applyBorder="1" applyAlignment="1">
      <alignment horizontal="right"/>
    </xf>
    <xf numFmtId="9" fontId="58" fillId="0" borderId="0" xfId="2" quotePrefix="1" applyFont="1" applyFill="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Fill="1" applyBorder="1" applyAlignment="1">
      <alignment horizontal="right"/>
    </xf>
    <xf numFmtId="0" fontId="58" fillId="0" borderId="0" xfId="0" applyFont="1" applyFill="1"/>
    <xf numFmtId="164" fontId="58" fillId="0" borderId="0" xfId="1" quotePrefix="1" applyNumberFormat="1" applyFont="1" applyFill="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6" fontId="58" fillId="0" borderId="7" xfId="2" applyNumberFormat="1" applyFont="1" applyFill="1" applyBorder="1" applyAlignment="1">
      <alignment horizontal="right"/>
    </xf>
    <xf numFmtId="166" fontId="58" fillId="0" borderId="8" xfId="2" quotePrefix="1" applyNumberFormat="1" applyFont="1" applyFill="1" applyBorder="1" applyAlignment="1">
      <alignment horizontal="right"/>
    </xf>
    <xf numFmtId="166" fontId="58" fillId="0" borderId="7" xfId="2" quotePrefix="1" applyNumberFormat="1" applyFont="1" applyFill="1" applyBorder="1" applyAlignment="1">
      <alignment horizontal="right"/>
    </xf>
    <xf numFmtId="0" fontId="58" fillId="0" borderId="3" xfId="0" applyFont="1" applyFill="1" applyBorder="1" applyAlignment="1">
      <alignment horizontal="left"/>
    </xf>
    <xf numFmtId="0" fontId="53" fillId="0" borderId="4" xfId="0" applyFont="1" applyFill="1" applyBorder="1" applyAlignment="1">
      <alignment horizontal="left"/>
    </xf>
    <xf numFmtId="43" fontId="62" fillId="0" borderId="0" xfId="1" applyFont="1" applyFill="1" applyAlignment="1">
      <alignment horizontal="right"/>
    </xf>
    <xf numFmtId="9" fontId="62" fillId="0" borderId="0" xfId="2" applyFont="1" applyFill="1" applyAlignment="1">
      <alignment horizontal="right"/>
    </xf>
    <xf numFmtId="9" fontId="4" fillId="0" borderId="0" xfId="2" applyFont="1" applyFill="1" applyAlignment="1">
      <alignment horizontal="right"/>
    </xf>
    <xf numFmtId="165" fontId="62" fillId="0" borderId="0" xfId="2" applyNumberFormat="1" applyFont="1" applyFill="1" applyAlignment="1">
      <alignment horizontal="right"/>
    </xf>
    <xf numFmtId="165" fontId="65" fillId="0" borderId="5" xfId="1" quotePrefix="1" applyNumberFormat="1" applyFont="1" applyFill="1" applyBorder="1" applyAlignment="1">
      <alignment horizontal="right"/>
    </xf>
    <xf numFmtId="165" fontId="63" fillId="0" borderId="5" xfId="1" quotePrefix="1" applyNumberFormat="1" applyFont="1" applyFill="1" applyBorder="1" applyAlignment="1">
      <alignment horizontal="right"/>
    </xf>
    <xf numFmtId="164" fontId="59" fillId="0" borderId="29" xfId="1" quotePrefix="1" applyNumberFormat="1" applyFont="1" applyFill="1" applyBorder="1" applyAlignment="1">
      <alignment horizontal="right"/>
    </xf>
    <xf numFmtId="164" fontId="58"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43" fontId="65" fillId="0" borderId="5" xfId="1" quotePrefix="1" applyFont="1" applyFill="1" applyBorder="1" applyAlignment="1">
      <alignment horizontal="right"/>
    </xf>
    <xf numFmtId="0" fontId="4" fillId="0" borderId="4" xfId="0" applyFont="1" applyFill="1" applyBorder="1"/>
    <xf numFmtId="0" fontId="59" fillId="0" borderId="3" xfId="0" applyFont="1" applyFill="1" applyBorder="1" applyAlignment="1">
      <alignment horizontal="left" indent="4"/>
    </xf>
    <xf numFmtId="0" fontId="59" fillId="0" borderId="4" xfId="0" applyFont="1" applyFill="1" applyBorder="1"/>
    <xf numFmtId="0" fontId="59" fillId="0" borderId="3" xfId="0" applyFont="1" applyFill="1" applyBorder="1" applyAlignment="1">
      <alignment horizontal="left" indent="5"/>
    </xf>
    <xf numFmtId="0" fontId="51" fillId="0" borderId="4" xfId="0" applyFont="1" applyFill="1" applyBorder="1"/>
    <xf numFmtId="0" fontId="67" fillId="0" borderId="0" xfId="0" applyFont="1" applyFill="1"/>
    <xf numFmtId="166" fontId="58" fillId="0" borderId="5" xfId="2" applyNumberFormat="1" applyFont="1" applyFill="1" applyBorder="1" applyAlignment="1">
      <alignment horizontal="right"/>
    </xf>
    <xf numFmtId="43" fontId="60" fillId="0" borderId="0" xfId="1" applyNumberFormat="1" applyFont="1" applyFill="1" applyAlignment="1">
      <alignment horizontal="right"/>
    </xf>
    <xf numFmtId="164" fontId="69" fillId="0" borderId="32" xfId="1" applyNumberFormat="1" applyFont="1" applyFill="1" applyBorder="1" applyAlignment="1">
      <alignment horizontal="right"/>
    </xf>
    <xf numFmtId="164" fontId="66" fillId="0" borderId="29" xfId="1" applyNumberFormat="1" applyFont="1" applyFill="1" applyBorder="1" applyAlignment="1">
      <alignment horizontal="right"/>
    </xf>
    <xf numFmtId="164" fontId="70" fillId="0" borderId="32" xfId="1" applyNumberFormat="1" applyFont="1" applyFill="1" applyBorder="1" applyAlignment="1">
      <alignment horizontal="right"/>
    </xf>
    <xf numFmtId="166" fontId="62" fillId="0" borderId="0" xfId="2" applyNumberFormat="1" applyFont="1" applyFill="1" applyAlignment="1">
      <alignment horizontal="right"/>
    </xf>
    <xf numFmtId="164" fontId="58" fillId="0" borderId="0" xfId="1" applyNumberFormat="1" applyFont="1" applyFill="1" applyBorder="1" applyAlignment="1">
      <alignment horizontal="right"/>
    </xf>
    <xf numFmtId="7" fontId="58" fillId="0" borderId="31" xfId="1" applyNumberFormat="1" applyFont="1" applyFill="1" applyBorder="1" applyAlignment="1">
      <alignment horizontal="right"/>
    </xf>
    <xf numFmtId="165" fontId="58" fillId="0" borderId="0" xfId="1" applyNumberFormat="1" applyFont="1" applyFill="1" applyBorder="1" applyAlignment="1">
      <alignment horizontal="right"/>
    </xf>
    <xf numFmtId="167" fontId="65" fillId="0" borderId="5" xfId="1" quotePrefix="1" applyNumberFormat="1" applyFont="1" applyFill="1" applyBorder="1" applyAlignment="1">
      <alignment horizontal="right"/>
    </xf>
    <xf numFmtId="9" fontId="64" fillId="0" borderId="5" xfId="2" applyFont="1" applyFill="1" applyBorder="1" applyAlignment="1">
      <alignment horizontal="right"/>
    </xf>
    <xf numFmtId="9" fontId="4" fillId="0" borderId="0" xfId="2" applyFont="1" applyAlignment="1">
      <alignment horizontal="left"/>
    </xf>
    <xf numFmtId="0" fontId="58" fillId="0" borderId="6" xfId="0" applyFont="1" applyFill="1" applyBorder="1" applyAlignment="1">
      <alignment horizontal="left" indent="2"/>
    </xf>
    <xf numFmtId="0" fontId="58" fillId="0" borderId="10" xfId="0" applyFont="1" applyFill="1" applyBorder="1" applyAlignment="1">
      <alignment horizontal="left" indent="1"/>
    </xf>
    <xf numFmtId="165" fontId="4" fillId="10" borderId="31" xfId="1" applyNumberFormat="1" applyFont="1" applyFill="1" applyBorder="1" applyAlignment="1">
      <alignment horizontal="left"/>
    </xf>
    <xf numFmtId="165" fontId="58" fillId="0" borderId="31" xfId="1" applyNumberFormat="1" applyFont="1" applyBorder="1" applyAlignment="1">
      <alignment horizontal="right"/>
    </xf>
    <xf numFmtId="166" fontId="4" fillId="0" borderId="0" xfId="1" applyNumberFormat="1" applyFont="1"/>
    <xf numFmtId="165" fontId="60" fillId="0" borderId="5" xfId="1" applyNumberFormat="1" applyFont="1" applyFill="1" applyBorder="1" applyAlignment="1">
      <alignment horizontal="right"/>
    </xf>
    <xf numFmtId="165" fontId="59" fillId="0" borderId="5" xfId="1" applyNumberFormat="1" applyFont="1" applyFill="1" applyBorder="1" applyAlignment="1">
      <alignment horizontal="right"/>
    </xf>
    <xf numFmtId="165" fontId="51" fillId="0" borderId="9" xfId="1" applyNumberFormat="1" applyFont="1" applyFill="1" applyBorder="1" applyAlignment="1">
      <alignment horizontal="right"/>
    </xf>
    <xf numFmtId="9" fontId="64" fillId="0" borderId="0" xfId="2" applyFont="1" applyFill="1" applyAlignment="1">
      <alignment horizontal="right"/>
    </xf>
    <xf numFmtId="9" fontId="59" fillId="0" borderId="0" xfId="2" applyFont="1" applyFill="1" applyAlignment="1">
      <alignment horizontal="right"/>
    </xf>
    <xf numFmtId="9" fontId="59" fillId="0" borderId="0" xfId="2" applyNumberFormat="1" applyFont="1" applyFill="1" applyAlignment="1">
      <alignment horizontal="right"/>
    </xf>
    <xf numFmtId="164" fontId="51" fillId="0" borderId="29" xfId="1" quotePrefix="1" applyNumberFormat="1" applyFont="1" applyFill="1" applyBorder="1" applyAlignment="1">
      <alignment horizontal="right"/>
    </xf>
    <xf numFmtId="165" fontId="51"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NumberFormat="1" applyFont="1" applyFill="1" applyBorder="1" applyAlignment="1">
      <alignment horizontal="right"/>
    </xf>
    <xf numFmtId="43" fontId="60" fillId="0" borderId="5" xfId="1" applyNumberFormat="1" applyFont="1" applyFill="1" applyBorder="1" applyAlignment="1">
      <alignment horizontal="right"/>
    </xf>
    <xf numFmtId="0" fontId="58" fillId="0" borderId="3" xfId="0" applyFont="1" applyFill="1" applyBorder="1" applyAlignment="1">
      <alignment horizontal="left" indent="2"/>
    </xf>
    <xf numFmtId="0" fontId="59" fillId="0" borderId="1" xfId="0" applyFont="1" applyFill="1" applyBorder="1" applyAlignment="1">
      <alignment horizontal="left"/>
    </xf>
    <xf numFmtId="5" fontId="59" fillId="0" borderId="11" xfId="1" applyNumberFormat="1" applyFont="1" applyFill="1" applyBorder="1" applyAlignment="1">
      <alignment horizontal="right"/>
    </xf>
    <xf numFmtId="0" fontId="59" fillId="0" borderId="3" xfId="0" applyFont="1" applyFill="1" applyBorder="1" applyAlignment="1">
      <alignment horizontal="left"/>
    </xf>
    <xf numFmtId="5" fontId="61" fillId="0" borderId="4" xfId="1" applyNumberFormat="1" applyFont="1" applyFill="1" applyBorder="1" applyAlignment="1">
      <alignment horizontal="right"/>
    </xf>
    <xf numFmtId="5" fontId="59" fillId="0" borderId="4" xfId="1" applyNumberFormat="1" applyFont="1" applyFill="1" applyBorder="1" applyAlignment="1">
      <alignment horizontal="right"/>
    </xf>
    <xf numFmtId="0" fontId="59" fillId="0" borderId="23" xfId="0" applyFont="1" applyFill="1" applyBorder="1" applyAlignment="1">
      <alignment horizontal="left"/>
    </xf>
    <xf numFmtId="5" fontId="59" fillId="0" borderId="24" xfId="1" applyNumberFormat="1" applyFont="1" applyFill="1" applyBorder="1" applyAlignment="1">
      <alignment horizontal="right"/>
    </xf>
    <xf numFmtId="9" fontId="4" fillId="0" borderId="5" xfId="2" quotePrefix="1" applyFont="1" applyFill="1" applyBorder="1" applyAlignment="1">
      <alignment horizontal="right"/>
    </xf>
    <xf numFmtId="9" fontId="4" fillId="0" borderId="5" xfId="2" applyFont="1" applyFill="1" applyBorder="1" applyAlignment="1">
      <alignment horizontal="right"/>
    </xf>
    <xf numFmtId="7" fontId="4" fillId="0" borderId="5" xfId="1" applyNumberFormat="1" applyFont="1" applyFill="1" applyBorder="1" applyAlignment="1">
      <alignment horizontal="right"/>
    </xf>
    <xf numFmtId="164" fontId="58" fillId="0" borderId="31" xfId="1" applyNumberFormat="1" applyFont="1" applyFill="1" applyBorder="1" applyAlignment="1">
      <alignment horizontal="right"/>
    </xf>
    <xf numFmtId="164" fontId="58" fillId="0" borderId="30" xfId="1" applyNumberFormat="1" applyFont="1" applyFill="1" applyBorder="1" applyAlignment="1">
      <alignment horizontal="right"/>
    </xf>
    <xf numFmtId="164" fontId="58" fillId="0" borderId="29" xfId="1" applyNumberFormat="1" applyFont="1" applyFill="1" applyBorder="1" applyAlignment="1">
      <alignment horizontal="right"/>
    </xf>
    <xf numFmtId="165" fontId="58" fillId="0" borderId="8" xfId="1" applyNumberFormat="1" applyFont="1" applyFill="1" applyBorder="1" applyAlignment="1">
      <alignment horizontal="right"/>
    </xf>
    <xf numFmtId="165" fontId="59" fillId="0" borderId="7" xfId="1" applyNumberFormat="1" applyFont="1" applyFill="1" applyBorder="1" applyAlignment="1">
      <alignment horizontal="right"/>
    </xf>
    <xf numFmtId="165" fontId="59" fillId="0" borderId="8" xfId="1" applyNumberFormat="1" applyFont="1" applyFill="1" applyBorder="1" applyAlignment="1">
      <alignment horizontal="right"/>
    </xf>
    <xf numFmtId="165" fontId="4" fillId="0" borderId="0" xfId="1" applyNumberFormat="1" applyFont="1" applyFill="1" applyAlignment="1">
      <alignment horizontal="right"/>
    </xf>
    <xf numFmtId="165" fontId="4" fillId="0" borderId="5" xfId="1" applyNumberFormat="1" applyFont="1" applyFill="1" applyBorder="1" applyAlignment="1">
      <alignment horizontal="right"/>
    </xf>
    <xf numFmtId="164" fontId="52" fillId="0" borderId="0" xfId="1" quotePrefix="1" applyNumberFormat="1" applyFont="1" applyFill="1" applyAlignment="1">
      <alignment horizontal="right"/>
    </xf>
    <xf numFmtId="164" fontId="52" fillId="0" borderId="5" xfId="1" quotePrefix="1" applyNumberFormat="1" applyFont="1" applyFill="1" applyBorder="1" applyAlignment="1">
      <alignment horizontal="right"/>
    </xf>
    <xf numFmtId="9" fontId="58" fillId="0" borderId="5" xfId="2" quotePrefix="1" applyFont="1" applyFill="1" applyBorder="1" applyAlignment="1">
      <alignment horizontal="right"/>
    </xf>
    <xf numFmtId="9" fontId="51" fillId="0" borderId="2" xfId="2" quotePrefix="1" applyFont="1" applyFill="1" applyBorder="1" applyAlignment="1">
      <alignment horizontal="right"/>
    </xf>
    <xf numFmtId="164" fontId="52" fillId="0" borderId="2" xfId="1" quotePrefix="1" applyNumberFormat="1" applyFont="1" applyFill="1" applyBorder="1" applyAlignment="1">
      <alignment horizontal="right"/>
    </xf>
    <xf numFmtId="0" fontId="58" fillId="0" borderId="3" xfId="0" applyFont="1" applyFill="1" applyBorder="1" applyAlignment="1">
      <alignment horizontal="left"/>
    </xf>
    <xf numFmtId="0" fontId="58" fillId="0" borderId="4" xfId="0" applyFont="1" applyFill="1" applyBorder="1" applyAlignment="1">
      <alignment horizontal="left"/>
    </xf>
    <xf numFmtId="0" fontId="58" fillId="0" borderId="6" xfId="0" applyFont="1" applyFill="1" applyBorder="1" applyAlignment="1">
      <alignment horizontal="left"/>
    </xf>
    <xf numFmtId="0" fontId="58" fillId="0" borderId="10" xfId="0" applyFont="1" applyFill="1" applyBorder="1" applyAlignment="1">
      <alignment horizontal="left"/>
    </xf>
    <xf numFmtId="0" fontId="59" fillId="0" borderId="3" xfId="0" applyFont="1" applyFill="1" applyBorder="1" applyAlignment="1">
      <alignment horizontal="left" indent="1"/>
    </xf>
    <xf numFmtId="0" fontId="59" fillId="0" borderId="4" xfId="0" applyFont="1" applyFill="1" applyBorder="1" applyAlignment="1">
      <alignment horizontal="left" indent="1"/>
    </xf>
    <xf numFmtId="0" fontId="58" fillId="0" borderId="3" xfId="0" applyFont="1" applyFill="1" applyBorder="1" applyAlignment="1">
      <alignment horizontal="left" indent="2"/>
    </xf>
    <xf numFmtId="0" fontId="58" fillId="0" borderId="3" xfId="0" applyFont="1" applyFill="1" applyBorder="1" applyAlignment="1">
      <alignment horizontal="left" indent="5"/>
    </xf>
    <xf numFmtId="164" fontId="59" fillId="0" borderId="3" xfId="1" applyNumberFormat="1" applyFont="1" applyFill="1" applyBorder="1" applyAlignment="1">
      <alignment horizontal="right"/>
    </xf>
    <xf numFmtId="164" fontId="59" fillId="0" borderId="0" xfId="1" applyNumberFormat="1" applyFont="1" applyFill="1" applyBorder="1" applyAlignment="1">
      <alignment horizontal="right"/>
    </xf>
    <xf numFmtId="10" fontId="60" fillId="0" borderId="5" xfId="2" applyNumberFormat="1" applyFont="1" applyFill="1" applyBorder="1" applyAlignment="1">
      <alignment horizontal="right"/>
    </xf>
    <xf numFmtId="166" fontId="59" fillId="0" borderId="5" xfId="2" applyNumberFormat="1" applyFont="1" applyFill="1" applyBorder="1" applyAlignment="1">
      <alignment horizontal="right"/>
    </xf>
    <xf numFmtId="164" fontId="50" fillId="0" borderId="5" xfId="1" quotePrefix="1" applyNumberFormat="1" applyFont="1" applyFill="1" applyBorder="1" applyAlignment="1">
      <alignment horizontal="right"/>
    </xf>
    <xf numFmtId="164" fontId="58" fillId="0" borderId="0" xfId="0" applyNumberFormat="1" applyFont="1" applyFill="1" applyAlignment="1">
      <alignment horizontal="right"/>
    </xf>
    <xf numFmtId="43" fontId="58" fillId="10" borderId="0" xfId="1" applyNumberFormat="1" applyFont="1" applyFill="1" applyAlignment="1">
      <alignment horizontal="right"/>
    </xf>
    <xf numFmtId="43" fontId="4" fillId="0" borderId="0" xfId="0" applyNumberFormat="1" applyFont="1" applyFill="1"/>
    <xf numFmtId="0" fontId="57" fillId="0" borderId="4" xfId="0" applyFont="1" applyBorder="1" applyAlignment="1">
      <alignment horizontal="center" wrapText="1"/>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10" borderId="25" xfId="0" applyFont="1" applyFill="1" applyBorder="1" applyAlignment="1">
      <alignment horizontal="left"/>
    </xf>
    <xf numFmtId="0" fontId="61" fillId="10" borderId="26" xfId="0" applyFont="1" applyFill="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61" fillId="0" borderId="3" xfId="0" applyFont="1" applyBorder="1" applyAlignment="1">
      <alignment horizontal="left"/>
    </xf>
    <xf numFmtId="0" fontId="61" fillId="0" borderId="4"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9" fillId="0" borderId="6" xfId="0" applyFont="1" applyBorder="1" applyAlignment="1">
      <alignment horizontal="left" indent="2"/>
    </xf>
    <xf numFmtId="0" fontId="59" fillId="0" borderId="10" xfId="0" applyFont="1" applyBorder="1" applyAlignment="1">
      <alignment horizontal="left" indent="2"/>
    </xf>
    <xf numFmtId="0" fontId="58" fillId="0" borderId="3" xfId="0" applyFont="1" applyBorder="1" applyAlignment="1">
      <alignment horizontal="left"/>
    </xf>
    <xf numFmtId="0" fontId="58" fillId="0" borderId="4" xfId="0" applyFont="1" applyBorder="1" applyAlignment="1">
      <alignment horizontal="left"/>
    </xf>
    <xf numFmtId="0" fontId="58" fillId="0" borderId="3" xfId="0" applyFont="1" applyFill="1" applyBorder="1" applyAlignment="1">
      <alignment horizontal="left"/>
    </xf>
    <xf numFmtId="0" fontId="58" fillId="0" borderId="4" xfId="0" applyFont="1" applyFill="1" applyBorder="1" applyAlignment="1">
      <alignment horizontal="left"/>
    </xf>
    <xf numFmtId="0" fontId="56" fillId="2" borderId="1" xfId="0" applyFont="1" applyFill="1" applyBorder="1" applyAlignment="1">
      <alignment horizontal="left"/>
    </xf>
    <xf numFmtId="0" fontId="56" fillId="2" borderId="11" xfId="0" applyFont="1" applyFill="1" applyBorder="1" applyAlignment="1">
      <alignment horizontal="left"/>
    </xf>
    <xf numFmtId="0" fontId="58" fillId="10" borderId="3" xfId="0" applyFont="1" applyFill="1" applyBorder="1" applyAlignment="1">
      <alignment horizontal="left"/>
    </xf>
    <xf numFmtId="0" fontId="58" fillId="10" borderId="4" xfId="0" applyFont="1" applyFill="1" applyBorder="1" applyAlignment="1">
      <alignment horizontal="left"/>
    </xf>
    <xf numFmtId="0" fontId="58" fillId="0" borderId="27" xfId="0" applyFont="1" applyFill="1" applyBorder="1" applyAlignment="1">
      <alignment horizontal="left" vertical="top" wrapText="1"/>
    </xf>
    <xf numFmtId="0" fontId="58" fillId="0" borderId="28" xfId="0" applyFont="1" applyFill="1" applyBorder="1" applyAlignment="1">
      <alignment horizontal="left" vertical="top" wrapText="1"/>
    </xf>
    <xf numFmtId="0" fontId="59" fillId="10" borderId="3" xfId="0" applyFont="1" applyFill="1" applyBorder="1" applyAlignment="1">
      <alignment horizontal="left" indent="1"/>
    </xf>
    <xf numFmtId="0" fontId="59" fillId="10" borderId="4" xfId="0" applyFont="1" applyFill="1" applyBorder="1" applyAlignment="1">
      <alignment horizontal="left" indent="1"/>
    </xf>
    <xf numFmtId="0" fontId="4" fillId="0" borderId="2" xfId="0" applyFont="1" applyBorder="1" applyAlignment="1">
      <alignment horizontal="left"/>
    </xf>
    <xf numFmtId="0" fontId="58" fillId="10" borderId="12" xfId="0" applyFont="1" applyFill="1" applyBorder="1" applyAlignment="1">
      <alignment horizontal="left"/>
    </xf>
    <xf numFmtId="0" fontId="58" fillId="10" borderId="13" xfId="0" applyFont="1" applyFill="1" applyBorder="1" applyAlignment="1">
      <alignment horizontal="left"/>
    </xf>
    <xf numFmtId="0" fontId="58" fillId="10" borderId="25" xfId="0" applyFont="1" applyFill="1" applyBorder="1" applyAlignment="1">
      <alignment horizontal="left"/>
    </xf>
    <xf numFmtId="0" fontId="58" fillId="10" borderId="26"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58" fillId="0" borderId="1" xfId="0" applyFont="1" applyFill="1" applyBorder="1" applyAlignment="1">
      <alignment horizontal="left"/>
    </xf>
    <xf numFmtId="0" fontId="58" fillId="0" borderId="11"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58" fillId="0" borderId="6" xfId="0" applyFont="1" applyFill="1" applyBorder="1" applyAlignment="1">
      <alignment horizontal="left"/>
    </xf>
    <xf numFmtId="0" fontId="58" fillId="0" borderId="10" xfId="0" applyFont="1" applyFill="1" applyBorder="1" applyAlignment="1">
      <alignment horizontal="left"/>
    </xf>
    <xf numFmtId="0" fontId="59" fillId="0" borderId="3" xfId="0" applyFont="1" applyBorder="1" applyAlignment="1">
      <alignment horizontal="left" indent="3"/>
    </xf>
    <xf numFmtId="0" fontId="59" fillId="0" borderId="4" xfId="0" applyFont="1" applyBorder="1" applyAlignment="1">
      <alignment horizontal="left" indent="3"/>
    </xf>
    <xf numFmtId="0" fontId="59" fillId="0" borderId="3" xfId="0" applyFont="1" applyFill="1" applyBorder="1" applyAlignment="1">
      <alignment horizontal="left" indent="1"/>
    </xf>
    <xf numFmtId="0" fontId="59" fillId="0" borderId="4" xfId="0" applyFont="1" applyFill="1" applyBorder="1" applyAlignment="1">
      <alignment horizontal="left" indent="1"/>
    </xf>
    <xf numFmtId="0" fontId="58" fillId="0" borderId="3" xfId="0" applyFont="1" applyBorder="1" applyAlignment="1">
      <alignment horizontal="left" indent="4"/>
    </xf>
    <xf numFmtId="0" fontId="58" fillId="0" borderId="4" xfId="0" applyFont="1" applyBorder="1" applyAlignment="1">
      <alignment horizontal="left" indent="4"/>
    </xf>
    <xf numFmtId="0" fontId="58" fillId="0" borderId="3" xfId="0" applyFont="1" applyFill="1" applyBorder="1" applyAlignment="1">
      <alignment horizontal="left" indent="2"/>
    </xf>
    <xf numFmtId="0" fontId="58" fillId="0" borderId="4" xfId="0" applyFont="1" applyFill="1" applyBorder="1" applyAlignment="1">
      <alignment horizontal="left" indent="2"/>
    </xf>
    <xf numFmtId="0" fontId="58" fillId="0" borderId="3" xfId="0" applyFont="1" applyFill="1" applyBorder="1" applyAlignment="1">
      <alignment horizontal="left" indent="5"/>
    </xf>
    <xf numFmtId="0" fontId="58" fillId="0" borderId="4" xfId="0" applyFont="1" applyFill="1" applyBorder="1" applyAlignment="1">
      <alignment horizontal="left" indent="5"/>
    </xf>
    <xf numFmtId="0" fontId="58" fillId="0" borderId="3"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Fill="1" applyBorder="1" applyAlignment="1">
      <alignment horizontal="left" vertical="top"/>
    </xf>
    <xf numFmtId="0" fontId="58" fillId="0" borderId="4" xfId="3" applyFont="1" applyFill="1" applyBorder="1" applyAlignment="1">
      <alignment horizontal="left" vertical="top"/>
    </xf>
    <xf numFmtId="0" fontId="59" fillId="0" borderId="12" xfId="0" applyFont="1" applyBorder="1" applyAlignment="1">
      <alignment horizontal="left"/>
    </xf>
    <xf numFmtId="0" fontId="59" fillId="0" borderId="13" xfId="0" applyFont="1" applyBorder="1" applyAlignment="1">
      <alignment horizontal="left"/>
    </xf>
    <xf numFmtId="9" fontId="58" fillId="0" borderId="3" xfId="2" quotePrefix="1" applyFont="1" applyFill="1" applyBorder="1" applyAlignment="1">
      <alignment horizontal="right"/>
    </xf>
    <xf numFmtId="9" fontId="58" fillId="0" borderId="4" xfId="2" quotePrefix="1" applyFont="1" applyFill="1" applyBorder="1" applyAlignment="1">
      <alignment horizontal="right"/>
    </xf>
    <xf numFmtId="9" fontId="58" fillId="0" borderId="0" xfId="2" quotePrefix="1" applyFont="1" applyFill="1" applyBorder="1" applyAlignment="1">
      <alignment horizontal="right"/>
    </xf>
    <xf numFmtId="0" fontId="0" fillId="0" borderId="1" xfId="0" applyFont="1" applyBorder="1"/>
    <xf numFmtId="0" fontId="0" fillId="0" borderId="3" xfId="0" applyFont="1" applyBorder="1"/>
    <xf numFmtId="0" fontId="0" fillId="0" borderId="4" xfId="0" applyFont="1" applyBorder="1"/>
    <xf numFmtId="44" fontId="74" fillId="0" borderId="4" xfId="322" applyFont="1" applyBorder="1" applyAlignment="1">
      <alignment horizontal="right"/>
    </xf>
    <xf numFmtId="0" fontId="2" fillId="0" borderId="6" xfId="0" applyFont="1" applyBorder="1"/>
    <xf numFmtId="44" fontId="2" fillId="0" borderId="10" xfId="322" applyFont="1" applyBorder="1" applyAlignment="1">
      <alignment horizontal="right"/>
    </xf>
    <xf numFmtId="9" fontId="0" fillId="0" borderId="0" xfId="2" applyFont="1"/>
    <xf numFmtId="166" fontId="0" fillId="0" borderId="0" xfId="2" applyNumberFormat="1" applyFont="1"/>
    <xf numFmtId="10" fontId="0" fillId="0" borderId="0" xfId="2" applyNumberFormat="1" applyFont="1"/>
    <xf numFmtId="0" fontId="75" fillId="0" borderId="3" xfId="0" applyFont="1" applyBorder="1"/>
    <xf numFmtId="44" fontId="0" fillId="0" borderId="4" xfId="322" applyFont="1" applyBorder="1"/>
    <xf numFmtId="0" fontId="2" fillId="0" borderId="3" xfId="0" applyFont="1" applyBorder="1" applyAlignment="1">
      <alignment horizontal="left" indent="1"/>
    </xf>
    <xf numFmtId="10" fontId="0" fillId="0" borderId="4" xfId="2" applyNumberFormat="1" applyFont="1" applyBorder="1"/>
    <xf numFmtId="44" fontId="76" fillId="0" borderId="4" xfId="0" applyNumberFormat="1" applyFont="1" applyBorder="1"/>
    <xf numFmtId="0" fontId="2" fillId="0" borderId="6" xfId="0" applyFont="1" applyBorder="1" applyAlignment="1">
      <alignment horizontal="left" indent="1"/>
    </xf>
    <xf numFmtId="0" fontId="75" fillId="0" borderId="1" xfId="0" applyFont="1" applyBorder="1"/>
    <xf numFmtId="9" fontId="58" fillId="0" borderId="31" xfId="2" applyFont="1" applyFill="1" applyBorder="1" applyAlignment="1">
      <alignment horizontal="right"/>
    </xf>
    <xf numFmtId="165" fontId="74" fillId="0" borderId="4" xfId="0" applyNumberFormat="1" applyFont="1" applyBorder="1"/>
    <xf numFmtId="10" fontId="0" fillId="0" borderId="4" xfId="2" applyNumberFormat="1" applyFont="1" applyFill="1" applyBorder="1"/>
    <xf numFmtId="10" fontId="2" fillId="0" borderId="4" xfId="2" applyNumberFormat="1" applyFont="1" applyFill="1" applyBorder="1"/>
    <xf numFmtId="10" fontId="2" fillId="0" borderId="10" xfId="2" applyNumberFormat="1" applyFont="1" applyBorder="1"/>
    <xf numFmtId="10" fontId="0" fillId="0" borderId="11" xfId="2" applyNumberFormat="1" applyFont="1" applyBorder="1"/>
    <xf numFmtId="10" fontId="2" fillId="0" borderId="4" xfId="2" applyNumberFormat="1" applyFont="1" applyBorder="1"/>
    <xf numFmtId="43" fontId="0" fillId="0" borderId="4" xfId="1" applyFont="1" applyFill="1" applyBorder="1"/>
    <xf numFmtId="14" fontId="4" fillId="0" borderId="0" xfId="0" applyNumberFormat="1" applyFont="1" applyAlignment="1">
      <alignment horizontal="right"/>
    </xf>
    <xf numFmtId="14" fontId="4" fillId="0" borderId="0" xfId="1" applyNumberFormat="1" applyFont="1" applyAlignment="1">
      <alignment horizontal="right"/>
    </xf>
    <xf numFmtId="6" fontId="4" fillId="0" borderId="0" xfId="0" applyNumberFormat="1" applyFont="1" applyAlignment="1">
      <alignment horizontal="right"/>
    </xf>
    <xf numFmtId="44" fontId="4" fillId="0" borderId="0" xfId="322" applyFont="1" applyAlignment="1">
      <alignment horizontal="right"/>
    </xf>
    <xf numFmtId="43" fontId="0" fillId="0" borderId="11" xfId="1" applyFont="1" applyFill="1" applyBorder="1"/>
    <xf numFmtId="44" fontId="4" fillId="0" borderId="0" xfId="0" applyNumberFormat="1" applyFont="1"/>
    <xf numFmtId="165" fontId="76" fillId="0" borderId="5" xfId="1" quotePrefix="1" applyNumberFormat="1" applyFont="1" applyFill="1" applyBorder="1" applyAlignment="1">
      <alignment horizontal="right"/>
    </xf>
    <xf numFmtId="165" fontId="2" fillId="0" borderId="32" xfId="1"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7" fontId="1" fillId="0" borderId="5" xfId="1" quotePrefix="1" applyNumberFormat="1" applyFont="1" applyFill="1" applyBorder="1" applyAlignment="1">
      <alignment horizontal="right"/>
    </xf>
    <xf numFmtId="0" fontId="58" fillId="0" borderId="1" xfId="0" applyFont="1" applyBorder="1"/>
    <xf numFmtId="0" fontId="58" fillId="0" borderId="6" xfId="0" applyFont="1" applyBorder="1"/>
    <xf numFmtId="231" fontId="0" fillId="0" borderId="4" xfId="0" applyNumberFormat="1" applyFont="1" applyBorder="1" applyAlignment="1">
      <alignment horizontal="right"/>
    </xf>
    <xf numFmtId="231" fontId="0" fillId="0" borderId="4" xfId="0" applyNumberFormat="1" applyFont="1" applyFill="1" applyBorder="1" applyAlignment="1">
      <alignment horizontal="right"/>
    </xf>
    <xf numFmtId="164" fontId="79" fillId="2" borderId="38" xfId="1" quotePrefix="1" applyNumberFormat="1" applyFont="1" applyFill="1" applyBorder="1" applyAlignment="1">
      <alignment horizontal="center" vertical="center" wrapText="1"/>
    </xf>
    <xf numFmtId="14" fontId="0" fillId="0" borderId="3" xfId="0" applyNumberFormat="1" applyBorder="1"/>
    <xf numFmtId="43" fontId="0" fillId="0" borderId="0" xfId="1" applyFont="1" applyFill="1" applyBorder="1"/>
    <xf numFmtId="165" fontId="0" fillId="0" borderId="39" xfId="1" applyNumberFormat="1" applyFont="1" applyBorder="1"/>
    <xf numFmtId="10" fontId="0" fillId="0" borderId="39" xfId="2" applyNumberFormat="1" applyFont="1" applyBorder="1"/>
    <xf numFmtId="10" fontId="0" fillId="0" borderId="39" xfId="0" applyNumberFormat="1" applyBorder="1"/>
    <xf numFmtId="0" fontId="0" fillId="0" borderId="40" xfId="0" applyBorder="1"/>
    <xf numFmtId="10" fontId="0" fillId="0" borderId="0" xfId="0" applyNumberFormat="1"/>
    <xf numFmtId="232" fontId="0" fillId="0" borderId="41" xfId="0" applyNumberFormat="1" applyBorder="1"/>
    <xf numFmtId="43" fontId="0" fillId="0" borderId="0" xfId="1" applyFont="1" applyBorder="1"/>
    <xf numFmtId="14" fontId="0" fillId="0" borderId="6" xfId="0" applyNumberFormat="1" applyBorder="1"/>
    <xf numFmtId="43" fontId="0" fillId="0" borderId="7" xfId="1" applyFont="1" applyBorder="1"/>
    <xf numFmtId="166" fontId="0" fillId="0" borderId="42" xfId="2" applyNumberFormat="1" applyFont="1" applyBorder="1"/>
    <xf numFmtId="10" fontId="0" fillId="0" borderId="42" xfId="2" applyNumberFormat="1" applyFont="1" applyBorder="1"/>
    <xf numFmtId="10" fontId="0" fillId="0" borderId="42" xfId="0" applyNumberFormat="1" applyBorder="1"/>
    <xf numFmtId="232" fontId="0" fillId="0" borderId="43" xfId="0" applyNumberFormat="1" applyBorder="1"/>
    <xf numFmtId="0" fontId="0" fillId="0" borderId="44" xfId="0" applyBorder="1"/>
    <xf numFmtId="0" fontId="2" fillId="0" borderId="0" xfId="0" applyFont="1" applyFill="1" applyAlignment="1">
      <alignment horizontal="right"/>
    </xf>
    <xf numFmtId="10" fontId="2" fillId="0" borderId="0" xfId="0" applyNumberFormat="1" applyFont="1" applyFill="1"/>
    <xf numFmtId="0" fontId="0" fillId="0" borderId="41" xfId="0" applyBorder="1"/>
    <xf numFmtId="0" fontId="2" fillId="0" borderId="0" xfId="0" applyFont="1" applyAlignment="1">
      <alignment horizontal="right"/>
    </xf>
    <xf numFmtId="232" fontId="2" fillId="0" borderId="41" xfId="0" applyNumberFormat="1" applyFont="1" applyBorder="1"/>
    <xf numFmtId="0" fontId="2" fillId="0" borderId="41" xfId="0" applyFont="1" applyBorder="1"/>
    <xf numFmtId="0" fontId="0" fillId="11" borderId="0" xfId="0" applyFill="1"/>
    <xf numFmtId="0" fontId="2" fillId="11" borderId="0" xfId="0" applyFont="1" applyFill="1" applyAlignment="1">
      <alignment horizontal="right"/>
    </xf>
    <xf numFmtId="10" fontId="2" fillId="11" borderId="41" xfId="2" applyNumberFormat="1" applyFont="1" applyFill="1" applyBorder="1"/>
    <xf numFmtId="0" fontId="0" fillId="0" borderId="45" xfId="0" applyBorder="1"/>
    <xf numFmtId="0" fontId="0" fillId="0" borderId="42" xfId="0" applyBorder="1"/>
    <xf numFmtId="0" fontId="80" fillId="0" borderId="42" xfId="0" applyFont="1" applyBorder="1" applyAlignment="1">
      <alignment horizontal="right"/>
    </xf>
    <xf numFmtId="10" fontId="80" fillId="0" borderId="43" xfId="1" applyNumberFormat="1" applyFont="1" applyBorder="1"/>
    <xf numFmtId="0" fontId="2" fillId="0" borderId="0" xfId="0" applyFont="1" applyAlignment="1">
      <alignment wrapText="1"/>
    </xf>
    <xf numFmtId="0" fontId="0" fillId="0" borderId="0" xfId="0" applyAlignment="1">
      <alignment wrapText="1"/>
    </xf>
    <xf numFmtId="14" fontId="0" fillId="0" borderId="0" xfId="0" applyNumberFormat="1"/>
    <xf numFmtId="4" fontId="0" fillId="0" borderId="0" xfId="0" applyNumberFormat="1"/>
    <xf numFmtId="0" fontId="80" fillId="0" borderId="46" xfId="0" applyFont="1" applyFill="1" applyBorder="1" applyAlignment="1">
      <alignment horizontal="centerContinuous"/>
    </xf>
    <xf numFmtId="0" fontId="0" fillId="0" borderId="0" xfId="0" applyFill="1" applyBorder="1" applyAlignment="1"/>
    <xf numFmtId="0" fontId="0" fillId="0" borderId="17" xfId="0" applyFill="1" applyBorder="1" applyAlignment="1"/>
    <xf numFmtId="0" fontId="80" fillId="0" borderId="46" xfId="0" applyFont="1" applyFill="1" applyBorder="1" applyAlignment="1">
      <alignment horizontal="center"/>
    </xf>
    <xf numFmtId="0" fontId="0" fillId="12" borderId="17" xfId="0" applyFill="1" applyBorder="1" applyAlignment="1"/>
    <xf numFmtId="0" fontId="2" fillId="28" borderId="1" xfId="0" applyFont="1" applyFill="1" applyBorder="1" applyAlignment="1">
      <alignment horizontal="left" wrapText="1"/>
    </xf>
    <xf numFmtId="0" fontId="2" fillId="28" borderId="2" xfId="0" applyFont="1" applyFill="1" applyBorder="1" applyAlignment="1">
      <alignment horizontal="left" wrapText="1"/>
    </xf>
    <xf numFmtId="0" fontId="2" fillId="28" borderId="11" xfId="0" applyFont="1" applyFill="1" applyBorder="1" applyAlignment="1">
      <alignment horizontal="left" wrapText="1"/>
    </xf>
    <xf numFmtId="0" fontId="2" fillId="9" borderId="1" xfId="0" applyFont="1" applyFill="1" applyBorder="1" applyAlignment="1">
      <alignment horizontal="left" wrapText="1"/>
    </xf>
    <xf numFmtId="0" fontId="2" fillId="9" borderId="11" xfId="0" applyFont="1" applyFill="1" applyBorder="1" applyAlignment="1">
      <alignment horizontal="left" wrapText="1"/>
    </xf>
    <xf numFmtId="0" fontId="2" fillId="0" borderId="0" xfId="0" applyFont="1" applyFill="1" applyAlignment="1"/>
    <xf numFmtId="0" fontId="2" fillId="29" borderId="3" xfId="0" applyFont="1" applyFill="1" applyBorder="1" applyAlignment="1">
      <alignment horizontal="center"/>
    </xf>
    <xf numFmtId="0" fontId="2" fillId="29" borderId="0" xfId="0" applyFont="1" applyFill="1" applyBorder="1" applyAlignment="1">
      <alignment horizontal="center"/>
    </xf>
    <xf numFmtId="0" fontId="0" fillId="28" borderId="4" xfId="0" applyFill="1" applyBorder="1"/>
    <xf numFmtId="0" fontId="2" fillId="29" borderId="3" xfId="0" applyFont="1" applyFill="1" applyBorder="1" applyAlignment="1"/>
    <xf numFmtId="0" fontId="2" fillId="9" borderId="4" xfId="0" applyFont="1" applyFill="1" applyBorder="1" applyAlignment="1"/>
    <xf numFmtId="0" fontId="0" fillId="0" borderId="0" xfId="0" applyFill="1"/>
    <xf numFmtId="0" fontId="2" fillId="0" borderId="14" xfId="0" applyFont="1" applyBorder="1" applyAlignment="1">
      <alignment wrapText="1"/>
    </xf>
    <xf numFmtId="0" fontId="2" fillId="29" borderId="3" xfId="0" applyFont="1" applyFill="1" applyBorder="1" applyAlignment="1">
      <alignment wrapText="1"/>
    </xf>
    <xf numFmtId="0" fontId="2" fillId="29" borderId="0" xfId="0" applyFont="1" applyFill="1" applyBorder="1" applyAlignment="1">
      <alignment wrapText="1"/>
    </xf>
    <xf numFmtId="0" fontId="2" fillId="28" borderId="4" xfId="0" applyFont="1" applyFill="1" applyBorder="1" applyAlignment="1">
      <alignment wrapText="1"/>
    </xf>
    <xf numFmtId="0" fontId="2" fillId="9" borderId="4" xfId="0" applyFont="1" applyFill="1" applyBorder="1" applyAlignment="1">
      <alignment wrapText="1"/>
    </xf>
    <xf numFmtId="0" fontId="2" fillId="0" borderId="0" xfId="0" applyFont="1" applyFill="1" applyAlignment="1">
      <alignment wrapText="1"/>
    </xf>
    <xf numFmtId="7" fontId="0" fillId="0" borderId="0" xfId="1" applyNumberFormat="1" applyFont="1"/>
    <xf numFmtId="7" fontId="0" fillId="0" borderId="3" xfId="1" applyNumberFormat="1" applyFont="1" applyBorder="1"/>
    <xf numFmtId="7" fontId="0" fillId="0" borderId="0" xfId="1" applyNumberFormat="1" applyFont="1" applyBorder="1"/>
    <xf numFmtId="231" fontId="0" fillId="0" borderId="4" xfId="0" applyNumberFormat="1" applyBorder="1"/>
    <xf numFmtId="7" fontId="0" fillId="0" borderId="3" xfId="1" applyNumberFormat="1" applyFont="1" applyFill="1" applyBorder="1"/>
    <xf numFmtId="14" fontId="0" fillId="0" borderId="30" xfId="0" applyNumberFormat="1" applyBorder="1"/>
    <xf numFmtId="7" fontId="0" fillId="0" borderId="30" xfId="1" applyNumberFormat="1" applyFont="1" applyBorder="1"/>
    <xf numFmtId="7" fontId="0" fillId="0" borderId="12" xfId="1" applyNumberFormat="1" applyFont="1" applyBorder="1"/>
    <xf numFmtId="231" fontId="0" fillId="0" borderId="13" xfId="0" applyNumberFormat="1" applyBorder="1"/>
    <xf numFmtId="0" fontId="0" fillId="0" borderId="30" xfId="0" applyBorder="1"/>
    <xf numFmtId="0" fontId="0" fillId="0" borderId="3" xfId="0" applyBorder="1"/>
    <xf numFmtId="0" fontId="0" fillId="0" borderId="0" xfId="0" applyBorder="1"/>
    <xf numFmtId="0" fontId="2" fillId="0" borderId="0" xfId="0" applyFont="1" applyBorder="1" applyAlignment="1">
      <alignment horizontal="right"/>
    </xf>
    <xf numFmtId="0" fontId="2" fillId="0" borderId="3" xfId="0" applyFont="1" applyBorder="1" applyAlignment="1">
      <alignment horizontal="right"/>
    </xf>
    <xf numFmtId="0" fontId="0" fillId="0" borderId="6" xfId="0" applyBorder="1"/>
    <xf numFmtId="0" fontId="0" fillId="0" borderId="7" xfId="0" applyBorder="1"/>
    <xf numFmtId="0" fontId="2" fillId="0" borderId="7" xfId="0" applyFont="1" applyBorder="1" applyAlignment="1">
      <alignment horizontal="right"/>
    </xf>
    <xf numFmtId="231" fontId="0" fillId="0" borderId="10" xfId="0" applyNumberFormat="1" applyBorder="1"/>
    <xf numFmtId="0" fontId="2" fillId="0" borderId="6" xfId="0" applyFont="1" applyBorder="1" applyAlignment="1">
      <alignment horizontal="right"/>
    </xf>
    <xf numFmtId="0" fontId="2" fillId="0" borderId="1" xfId="0" applyFont="1" applyFill="1" applyBorder="1" applyAlignment="1">
      <alignment horizontal="center"/>
    </xf>
    <xf numFmtId="0" fontId="2" fillId="0" borderId="11" xfId="0" applyFont="1" applyFill="1" applyBorder="1" applyAlignment="1">
      <alignment horizontal="center"/>
    </xf>
    <xf numFmtId="0" fontId="2" fillId="0" borderId="3" xfId="0" applyFont="1" applyFill="1" applyBorder="1" applyAlignment="1">
      <alignment horizontal="right"/>
    </xf>
    <xf numFmtId="7" fontId="0" fillId="0" borderId="4" xfId="1" applyNumberFormat="1" applyFont="1" applyBorder="1"/>
    <xf numFmtId="5" fontId="0" fillId="0" borderId="0" xfId="0" applyNumberFormat="1"/>
    <xf numFmtId="192" fontId="0" fillId="0" borderId="0" xfId="0" applyNumberFormat="1"/>
    <xf numFmtId="0" fontId="2" fillId="0" borderId="6" xfId="0" applyFont="1" applyFill="1" applyBorder="1" applyAlignment="1">
      <alignment horizontal="right"/>
    </xf>
    <xf numFmtId="7" fontId="0" fillId="0" borderId="10" xfId="1" applyNumberFormat="1" applyFont="1" applyBorder="1"/>
    <xf numFmtId="0" fontId="2" fillId="9" borderId="1" xfId="0" applyFont="1" applyFill="1" applyBorder="1" applyAlignment="1">
      <alignment horizontal="right"/>
    </xf>
    <xf numFmtId="0" fontId="2" fillId="9" borderId="53" xfId="0" applyFont="1" applyFill="1" applyBorder="1" applyAlignment="1">
      <alignment horizontal="center" vertical="center"/>
    </xf>
    <xf numFmtId="0" fontId="2" fillId="9" borderId="54" xfId="0" applyFont="1" applyFill="1" applyBorder="1" applyAlignment="1">
      <alignment horizontal="center" vertical="center"/>
    </xf>
    <xf numFmtId="0" fontId="2" fillId="9" borderId="55" xfId="0" applyFont="1" applyFill="1" applyBorder="1" applyAlignment="1">
      <alignment horizontal="center" vertical="center"/>
    </xf>
    <xf numFmtId="5" fontId="0" fillId="0" borderId="56" xfId="0" applyNumberFormat="1" applyBorder="1" applyAlignment="1">
      <alignment horizontal="center" vertical="center"/>
    </xf>
    <xf numFmtId="5" fontId="0" fillId="0" borderId="57" xfId="0" applyNumberFormat="1" applyBorder="1" applyAlignment="1">
      <alignment horizontal="center" vertical="center"/>
    </xf>
    <xf numFmtId="5" fontId="0" fillId="0" borderId="58" xfId="0" applyNumberFormat="1" applyBorder="1" applyAlignment="1">
      <alignment horizontal="center" vertical="center"/>
    </xf>
    <xf numFmtId="5" fontId="0" fillId="0" borderId="59" xfId="0" applyNumberFormat="1" applyBorder="1" applyAlignment="1">
      <alignment horizontal="center" vertical="center"/>
    </xf>
    <xf numFmtId="0" fontId="2" fillId="30" borderId="1" xfId="0" applyFont="1" applyFill="1" applyBorder="1" applyAlignment="1">
      <alignment horizontal="left" wrapText="1"/>
    </xf>
    <xf numFmtId="0" fontId="2" fillId="30" borderId="2" xfId="0" applyFont="1" applyFill="1" applyBorder="1" applyAlignment="1">
      <alignment horizontal="left" wrapText="1"/>
    </xf>
    <xf numFmtId="0" fontId="2" fillId="30" borderId="11" xfId="0" applyFont="1" applyFill="1" applyBorder="1" applyAlignment="1">
      <alignment horizontal="left" wrapText="1"/>
    </xf>
    <xf numFmtId="0" fontId="2" fillId="30" borderId="3" xfId="0" applyFont="1" applyFill="1" applyBorder="1" applyAlignment="1">
      <alignment horizontal="left" wrapText="1"/>
    </xf>
    <xf numFmtId="0" fontId="2" fillId="30" borderId="0" xfId="0" applyFont="1" applyFill="1" applyBorder="1" applyAlignment="1">
      <alignment horizontal="left" wrapText="1"/>
    </xf>
    <xf numFmtId="0" fontId="2" fillId="30" borderId="4" xfId="0" applyFont="1" applyFill="1" applyBorder="1" applyAlignment="1">
      <alignment horizontal="left" wrapText="1"/>
    </xf>
    <xf numFmtId="0" fontId="2" fillId="0" borderId="3" xfId="0" applyFont="1" applyFill="1" applyBorder="1" applyAlignment="1">
      <alignment horizontal="left"/>
    </xf>
    <xf numFmtId="233" fontId="2" fillId="0" borderId="0" xfId="0" quotePrefix="1" applyNumberFormat="1" applyFont="1" applyBorder="1" applyAlignment="1">
      <alignment horizontal="right"/>
    </xf>
    <xf numFmtId="0" fontId="0" fillId="0" borderId="4" xfId="0" applyBorder="1"/>
    <xf numFmtId="5" fontId="0" fillId="0" borderId="0" xfId="0" applyNumberFormat="1" applyBorder="1"/>
    <xf numFmtId="192" fontId="0" fillId="0" borderId="0" xfId="0" applyNumberFormat="1" applyBorder="1"/>
    <xf numFmtId="0" fontId="2" fillId="0" borderId="12" xfId="0" applyFont="1" applyBorder="1" applyAlignment="1">
      <alignment horizontal="left" indent="1"/>
    </xf>
    <xf numFmtId="234" fontId="2" fillId="0" borderId="30" xfId="0" applyNumberFormat="1" applyFont="1" applyBorder="1"/>
    <xf numFmtId="234" fontId="0" fillId="0" borderId="0" xfId="0" applyNumberFormat="1" applyBorder="1"/>
    <xf numFmtId="0" fontId="2" fillId="0" borderId="3" xfId="0" applyFont="1" applyBorder="1"/>
    <xf numFmtId="234" fontId="2" fillId="0" borderId="0" xfId="0" applyNumberFormat="1" applyFont="1" applyBorder="1"/>
    <xf numFmtId="231" fontId="0" fillId="0" borderId="7" xfId="1" applyNumberFormat="1" applyFont="1" applyBorder="1"/>
    <xf numFmtId="0" fontId="0" fillId="0" borderId="10" xfId="0" applyBorder="1"/>
    <xf numFmtId="0" fontId="59" fillId="0" borderId="0" xfId="388" applyFont="1"/>
    <xf numFmtId="0" fontId="94" fillId="0" borderId="0" xfId="388" applyFont="1"/>
    <xf numFmtId="166" fontId="95" fillId="0" borderId="0" xfId="280" applyNumberFormat="1" applyFont="1"/>
    <xf numFmtId="0" fontId="58" fillId="0" borderId="0" xfId="388" applyFont="1"/>
    <xf numFmtId="0" fontId="96" fillId="0" borderId="0" xfId="388" applyFont="1" applyAlignment="1">
      <alignment horizontal="left" vertical="top" wrapText="1"/>
    </xf>
    <xf numFmtId="0" fontId="71" fillId="0" borderId="0" xfId="388" applyFont="1"/>
    <xf numFmtId="0" fontId="95" fillId="0" borderId="0" xfId="388" applyFont="1" applyAlignment="1">
      <alignment horizontal="left"/>
    </xf>
    <xf numFmtId="0" fontId="58" fillId="0" borderId="0" xfId="388" applyFont="1" applyFill="1"/>
    <xf numFmtId="0" fontId="59" fillId="0" borderId="0" xfId="388" applyFont="1" applyAlignment="1">
      <alignment horizontal="left"/>
    </xf>
    <xf numFmtId="166" fontId="59" fillId="0" borderId="0" xfId="280" applyNumberFormat="1" applyFont="1"/>
    <xf numFmtId="0" fontId="98" fillId="0" borderId="0" xfId="389" applyFont="1"/>
    <xf numFmtId="0" fontId="99" fillId="0" borderId="0" xfId="388" applyFont="1"/>
    <xf numFmtId="0" fontId="59" fillId="0" borderId="0" xfId="388" applyFont="1" applyFill="1"/>
    <xf numFmtId="164" fontId="79" fillId="2" borderId="27" xfId="112" quotePrefix="1" applyNumberFormat="1" applyFont="1" applyFill="1" applyBorder="1" applyAlignment="1">
      <alignment horizontal="left"/>
    </xf>
    <xf numFmtId="164" fontId="79" fillId="2" borderId="9" xfId="112" quotePrefix="1" applyNumberFormat="1" applyFont="1" applyFill="1" applyBorder="1" applyAlignment="1">
      <alignment horizontal="left"/>
    </xf>
    <xf numFmtId="164" fontId="79" fillId="2" borderId="28" xfId="112" quotePrefix="1" applyNumberFormat="1" applyFont="1" applyFill="1" applyBorder="1" applyAlignment="1">
      <alignment horizontal="left"/>
    </xf>
    <xf numFmtId="164" fontId="79" fillId="2" borderId="27" xfId="112" quotePrefix="1" applyNumberFormat="1" applyFont="1" applyFill="1" applyBorder="1" applyAlignment="1">
      <alignment horizontal="left" wrapText="1"/>
    </xf>
    <xf numFmtId="164" fontId="79" fillId="2" borderId="9" xfId="112" quotePrefix="1" applyNumberFormat="1" applyFont="1" applyFill="1" applyBorder="1" applyAlignment="1">
      <alignment horizontal="left" wrapText="1"/>
    </xf>
    <xf numFmtId="164" fontId="79" fillId="2" borderId="28" xfId="112" quotePrefix="1" applyNumberFormat="1" applyFont="1" applyFill="1" applyBorder="1" applyAlignment="1">
      <alignment horizontal="left" wrapText="1"/>
    </xf>
    <xf numFmtId="0" fontId="59" fillId="0" borderId="0" xfId="388" quotePrefix="1" applyFont="1"/>
    <xf numFmtId="0" fontId="59" fillId="0" borderId="0" xfId="388" applyFont="1" applyAlignment="1">
      <alignment horizontal="left" wrapText="1"/>
    </xf>
    <xf numFmtId="164" fontId="79" fillId="2" borderId="27" xfId="112" quotePrefix="1" applyNumberFormat="1" applyFont="1" applyFill="1" applyBorder="1" applyAlignment="1">
      <alignment horizontal="left" vertical="center"/>
    </xf>
    <xf numFmtId="164" fontId="79" fillId="2" borderId="9" xfId="112" quotePrefix="1" applyNumberFormat="1" applyFont="1" applyFill="1" applyBorder="1" applyAlignment="1">
      <alignment horizontal="center" vertical="center" wrapText="1"/>
    </xf>
    <xf numFmtId="164" fontId="79" fillId="2" borderId="28" xfId="112" quotePrefix="1" applyNumberFormat="1" applyFont="1" applyFill="1" applyBorder="1" applyAlignment="1">
      <alignment horizontal="right" vertical="center" wrapText="1"/>
    </xf>
    <xf numFmtId="0" fontId="59" fillId="0" borderId="0" xfId="388" applyFont="1" applyAlignment="1">
      <alignment horizontal="left" vertical="center" wrapText="1"/>
    </xf>
    <xf numFmtId="164" fontId="79" fillId="2" borderId="27" xfId="112" quotePrefix="1" applyNumberFormat="1" applyFont="1" applyFill="1" applyBorder="1" applyAlignment="1">
      <alignment horizontal="left" vertical="center" wrapText="1"/>
    </xf>
    <xf numFmtId="0" fontId="59" fillId="0" borderId="0" xfId="388" applyFont="1" applyFill="1" applyAlignment="1">
      <alignment horizontal="left" wrapText="1"/>
    </xf>
    <xf numFmtId="0" fontId="58" fillId="3" borderId="3" xfId="388" applyFont="1" applyFill="1" applyBorder="1" applyAlignment="1">
      <alignment horizontal="left" wrapText="1"/>
    </xf>
    <xf numFmtId="166" fontId="58" fillId="3" borderId="0" xfId="280" applyNumberFormat="1" applyFont="1" applyFill="1" applyAlignment="1">
      <alignment horizontal="center"/>
    </xf>
    <xf numFmtId="10" fontId="58" fillId="3" borderId="0" xfId="388" applyNumberFormat="1" applyFont="1" applyFill="1" applyAlignment="1">
      <alignment horizontal="center"/>
    </xf>
    <xf numFmtId="166" fontId="58" fillId="3" borderId="4" xfId="280" applyNumberFormat="1" applyFont="1" applyFill="1" applyBorder="1" applyAlignment="1">
      <alignment horizontal="right"/>
    </xf>
    <xf numFmtId="166" fontId="58" fillId="0" borderId="0" xfId="280" applyNumberFormat="1" applyFont="1"/>
    <xf numFmtId="2" fontId="58" fillId="9" borderId="0" xfId="388" applyNumberFormat="1" applyFont="1" applyFill="1" applyAlignment="1">
      <alignment horizontal="center"/>
    </xf>
    <xf numFmtId="2" fontId="58" fillId="3" borderId="0" xfId="112" applyNumberFormat="1" applyFont="1" applyFill="1" applyAlignment="1">
      <alignment horizontal="center" vertical="center" wrapText="1"/>
    </xf>
    <xf numFmtId="2" fontId="58" fillId="3" borderId="0" xfId="388" applyNumberFormat="1" applyFont="1" applyFill="1" applyBorder="1" applyAlignment="1">
      <alignment horizontal="center"/>
    </xf>
    <xf numFmtId="226" fontId="58" fillId="9" borderId="0" xfId="388" applyNumberFormat="1" applyFont="1" applyFill="1" applyBorder="1" applyAlignment="1">
      <alignment horizontal="center" wrapText="1"/>
    </xf>
    <xf numFmtId="10" fontId="58" fillId="9" borderId="0" xfId="280" applyNumberFormat="1" applyFont="1" applyFill="1" applyBorder="1" applyAlignment="1">
      <alignment horizontal="center" wrapText="1"/>
    </xf>
    <xf numFmtId="10" fontId="58" fillId="3" borderId="0" xfId="388" applyNumberFormat="1" applyFont="1" applyFill="1" applyAlignment="1">
      <alignment horizontal="center" wrapText="1"/>
    </xf>
    <xf numFmtId="10" fontId="58" fillId="3" borderId="0" xfId="280" applyNumberFormat="1" applyFont="1" applyFill="1" applyBorder="1" applyAlignment="1">
      <alignment horizontal="center" wrapText="1"/>
    </xf>
    <xf numFmtId="10" fontId="58" fillId="9" borderId="4" xfId="280" applyNumberFormat="1" applyFont="1" applyFill="1" applyBorder="1" applyAlignment="1">
      <alignment wrapText="1"/>
    </xf>
    <xf numFmtId="10" fontId="58" fillId="3" borderId="3" xfId="280" applyNumberFormat="1" applyFont="1" applyFill="1" applyBorder="1"/>
    <xf numFmtId="166" fontId="58" fillId="3" borderId="0" xfId="388" applyNumberFormat="1" applyFont="1" applyFill="1" applyBorder="1" applyAlignment="1">
      <alignment horizontal="center" wrapText="1"/>
    </xf>
    <xf numFmtId="166" fontId="58" fillId="3" borderId="4" xfId="388" applyNumberFormat="1" applyFont="1" applyFill="1" applyBorder="1" applyAlignment="1">
      <alignment horizontal="right" wrapText="1"/>
    </xf>
    <xf numFmtId="10" fontId="59" fillId="0" borderId="0" xfId="388" applyNumberFormat="1" applyFont="1" applyAlignment="1">
      <alignment horizontal="left" wrapText="1"/>
    </xf>
    <xf numFmtId="0" fontId="59" fillId="0" borderId="0" xfId="388" applyFont="1" applyBorder="1" applyAlignment="1">
      <alignment horizontal="left" wrapText="1"/>
    </xf>
    <xf numFmtId="0" fontId="58" fillId="0" borderId="25" xfId="388" applyFont="1" applyFill="1" applyBorder="1" applyAlignment="1">
      <alignment horizontal="left" wrapText="1"/>
    </xf>
    <xf numFmtId="166" fontId="58" fillId="0" borderId="31" xfId="280" applyNumberFormat="1" applyFont="1" applyFill="1" applyBorder="1" applyAlignment="1">
      <alignment horizontal="center"/>
    </xf>
    <xf numFmtId="10" fontId="58" fillId="0" borderId="31" xfId="388" applyNumberFormat="1" applyFont="1" applyFill="1" applyBorder="1" applyAlignment="1">
      <alignment horizontal="center"/>
    </xf>
    <xf numFmtId="166" fontId="58" fillId="0" borderId="26" xfId="280" applyNumberFormat="1" applyFont="1" applyFill="1" applyBorder="1" applyAlignment="1">
      <alignment horizontal="right"/>
    </xf>
    <xf numFmtId="0" fontId="58" fillId="0" borderId="3" xfId="388" applyFont="1" applyBorder="1" applyAlignment="1">
      <alignment horizontal="left" wrapText="1"/>
    </xf>
    <xf numFmtId="166" fontId="58" fillId="0" borderId="0" xfId="280" applyNumberFormat="1" applyFont="1" applyBorder="1" applyAlignment="1">
      <alignment horizontal="center"/>
    </xf>
    <xf numFmtId="10" fontId="58" fillId="0" borderId="0" xfId="388" applyNumberFormat="1" applyFont="1" applyBorder="1" applyAlignment="1">
      <alignment horizontal="center"/>
    </xf>
    <xf numFmtId="166" fontId="58" fillId="0" borderId="4" xfId="280" applyNumberFormat="1" applyFont="1" applyBorder="1" applyAlignment="1">
      <alignment horizontal="right"/>
    </xf>
    <xf numFmtId="166" fontId="58" fillId="0" borderId="0" xfId="280" applyNumberFormat="1" applyFont="1" applyAlignment="1">
      <alignment horizontal="center"/>
    </xf>
    <xf numFmtId="10" fontId="58" fillId="0" borderId="0" xfId="388" applyNumberFormat="1" applyFont="1" applyAlignment="1">
      <alignment horizontal="center"/>
    </xf>
    <xf numFmtId="2" fontId="58" fillId="11" borderId="60" xfId="388" applyNumberFormat="1" applyFont="1" applyFill="1" applyBorder="1" applyAlignment="1">
      <alignment horizontal="center"/>
    </xf>
    <xf numFmtId="10" fontId="58" fillId="11" borderId="60" xfId="280" applyNumberFormat="1" applyFont="1" applyFill="1" applyBorder="1" applyAlignment="1">
      <alignment horizontal="center" wrapText="1"/>
    </xf>
    <xf numFmtId="10" fontId="58" fillId="11" borderId="61" xfId="280" applyNumberFormat="1" applyFont="1" applyFill="1" applyBorder="1"/>
    <xf numFmtId="166" fontId="58" fillId="3" borderId="62" xfId="388" applyNumberFormat="1" applyFont="1" applyFill="1" applyBorder="1" applyAlignment="1">
      <alignment horizontal="right" wrapText="1"/>
    </xf>
    <xf numFmtId="10" fontId="58" fillId="3" borderId="31" xfId="280" applyNumberFormat="1" applyFont="1" applyFill="1" applyBorder="1" applyAlignment="1">
      <alignment horizontal="center" wrapText="1"/>
    </xf>
    <xf numFmtId="10" fontId="58" fillId="3" borderId="25" xfId="280" applyNumberFormat="1" applyFont="1" applyFill="1" applyBorder="1"/>
    <xf numFmtId="166" fontId="58" fillId="3" borderId="26" xfId="388" applyNumberFormat="1" applyFont="1" applyFill="1" applyBorder="1" applyAlignment="1">
      <alignment horizontal="right" wrapText="1"/>
    </xf>
    <xf numFmtId="0" fontId="58" fillId="0" borderId="3" xfId="388" applyFont="1" applyBorder="1" applyAlignment="1">
      <alignment horizontal="left"/>
    </xf>
    <xf numFmtId="2" fontId="58" fillId="0" borderId="63" xfId="388" applyNumberFormat="1" applyFont="1" applyFill="1" applyBorder="1" applyAlignment="1">
      <alignment horizontal="center"/>
    </xf>
    <xf numFmtId="2" fontId="58" fillId="3" borderId="60" xfId="112" applyNumberFormat="1" applyFont="1" applyFill="1" applyBorder="1" applyAlignment="1">
      <alignment horizontal="center" vertical="center" wrapText="1"/>
    </xf>
    <xf numFmtId="2" fontId="58" fillId="0" borderId="64" xfId="388" applyNumberFormat="1" applyFont="1" applyFill="1" applyBorder="1" applyAlignment="1">
      <alignment horizontal="center"/>
    </xf>
    <xf numFmtId="10" fontId="58" fillId="0" borderId="31" xfId="388" applyNumberFormat="1" applyFont="1" applyFill="1" applyBorder="1" applyAlignment="1">
      <alignment horizontal="center" wrapText="1"/>
    </xf>
    <xf numFmtId="10" fontId="58" fillId="0" borderId="31" xfId="280" applyNumberFormat="1" applyFont="1" applyFill="1" applyBorder="1" applyAlignment="1">
      <alignment horizontal="center" wrapText="1"/>
    </xf>
    <xf numFmtId="10" fontId="58" fillId="3" borderId="65" xfId="388" applyNumberFormat="1" applyFont="1" applyFill="1" applyBorder="1" applyAlignment="1">
      <alignment horizontal="center" wrapText="1"/>
    </xf>
    <xf numFmtId="10" fontId="58" fillId="0" borderId="26" xfId="280" applyNumberFormat="1" applyFont="1" applyFill="1" applyBorder="1" applyAlignment="1">
      <alignment wrapText="1"/>
    </xf>
    <xf numFmtId="10" fontId="58" fillId="0" borderId="25" xfId="280" applyNumberFormat="1" applyFont="1" applyFill="1" applyBorder="1"/>
    <xf numFmtId="166" fontId="58" fillId="3" borderId="65" xfId="388" applyNumberFormat="1" applyFont="1" applyFill="1" applyBorder="1" applyAlignment="1">
      <alignment horizontal="center" wrapText="1"/>
    </xf>
    <xf numFmtId="166" fontId="58" fillId="0" borderId="26" xfId="388" applyNumberFormat="1" applyFont="1" applyFill="1" applyBorder="1" applyAlignment="1">
      <alignment horizontal="right" wrapText="1"/>
    </xf>
    <xf numFmtId="0" fontId="58" fillId="0" borderId="3" xfId="388" applyFont="1" applyFill="1" applyBorder="1" applyAlignment="1">
      <alignment horizontal="left" wrapText="1"/>
    </xf>
    <xf numFmtId="2" fontId="58" fillId="0" borderId="0" xfId="388" applyNumberFormat="1" applyFont="1" applyFill="1" applyBorder="1" applyAlignment="1">
      <alignment horizontal="center"/>
    </xf>
    <xf numFmtId="2" fontId="58" fillId="0" borderId="31" xfId="388" applyNumberFormat="1" applyFont="1" applyBorder="1" applyAlignment="1">
      <alignment horizontal="center"/>
    </xf>
    <xf numFmtId="10" fontId="58" fillId="0" borderId="0" xfId="388" applyNumberFormat="1" applyFont="1" applyFill="1" applyAlignment="1">
      <alignment horizontal="center" wrapText="1"/>
    </xf>
    <xf numFmtId="10" fontId="58" fillId="0" borderId="0" xfId="280" applyNumberFormat="1" applyFont="1" applyFill="1" applyBorder="1" applyAlignment="1">
      <alignment horizontal="center" wrapText="1"/>
    </xf>
    <xf numFmtId="10" fontId="58" fillId="0" borderId="0" xfId="388" applyNumberFormat="1" applyFont="1" applyFill="1" applyBorder="1" applyAlignment="1">
      <alignment horizontal="center" wrapText="1"/>
    </xf>
    <xf numFmtId="10" fontId="58" fillId="0" borderId="4" xfId="280" applyNumberFormat="1" applyFont="1" applyFill="1" applyBorder="1" applyAlignment="1">
      <alignment wrapText="1"/>
    </xf>
    <xf numFmtId="10" fontId="58" fillId="0" borderId="3" xfId="280" applyNumberFormat="1" applyFont="1" applyFill="1" applyBorder="1"/>
    <xf numFmtId="166" fontId="58" fillId="0" borderId="31" xfId="388" applyNumberFormat="1" applyFont="1" applyFill="1" applyBorder="1" applyAlignment="1">
      <alignment horizontal="center" wrapText="1"/>
    </xf>
    <xf numFmtId="166" fontId="58" fillId="0" borderId="4" xfId="388" applyNumberFormat="1" applyFont="1" applyFill="1" applyBorder="1" applyAlignment="1">
      <alignment horizontal="right" wrapText="1"/>
    </xf>
    <xf numFmtId="2" fontId="58" fillId="0" borderId="0" xfId="388" applyNumberFormat="1" applyFont="1" applyFill="1" applyAlignment="1">
      <alignment horizontal="center"/>
    </xf>
    <xf numFmtId="2" fontId="58" fillId="0" borderId="0" xfId="112" applyNumberFormat="1" applyFont="1" applyFill="1" applyAlignment="1">
      <alignment horizontal="center" vertical="center" wrapText="1"/>
    </xf>
    <xf numFmtId="166" fontId="58" fillId="0" borderId="0" xfId="388" applyNumberFormat="1" applyFont="1" applyFill="1" applyAlignment="1">
      <alignment horizontal="center" wrapText="1"/>
    </xf>
    <xf numFmtId="166" fontId="58" fillId="0" borderId="0" xfId="388" applyNumberFormat="1" applyFont="1" applyFill="1" applyBorder="1" applyAlignment="1">
      <alignment horizontal="center" wrapText="1"/>
    </xf>
    <xf numFmtId="2" fontId="58" fillId="0" borderId="0" xfId="112" applyNumberFormat="1" applyFont="1" applyFill="1" applyBorder="1" applyAlignment="1">
      <alignment horizontal="center" vertical="center" wrapText="1"/>
    </xf>
    <xf numFmtId="166" fontId="58" fillId="0" borderId="0" xfId="280" applyNumberFormat="1" applyFont="1" applyFill="1" applyBorder="1" applyAlignment="1">
      <alignment horizontal="center" wrapText="1"/>
    </xf>
    <xf numFmtId="10" fontId="58" fillId="0" borderId="0" xfId="280" applyNumberFormat="1" applyFont="1" applyBorder="1" applyAlignment="1">
      <alignment horizontal="center" wrapText="1"/>
    </xf>
    <xf numFmtId="166" fontId="58" fillId="0" borderId="3" xfId="280" applyNumberFormat="1" applyFont="1" applyFill="1" applyBorder="1"/>
    <xf numFmtId="10" fontId="58" fillId="0" borderId="0" xfId="280" applyNumberFormat="1" applyFont="1" applyFill="1" applyBorder="1" applyAlignment="1">
      <alignment horizontal="center" vertical="center" wrapText="1"/>
    </xf>
    <xf numFmtId="2" fontId="58" fillId="0" borderId="0" xfId="388" applyNumberFormat="1" applyFont="1" applyBorder="1" applyAlignment="1">
      <alignment horizontal="center"/>
    </xf>
    <xf numFmtId="10" fontId="58" fillId="0" borderId="0" xfId="280" applyNumberFormat="1" applyFont="1" applyBorder="1" applyAlignment="1">
      <alignment horizontal="center"/>
    </xf>
    <xf numFmtId="10" fontId="58" fillId="0" borderId="0" xfId="280" applyNumberFormat="1" applyFont="1" applyAlignment="1">
      <alignment horizontal="center" wrapText="1"/>
    </xf>
    <xf numFmtId="10" fontId="58" fillId="0" borderId="4" xfId="280" applyNumberFormat="1" applyFont="1" applyBorder="1" applyAlignment="1">
      <alignment horizontal="right"/>
    </xf>
    <xf numFmtId="166" fontId="58" fillId="0" borderId="3" xfId="280" applyNumberFormat="1" applyFont="1" applyBorder="1" applyAlignment="1">
      <alignment horizontal="right"/>
    </xf>
    <xf numFmtId="166" fontId="58" fillId="0" borderId="4" xfId="388" applyNumberFormat="1" applyFont="1" applyBorder="1" applyAlignment="1">
      <alignment horizontal="right" wrapText="1"/>
    </xf>
    <xf numFmtId="2" fontId="58" fillId="0" borderId="0" xfId="388" applyNumberFormat="1" applyFont="1" applyAlignment="1">
      <alignment horizontal="center"/>
    </xf>
    <xf numFmtId="10" fontId="58" fillId="0" borderId="0" xfId="388" applyNumberFormat="1" applyFont="1" applyAlignment="1">
      <alignment horizontal="center" wrapText="1"/>
    </xf>
    <xf numFmtId="10" fontId="58" fillId="0" borderId="0" xfId="280" applyNumberFormat="1" applyFont="1" applyAlignment="1">
      <alignment horizontal="center"/>
    </xf>
    <xf numFmtId="10" fontId="58" fillId="0" borderId="4" xfId="280" applyNumberFormat="1" applyFont="1" applyBorder="1" applyAlignment="1">
      <alignment wrapText="1"/>
    </xf>
    <xf numFmtId="166" fontId="58" fillId="0" borderId="3" xfId="280" applyNumberFormat="1" applyFont="1" applyBorder="1"/>
    <xf numFmtId="166" fontId="58" fillId="0" borderId="0" xfId="280" applyNumberFormat="1" applyFont="1" applyAlignment="1">
      <alignment horizontal="center" wrapText="1"/>
    </xf>
    <xf numFmtId="166" fontId="58" fillId="0" borderId="3" xfId="280" applyNumberFormat="1" applyFont="1" applyBorder="1" applyAlignment="1">
      <alignment horizontal="right" wrapText="1"/>
    </xf>
    <xf numFmtId="235" fontId="58" fillId="0" borderId="3" xfId="388" applyNumberFormat="1" applyFont="1" applyBorder="1"/>
    <xf numFmtId="164" fontId="79" fillId="2" borderId="1" xfId="112" quotePrefix="1" applyNumberFormat="1" applyFont="1" applyFill="1" applyBorder="1" applyAlignment="1">
      <alignment horizontal="right"/>
    </xf>
    <xf numFmtId="164" fontId="79" fillId="2" borderId="2" xfId="112" quotePrefix="1" applyNumberFormat="1" applyFont="1" applyFill="1" applyBorder="1" applyAlignment="1">
      <alignment horizontal="right"/>
    </xf>
    <xf numFmtId="166" fontId="59" fillId="0" borderId="11" xfId="280" applyNumberFormat="1" applyFont="1" applyBorder="1"/>
    <xf numFmtId="164" fontId="79" fillId="2" borderId="3" xfId="112" quotePrefix="1" applyNumberFormat="1" applyFont="1" applyFill="1" applyBorder="1" applyAlignment="1">
      <alignment horizontal="right"/>
    </xf>
    <xf numFmtId="164" fontId="79" fillId="2" borderId="0" xfId="112" quotePrefix="1" applyNumberFormat="1" applyFont="1" applyFill="1" applyAlignment="1">
      <alignment horizontal="right"/>
    </xf>
    <xf numFmtId="166" fontId="59" fillId="0" borderId="4" xfId="280" applyNumberFormat="1" applyFont="1" applyBorder="1"/>
    <xf numFmtId="43" fontId="58" fillId="0" borderId="0" xfId="112" applyFont="1"/>
    <xf numFmtId="167" fontId="59" fillId="0" borderId="4" xfId="112" applyNumberFormat="1" applyFont="1" applyBorder="1"/>
    <xf numFmtId="164" fontId="79" fillId="2" borderId="0" xfId="112" quotePrefix="1" applyNumberFormat="1" applyFont="1" applyFill="1" applyBorder="1" applyAlignment="1">
      <alignment horizontal="right"/>
    </xf>
    <xf numFmtId="167" fontId="59" fillId="11" borderId="4" xfId="112" applyNumberFormat="1" applyFont="1" applyFill="1" applyBorder="1"/>
    <xf numFmtId="0" fontId="58" fillId="0" borderId="2" xfId="388" applyFont="1" applyBorder="1"/>
    <xf numFmtId="167" fontId="59" fillId="0" borderId="4" xfId="112" applyNumberFormat="1" applyFont="1" applyFill="1" applyBorder="1"/>
    <xf numFmtId="164" fontId="79" fillId="2" borderId="23" xfId="112" quotePrefix="1" applyNumberFormat="1" applyFont="1" applyFill="1" applyBorder="1" applyAlignment="1">
      <alignment horizontal="right"/>
    </xf>
    <xf numFmtId="164" fontId="79" fillId="2" borderId="66" xfId="112" quotePrefix="1" applyNumberFormat="1" applyFont="1" applyFill="1" applyBorder="1" applyAlignment="1">
      <alignment horizontal="right"/>
    </xf>
    <xf numFmtId="166" fontId="59" fillId="0" borderId="24" xfId="280" applyNumberFormat="1" applyFont="1" applyFill="1" applyBorder="1"/>
    <xf numFmtId="0" fontId="58" fillId="0" borderId="4" xfId="388" applyFont="1" applyBorder="1"/>
    <xf numFmtId="0" fontId="58" fillId="0" borderId="0" xfId="388" applyFont="1" applyAlignment="1">
      <alignment horizontal="left"/>
    </xf>
    <xf numFmtId="0" fontId="58" fillId="0" borderId="0" xfId="388" applyFont="1" applyAlignment="1">
      <alignment horizontal="center"/>
    </xf>
    <xf numFmtId="10" fontId="58" fillId="0" borderId="7" xfId="280" applyNumberFormat="1" applyFont="1" applyBorder="1" applyAlignment="1">
      <alignment horizontal="center" wrapText="1"/>
    </xf>
    <xf numFmtId="166" fontId="58" fillId="0" borderId="6" xfId="280" applyNumberFormat="1" applyFont="1" applyBorder="1"/>
    <xf numFmtId="166" fontId="58" fillId="0" borderId="7" xfId="280" applyNumberFormat="1" applyFont="1" applyBorder="1" applyAlignment="1">
      <alignment horizontal="center" wrapText="1"/>
    </xf>
    <xf numFmtId="0" fontId="58" fillId="0" borderId="10" xfId="388" applyFont="1" applyBorder="1"/>
    <xf numFmtId="235" fontId="58" fillId="0" borderId="1" xfId="388" applyNumberFormat="1" applyFont="1" applyBorder="1"/>
    <xf numFmtId="2" fontId="58" fillId="0" borderId="2" xfId="388" applyNumberFormat="1" applyFont="1" applyBorder="1" applyAlignment="1">
      <alignment horizontal="center"/>
    </xf>
    <xf numFmtId="10" fontId="58" fillId="0" borderId="2" xfId="388" applyNumberFormat="1" applyFont="1" applyBorder="1" applyAlignment="1">
      <alignment horizontal="center"/>
    </xf>
    <xf numFmtId="0" fontId="58" fillId="0" borderId="2" xfId="388" applyFont="1" applyBorder="1" applyAlignment="1">
      <alignment horizontal="center"/>
    </xf>
    <xf numFmtId="166" fontId="58" fillId="0" borderId="2" xfId="280" applyNumberFormat="1" applyFont="1" applyBorder="1"/>
    <xf numFmtId="0" fontId="58" fillId="0" borderId="11" xfId="388" applyFont="1" applyBorder="1"/>
    <xf numFmtId="0" fontId="58" fillId="0" borderId="7" xfId="388" applyFont="1" applyBorder="1"/>
    <xf numFmtId="235" fontId="58" fillId="0" borderId="6" xfId="388" applyNumberFormat="1" applyFont="1" applyBorder="1"/>
    <xf numFmtId="2" fontId="58" fillId="0" borderId="7" xfId="388" applyNumberFormat="1" applyFont="1" applyBorder="1" applyAlignment="1">
      <alignment horizontal="center"/>
    </xf>
    <xf numFmtId="0" fontId="58" fillId="0" borderId="7" xfId="388" applyFont="1" applyBorder="1" applyAlignment="1">
      <alignment horizontal="center"/>
    </xf>
    <xf numFmtId="166" fontId="58" fillId="0" borderId="7" xfId="280" applyNumberFormat="1" applyFont="1" applyBorder="1"/>
    <xf numFmtId="165" fontId="58" fillId="41" borderId="31" xfId="1" applyNumberFormat="1" applyFont="1" applyFill="1" applyBorder="1" applyAlignment="1">
      <alignment horizontal="right"/>
    </xf>
    <xf numFmtId="166" fontId="58" fillId="41" borderId="0" xfId="2" applyNumberFormat="1" applyFont="1" applyFill="1" applyAlignment="1">
      <alignment horizontal="right"/>
    </xf>
    <xf numFmtId="9" fontId="58" fillId="41" borderId="0" xfId="2" applyFont="1" applyFill="1" applyAlignment="1">
      <alignment horizontal="right"/>
    </xf>
    <xf numFmtId="9" fontId="58" fillId="41" borderId="0" xfId="2" quotePrefix="1" applyFont="1" applyFill="1" applyAlignment="1">
      <alignment horizontal="right"/>
    </xf>
    <xf numFmtId="9" fontId="58" fillId="41" borderId="8" xfId="2" quotePrefix="1" applyFont="1" applyFill="1" applyBorder="1" applyAlignment="1">
      <alignment horizontal="right"/>
    </xf>
    <xf numFmtId="0" fontId="58" fillId="0" borderId="3" xfId="0" applyFont="1" applyFill="1" applyBorder="1" applyAlignment="1">
      <alignment horizontal="left" indent="4"/>
    </xf>
    <xf numFmtId="0" fontId="58" fillId="0" borderId="3" xfId="0" applyFont="1" applyFill="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59" fillId="0" borderId="3" xfId="0" applyFont="1" applyFill="1" applyBorder="1" applyAlignment="1">
      <alignment horizontal="left" indent="2"/>
    </xf>
    <xf numFmtId="0" fontId="58" fillId="0" borderId="3" xfId="0" applyFont="1" applyFill="1" applyBorder="1" applyAlignment="1">
      <alignment horizontal="left" indent="3"/>
    </xf>
    <xf numFmtId="0" fontId="58" fillId="0" borderId="4" xfId="0" applyFont="1" applyFill="1" applyBorder="1" applyAlignment="1">
      <alignment horizontal="left" indent="1"/>
    </xf>
    <xf numFmtId="165" fontId="50" fillId="0" borderId="0" xfId="1" applyNumberFormat="1" applyFont="1" applyFill="1" applyAlignment="1">
      <alignment horizontal="right"/>
    </xf>
    <xf numFmtId="0" fontId="59" fillId="0" borderId="12" xfId="0" applyFont="1" applyFill="1" applyBorder="1" applyAlignment="1">
      <alignment horizontal="left" indent="2"/>
    </xf>
    <xf numFmtId="0" fontId="59" fillId="0" borderId="13" xfId="0" applyFont="1" applyFill="1" applyBorder="1" applyAlignment="1">
      <alignment horizontal="left" indent="2"/>
    </xf>
    <xf numFmtId="0" fontId="58" fillId="0" borderId="12" xfId="0" applyFont="1" applyFill="1" applyBorder="1" applyAlignment="1">
      <alignment horizontal="left" indent="2"/>
    </xf>
    <xf numFmtId="0" fontId="58" fillId="0" borderId="13" xfId="0" applyFont="1" applyFill="1" applyBorder="1" applyAlignment="1">
      <alignment horizontal="left" indent="1"/>
    </xf>
    <xf numFmtId="43" fontId="65" fillId="0" borderId="3" xfId="1" applyFont="1" applyFill="1" applyBorder="1" applyAlignment="1">
      <alignment horizontal="left" indent="4"/>
    </xf>
    <xf numFmtId="43" fontId="65" fillId="0" borderId="4" xfId="1" applyFont="1" applyFill="1" applyBorder="1"/>
    <xf numFmtId="0" fontId="59" fillId="0" borderId="12" xfId="0" applyFont="1" applyFill="1" applyBorder="1" applyAlignment="1">
      <alignment horizontal="left"/>
    </xf>
    <xf numFmtId="0" fontId="59" fillId="0" borderId="13" xfId="0" applyFont="1" applyFill="1" applyBorder="1" applyAlignment="1">
      <alignment horizontal="left"/>
    </xf>
    <xf numFmtId="0" fontId="58" fillId="0" borderId="3" xfId="0" applyFont="1" applyFill="1" applyBorder="1" applyAlignment="1">
      <alignment horizontal="left" indent="1"/>
    </xf>
    <xf numFmtId="0" fontId="58" fillId="0" borderId="4" xfId="0" applyFont="1" applyFill="1" applyBorder="1" applyAlignment="1">
      <alignment horizontal="left" indent="1"/>
    </xf>
    <xf numFmtId="0" fontId="58" fillId="0" borderId="4" xfId="0" applyFont="1" applyFill="1" applyBorder="1"/>
    <xf numFmtId="9" fontId="58" fillId="0" borderId="7" xfId="2" applyFont="1" applyFill="1" applyBorder="1" applyAlignment="1">
      <alignment horizontal="right"/>
    </xf>
    <xf numFmtId="0" fontId="58" fillId="0" borderId="0" xfId="0" applyFont="1" applyFill="1" applyBorder="1" applyAlignment="1">
      <alignment horizontal="left"/>
    </xf>
    <xf numFmtId="0" fontId="59" fillId="0" borderId="0" xfId="0" applyFont="1" applyFill="1" applyBorder="1" applyAlignment="1">
      <alignment horizontal="left"/>
    </xf>
    <xf numFmtId="0" fontId="59" fillId="0" borderId="3" xfId="0" applyFont="1" applyFill="1" applyBorder="1" applyAlignment="1">
      <alignment horizontal="left" indent="2"/>
    </xf>
    <xf numFmtId="0" fontId="59" fillId="0" borderId="4" xfId="0" applyFont="1" applyFill="1" applyBorder="1" applyAlignment="1">
      <alignment horizontal="left" indent="2"/>
    </xf>
    <xf numFmtId="0" fontId="59" fillId="0" borderId="4" xfId="0" applyFont="1" applyFill="1" applyBorder="1" applyAlignment="1">
      <alignment horizontal="left"/>
    </xf>
    <xf numFmtId="8" fontId="58" fillId="0" borderId="0" xfId="322" applyNumberFormat="1" applyFont="1" applyFill="1" applyAlignment="1">
      <alignment horizontal="right"/>
    </xf>
    <xf numFmtId="0" fontId="0" fillId="0" borderId="25" xfId="0" applyFill="1" applyBorder="1" applyAlignment="1">
      <alignment horizontal="left"/>
    </xf>
    <xf numFmtId="0" fontId="1" fillId="0" borderId="26" xfId="0" applyFont="1" applyFill="1" applyBorder="1" applyAlignment="1">
      <alignment horizontal="left"/>
    </xf>
    <xf numFmtId="7" fontId="58" fillId="0" borderId="25" xfId="1" applyNumberFormat="1" applyFont="1" applyFill="1" applyBorder="1" applyAlignment="1">
      <alignment horizontal="right"/>
    </xf>
    <xf numFmtId="0" fontId="0" fillId="0" borderId="3" xfId="0" applyFill="1" applyBorder="1" applyAlignment="1">
      <alignment horizontal="left"/>
    </xf>
    <xf numFmtId="0" fontId="1" fillId="0" borderId="4" xfId="0" applyFont="1" applyFill="1" applyBorder="1" applyAlignment="1">
      <alignment horizontal="left"/>
    </xf>
    <xf numFmtId="165" fontId="58" fillId="0" borderId="3" xfId="1" applyNumberFormat="1" applyFont="1" applyFill="1" applyBorder="1" applyAlignment="1">
      <alignment horizontal="right"/>
    </xf>
    <xf numFmtId="0" fontId="0" fillId="0" borderId="12" xfId="0" applyFill="1" applyBorder="1" applyAlignment="1">
      <alignment horizontal="left"/>
    </xf>
    <xf numFmtId="0" fontId="1" fillId="0" borderId="13" xfId="0" applyFont="1" applyFill="1" applyBorder="1" applyAlignment="1">
      <alignment horizontal="left"/>
    </xf>
    <xf numFmtId="164" fontId="58" fillId="0" borderId="12" xfId="1" applyNumberFormat="1" applyFont="1" applyFill="1" applyBorder="1" applyAlignment="1">
      <alignment horizontal="right"/>
    </xf>
    <xf numFmtId="166" fontId="58" fillId="0" borderId="5" xfId="0" applyNumberFormat="1" applyFont="1" applyFill="1" applyBorder="1" applyAlignment="1">
      <alignment horizontal="right"/>
    </xf>
    <xf numFmtId="9" fontId="58" fillId="0" borderId="0" xfId="2" applyFont="1" applyFill="1" applyBorder="1" applyAlignment="1">
      <alignment horizontal="right"/>
    </xf>
    <xf numFmtId="9" fontId="58" fillId="0" borderId="4" xfId="2" applyFont="1" applyFill="1" applyBorder="1" applyAlignment="1">
      <alignment horizontal="right"/>
    </xf>
    <xf numFmtId="9" fontId="58" fillId="0" borderId="3" xfId="2" applyFont="1" applyFill="1" applyBorder="1" applyAlignment="1">
      <alignment horizontal="right"/>
    </xf>
    <xf numFmtId="10" fontId="58" fillId="0" borderId="11" xfId="1" applyNumberFormat="1" applyFont="1" applyFill="1" applyBorder="1" applyAlignment="1">
      <alignment horizontal="right"/>
    </xf>
    <xf numFmtId="10" fontId="58" fillId="0" borderId="4" xfId="2" applyNumberFormat="1" applyFont="1" applyFill="1" applyBorder="1" applyAlignment="1">
      <alignment horizontal="right"/>
    </xf>
    <xf numFmtId="44" fontId="58" fillId="0" borderId="4" xfId="322" applyFont="1" applyBorder="1" applyAlignment="1">
      <alignment horizontal="right"/>
    </xf>
    <xf numFmtId="44" fontId="58" fillId="0" borderId="10" xfId="322" applyFont="1" applyBorder="1"/>
    <xf numFmtId="252" fontId="0" fillId="0" borderId="0" xfId="322" applyNumberFormat="1" applyFont="1" applyBorder="1"/>
    <xf numFmtId="252" fontId="0" fillId="0" borderId="4" xfId="322" applyNumberFormat="1" applyFont="1" applyBorder="1"/>
    <xf numFmtId="43" fontId="51" fillId="0" borderId="9" xfId="1" applyNumberFormat="1" applyFont="1" applyFill="1" applyBorder="1" applyAlignment="1">
      <alignment horizontal="right"/>
    </xf>
    <xf numFmtId="165" fontId="137" fillId="0" borderId="0" xfId="1" applyNumberFormat="1" applyFont="1" applyFill="1" applyAlignment="1">
      <alignment horizontal="right"/>
    </xf>
    <xf numFmtId="165" fontId="1" fillId="0" borderId="5" xfId="1" applyNumberFormat="1" applyFont="1" applyFill="1" applyBorder="1" applyAlignment="1">
      <alignment horizontal="right"/>
    </xf>
    <xf numFmtId="272" fontId="51" fillId="0" borderId="9" xfId="1" applyNumberFormat="1" applyFont="1" applyFill="1" applyBorder="1" applyAlignment="1">
      <alignment horizontal="right"/>
    </xf>
    <xf numFmtId="0" fontId="77" fillId="2" borderId="27" xfId="0" applyFont="1" applyFill="1" applyBorder="1"/>
    <xf numFmtId="0" fontId="77" fillId="2" borderId="28" xfId="0" applyFont="1" applyFill="1" applyBorder="1"/>
    <xf numFmtId="167" fontId="65" fillId="0" borderId="0" xfId="1" applyNumberFormat="1" applyFont="1" applyBorder="1" applyAlignment="1">
      <alignment horizontal="right"/>
    </xf>
    <xf numFmtId="164" fontId="65" fillId="0" borderId="30" xfId="1" applyNumberFormat="1" applyFont="1" applyBorder="1" applyAlignment="1">
      <alignment horizontal="right"/>
    </xf>
    <xf numFmtId="167" fontId="65" fillId="0" borderId="5" xfId="1" applyNumberFormat="1" applyFont="1" applyBorder="1" applyAlignment="1">
      <alignment horizontal="right"/>
    </xf>
    <xf numFmtId="164" fontId="65" fillId="0" borderId="29" xfId="1" applyNumberFormat="1" applyFont="1" applyFill="1" applyBorder="1" applyAlignment="1">
      <alignment horizontal="right"/>
    </xf>
    <xf numFmtId="164" fontId="59" fillId="0" borderId="29" xfId="1" applyNumberFormat="1" applyFont="1" applyFill="1" applyBorder="1" applyAlignment="1">
      <alignment horizontal="right"/>
    </xf>
    <xf numFmtId="165" fontId="65" fillId="0" borderId="5" xfId="1" applyNumberFormat="1" applyFont="1" applyFill="1" applyBorder="1" applyAlignment="1">
      <alignment horizontal="right"/>
    </xf>
    <xf numFmtId="165" fontId="137" fillId="0" borderId="4" xfId="1" applyNumberFormat="1" applyFont="1" applyFill="1" applyBorder="1" applyAlignment="1">
      <alignment horizontal="right"/>
    </xf>
    <xf numFmtId="165" fontId="58" fillId="0" borderId="4" xfId="1" applyNumberFormat="1" applyFont="1" applyFill="1" applyBorder="1" applyAlignment="1">
      <alignment horizontal="right"/>
    </xf>
    <xf numFmtId="165" fontId="59" fillId="0" borderId="4" xfId="1" applyNumberFormat="1" applyFont="1" applyFill="1" applyBorder="1" applyAlignment="1">
      <alignment horizontal="right"/>
    </xf>
    <xf numFmtId="165" fontId="60" fillId="0" borderId="4" xfId="1" applyNumberFormat="1" applyFont="1" applyFill="1" applyBorder="1" applyAlignment="1">
      <alignment horizontal="right"/>
    </xf>
    <xf numFmtId="167" fontId="65" fillId="0" borderId="4" xfId="1" applyNumberFormat="1" applyFont="1" applyBorder="1" applyAlignment="1">
      <alignment horizontal="right"/>
    </xf>
    <xf numFmtId="164" fontId="65" fillId="0" borderId="4" xfId="1" applyNumberFormat="1" applyFont="1" applyFill="1" applyBorder="1" applyAlignment="1">
      <alignment horizontal="right"/>
    </xf>
    <xf numFmtId="164" fontId="59" fillId="0" borderId="13" xfId="1" applyNumberFormat="1" applyFont="1" applyFill="1" applyBorder="1" applyAlignment="1">
      <alignment horizontal="right"/>
    </xf>
    <xf numFmtId="164" fontId="59" fillId="0" borderId="4" xfId="1" applyNumberFormat="1" applyFont="1" applyFill="1" applyBorder="1" applyAlignment="1">
      <alignment horizontal="right"/>
    </xf>
    <xf numFmtId="164" fontId="58" fillId="0" borderId="4" xfId="1" applyNumberFormat="1" applyFont="1" applyFill="1" applyBorder="1" applyAlignment="1">
      <alignment horizontal="right"/>
    </xf>
    <xf numFmtId="166" fontId="59" fillId="0" borderId="4" xfId="2" applyNumberFormat="1" applyFont="1" applyFill="1" applyBorder="1" applyAlignment="1">
      <alignment horizontal="right"/>
    </xf>
    <xf numFmtId="165" fontId="65" fillId="0" borderId="4" xfId="1" applyNumberFormat="1" applyFont="1" applyFill="1" applyBorder="1" applyAlignment="1">
      <alignment horizontal="right"/>
    </xf>
    <xf numFmtId="165" fontId="51" fillId="0" borderId="4" xfId="1" quotePrefix="1" applyNumberFormat="1" applyFont="1" applyFill="1" applyBorder="1" applyAlignment="1">
      <alignment horizontal="right"/>
    </xf>
    <xf numFmtId="165" fontId="58" fillId="0" borderId="4" xfId="1" quotePrefix="1" applyNumberFormat="1" applyFont="1" applyFill="1" applyBorder="1" applyAlignment="1">
      <alignment horizontal="right"/>
    </xf>
    <xf numFmtId="165" fontId="65" fillId="0" borderId="4" xfId="1" quotePrefix="1" applyNumberFormat="1" applyFont="1" applyFill="1" applyBorder="1" applyAlignment="1">
      <alignment horizontal="right"/>
    </xf>
    <xf numFmtId="167" fontId="65" fillId="0" borderId="4" xfId="1" quotePrefix="1" applyNumberFormat="1" applyFont="1" applyFill="1" applyBorder="1" applyAlignment="1">
      <alignment horizontal="right"/>
    </xf>
    <xf numFmtId="9" fontId="64" fillId="0" borderId="4" xfId="2" applyFont="1" applyFill="1" applyBorder="1" applyAlignment="1">
      <alignment horizontal="right"/>
    </xf>
    <xf numFmtId="9" fontId="59" fillId="0" borderId="4" xfId="2" applyFont="1" applyFill="1" applyBorder="1" applyAlignment="1">
      <alignment horizontal="right"/>
    </xf>
    <xf numFmtId="165" fontId="76" fillId="0" borderId="4" xfId="1" quotePrefix="1" applyNumberFormat="1" applyFont="1" applyFill="1" applyBorder="1" applyAlignment="1">
      <alignment horizontal="right"/>
    </xf>
    <xf numFmtId="164" fontId="59" fillId="0" borderId="4" xfId="1" quotePrefix="1" applyNumberFormat="1" applyFont="1" applyFill="1" applyBorder="1" applyAlignment="1">
      <alignment horizontal="right"/>
    </xf>
    <xf numFmtId="165" fontId="2" fillId="0" borderId="26" xfId="1" quotePrefix="1" applyNumberFormat="1" applyFont="1" applyFill="1" applyBorder="1" applyAlignment="1">
      <alignment horizontal="right"/>
    </xf>
    <xf numFmtId="165" fontId="1" fillId="0" borderId="4" xfId="1" quotePrefix="1" applyNumberFormat="1" applyFont="1" applyFill="1" applyBorder="1" applyAlignment="1">
      <alignment horizontal="right"/>
    </xf>
    <xf numFmtId="167" fontId="1" fillId="0" borderId="4" xfId="1" quotePrefix="1" applyNumberFormat="1" applyFont="1" applyFill="1" applyBorder="1" applyAlignment="1">
      <alignment horizontal="right"/>
    </xf>
    <xf numFmtId="165" fontId="4" fillId="0" borderId="13" xfId="1" quotePrefix="1" applyNumberFormat="1" applyFont="1" applyFill="1" applyBorder="1" applyAlignment="1">
      <alignment horizontal="right"/>
    </xf>
    <xf numFmtId="10" fontId="60" fillId="0" borderId="4" xfId="2" applyNumberFormat="1" applyFont="1" applyFill="1" applyBorder="1" applyAlignment="1">
      <alignment horizontal="right"/>
    </xf>
    <xf numFmtId="43" fontId="65" fillId="0" borderId="4" xfId="1" quotePrefix="1" applyFont="1" applyFill="1" applyBorder="1" applyAlignment="1">
      <alignment horizontal="right"/>
    </xf>
    <xf numFmtId="164" fontId="50" fillId="3" borderId="4" xfId="1" quotePrefix="1" applyNumberFormat="1" applyFont="1" applyFill="1" applyBorder="1" applyAlignment="1">
      <alignment horizontal="right"/>
    </xf>
    <xf numFmtId="165" fontId="51" fillId="0" borderId="4" xfId="1" quotePrefix="1" applyNumberFormat="1" applyFont="1" applyBorder="1" applyAlignment="1">
      <alignment horizontal="right"/>
    </xf>
    <xf numFmtId="165" fontId="4" fillId="0" borderId="4" xfId="1" quotePrefix="1" applyNumberFormat="1" applyFont="1" applyFill="1" applyBorder="1" applyAlignment="1">
      <alignment horizontal="right"/>
    </xf>
    <xf numFmtId="164" fontId="51" fillId="0" borderId="4" xfId="1" quotePrefix="1" applyNumberFormat="1" applyFont="1" applyBorder="1" applyAlignment="1">
      <alignment horizontal="right"/>
    </xf>
    <xf numFmtId="164" fontId="65" fillId="0" borderId="4" xfId="1" quotePrefix="1" applyNumberFormat="1" applyFont="1" applyBorder="1" applyAlignment="1">
      <alignment horizontal="right"/>
    </xf>
    <xf numFmtId="165" fontId="51" fillId="0" borderId="26" xfId="1" quotePrefix="1" applyNumberFormat="1" applyFont="1" applyBorder="1" applyAlignment="1">
      <alignment horizontal="right"/>
    </xf>
    <xf numFmtId="164" fontId="51" fillId="0" borderId="13" xfId="1" quotePrefix="1" applyNumberFormat="1" applyFont="1" applyFill="1" applyBorder="1" applyAlignment="1">
      <alignment horizontal="right"/>
    </xf>
    <xf numFmtId="164" fontId="59" fillId="0" borderId="13" xfId="1" quotePrefix="1" applyNumberFormat="1" applyFont="1" applyFill="1" applyBorder="1" applyAlignment="1">
      <alignment horizontal="right"/>
    </xf>
    <xf numFmtId="164" fontId="58" fillId="0" borderId="26" xfId="1" applyNumberFormat="1" applyFont="1" applyFill="1" applyBorder="1" applyAlignment="1">
      <alignment horizontal="right"/>
    </xf>
    <xf numFmtId="164" fontId="60" fillId="0" borderId="4" xfId="2" applyNumberFormat="1" applyFont="1" applyFill="1" applyBorder="1" applyAlignment="1">
      <alignment horizontal="right"/>
    </xf>
    <xf numFmtId="165" fontId="63" fillId="0" borderId="4" xfId="1" quotePrefix="1" applyNumberFormat="1" applyFont="1" applyFill="1" applyBorder="1" applyAlignment="1">
      <alignment horizontal="right"/>
    </xf>
    <xf numFmtId="166" fontId="59" fillId="0" borderId="4" xfId="2" quotePrefix="1" applyNumberFormat="1" applyFont="1" applyFill="1" applyBorder="1" applyAlignment="1">
      <alignment horizontal="right"/>
    </xf>
    <xf numFmtId="164" fontId="58" fillId="0" borderId="4" xfId="1" quotePrefix="1" applyNumberFormat="1" applyFont="1" applyBorder="1" applyAlignment="1">
      <alignment horizontal="right"/>
    </xf>
    <xf numFmtId="164" fontId="58" fillId="0" borderId="26" xfId="1" applyNumberFormat="1" applyFont="1" applyBorder="1" applyAlignment="1">
      <alignment horizontal="right"/>
    </xf>
    <xf numFmtId="164" fontId="58" fillId="0" borderId="4" xfId="1" applyNumberFormat="1" applyFont="1" applyBorder="1" applyAlignment="1">
      <alignment horizontal="right"/>
    </xf>
    <xf numFmtId="165" fontId="4" fillId="0" borderId="4" xfId="1" quotePrefix="1" applyNumberFormat="1" applyFont="1" applyBorder="1" applyAlignment="1">
      <alignment horizontal="right"/>
    </xf>
    <xf numFmtId="164" fontId="60" fillId="0" borderId="4" xfId="2" applyNumberFormat="1" applyFont="1" applyBorder="1" applyAlignment="1">
      <alignment horizontal="right"/>
    </xf>
    <xf numFmtId="164" fontId="58" fillId="0" borderId="4" xfId="1" quotePrefix="1" applyNumberFormat="1" applyFont="1" applyFill="1" applyBorder="1" applyAlignment="1">
      <alignment horizontal="right"/>
    </xf>
    <xf numFmtId="9" fontId="4" fillId="0" borderId="4" xfId="2" quotePrefix="1" applyFont="1" applyFill="1" applyBorder="1" applyAlignment="1">
      <alignment horizontal="right"/>
    </xf>
    <xf numFmtId="166" fontId="58" fillId="0" borderId="4" xfId="0" applyNumberFormat="1" applyFont="1" applyFill="1" applyBorder="1" applyAlignment="1">
      <alignment horizontal="right"/>
    </xf>
    <xf numFmtId="9" fontId="4" fillId="0" borderId="4" xfId="2" applyFont="1" applyFill="1" applyBorder="1" applyAlignment="1">
      <alignment horizontal="right"/>
    </xf>
    <xf numFmtId="7" fontId="4" fillId="0" borderId="4" xfId="1" applyNumberFormat="1" applyFont="1" applyFill="1" applyBorder="1" applyAlignment="1">
      <alignment horizontal="right"/>
    </xf>
    <xf numFmtId="164" fontId="58" fillId="0" borderId="13" xfId="1" applyNumberFormat="1" applyFont="1" applyFill="1" applyBorder="1" applyAlignment="1">
      <alignment horizontal="right"/>
    </xf>
    <xf numFmtId="43" fontId="58" fillId="0" borderId="4" xfId="1" applyNumberFormat="1" applyFont="1" applyFill="1" applyBorder="1" applyAlignment="1">
      <alignment horizontal="right"/>
    </xf>
    <xf numFmtId="43" fontId="60" fillId="0" borderId="4" xfId="1" applyNumberFormat="1" applyFont="1" applyFill="1" applyBorder="1" applyAlignment="1">
      <alignment horizontal="right"/>
    </xf>
    <xf numFmtId="165" fontId="58" fillId="0" borderId="10" xfId="1" applyNumberFormat="1" applyFont="1" applyFill="1" applyBorder="1" applyAlignment="1">
      <alignment horizontal="right"/>
    </xf>
    <xf numFmtId="167" fontId="65" fillId="0" borderId="4" xfId="1" applyNumberFormat="1" applyFont="1" applyFill="1" applyBorder="1" applyAlignment="1">
      <alignment horizontal="right"/>
    </xf>
    <xf numFmtId="165" fontId="50" fillId="0" borderId="4" xfId="1" applyNumberFormat="1" applyFont="1" applyFill="1" applyBorder="1" applyAlignment="1">
      <alignment horizontal="right"/>
    </xf>
    <xf numFmtId="164" fontId="65" fillId="0" borderId="4" xfId="1" applyNumberFormat="1" applyFont="1" applyBorder="1" applyAlignment="1">
      <alignment horizontal="right"/>
    </xf>
    <xf numFmtId="165" fontId="59" fillId="0" borderId="26" xfId="1" applyNumberFormat="1" applyFont="1" applyFill="1" applyBorder="1" applyAlignment="1">
      <alignment horizontal="right"/>
    </xf>
    <xf numFmtId="167" fontId="58" fillId="0" borderId="4" xfId="1" applyNumberFormat="1" applyFont="1" applyFill="1" applyBorder="1" applyAlignment="1">
      <alignment horizontal="right"/>
    </xf>
    <xf numFmtId="9" fontId="58" fillId="0" borderId="13" xfId="2" applyFont="1" applyFill="1" applyBorder="1" applyAlignment="1">
      <alignment horizontal="right"/>
    </xf>
    <xf numFmtId="164" fontId="60" fillId="0" borderId="4" xfId="1" applyNumberFormat="1" applyFont="1" applyFill="1" applyBorder="1" applyAlignment="1">
      <alignment horizontal="right"/>
    </xf>
    <xf numFmtId="164" fontId="59" fillId="0" borderId="4" xfId="2" applyNumberFormat="1" applyFont="1" applyFill="1" applyBorder="1" applyAlignment="1">
      <alignment horizontal="right"/>
    </xf>
    <xf numFmtId="166" fontId="65" fillId="0" borderId="4" xfId="2" applyNumberFormat="1" applyFont="1" applyFill="1" applyBorder="1" applyAlignment="1">
      <alignment horizontal="right"/>
    </xf>
    <xf numFmtId="164" fontId="58" fillId="0" borderId="4" xfId="0" applyNumberFormat="1" applyFont="1" applyFill="1" applyBorder="1" applyAlignment="1">
      <alignment horizontal="right"/>
    </xf>
    <xf numFmtId="164" fontId="50" fillId="0" borderId="4" xfId="1" applyNumberFormat="1" applyFont="1" applyFill="1" applyBorder="1" applyAlignment="1">
      <alignment horizontal="right"/>
    </xf>
    <xf numFmtId="166" fontId="58" fillId="0" borderId="4" xfId="2" applyNumberFormat="1" applyFont="1" applyFill="1" applyBorder="1" applyAlignment="1">
      <alignment horizontal="right"/>
    </xf>
    <xf numFmtId="7" fontId="58" fillId="0" borderId="4" xfId="1" applyNumberFormat="1" applyFont="1" applyFill="1" applyBorder="1" applyAlignment="1">
      <alignment horizontal="right"/>
    </xf>
    <xf numFmtId="9" fontId="58" fillId="0" borderId="10" xfId="2" applyFont="1" applyFill="1" applyBorder="1" applyAlignment="1">
      <alignment horizontal="right"/>
    </xf>
    <xf numFmtId="165" fontId="59" fillId="0" borderId="10" xfId="1" applyNumberFormat="1" applyFont="1" applyFill="1" applyBorder="1" applyAlignment="1">
      <alignment horizontal="right"/>
    </xf>
    <xf numFmtId="164" fontId="65" fillId="0" borderId="5" xfId="1" applyNumberFormat="1" applyFont="1" applyFill="1" applyBorder="1" applyAlignment="1">
      <alignment horizontal="right"/>
    </xf>
    <xf numFmtId="164" fontId="2" fillId="3" borderId="5" xfId="1" quotePrefix="1" applyNumberFormat="1" applyFont="1" applyFill="1" applyBorder="1" applyAlignment="1">
      <alignment horizontal="right"/>
    </xf>
    <xf numFmtId="166" fontId="4" fillId="0" borderId="9" xfId="2" applyNumberFormat="1" applyFont="1" applyBorder="1" applyAlignment="1">
      <alignment horizontal="right"/>
    </xf>
    <xf numFmtId="43" fontId="58" fillId="0" borderId="8" xfId="1" applyFont="1" applyFill="1" applyBorder="1" applyAlignment="1">
      <alignment horizontal="right"/>
    </xf>
    <xf numFmtId="44" fontId="2" fillId="0" borderId="10" xfId="322" applyFont="1" applyBorder="1"/>
  </cellXfs>
  <cellStyles count="1571">
    <cellStyle name="_x000a_bidires=100_x000d_" xfId="343"/>
    <cellStyle name="_x000a_bidires=100_x000d_ 2" xfId="390"/>
    <cellStyle name="_%(SignOnly)" xfId="6"/>
    <cellStyle name="_%(SignOnly) 2" xfId="391"/>
    <cellStyle name="_%(SignSpaceOnly)" xfId="7"/>
    <cellStyle name="_%(SignSpaceOnly) 2" xfId="392"/>
    <cellStyle name="_3Q'08" xfId="393"/>
    <cellStyle name="_3Q'08 2" xfId="394"/>
    <cellStyle name="_Accrual details- 27th June 07" xfId="395"/>
    <cellStyle name="_Accrual details- 27th June 07 2" xfId="396"/>
    <cellStyle name="_Accrual details- 27th June 07_Finance 9622 - S2 2008 Template Sent" xfId="397"/>
    <cellStyle name="_Accrual details- 27th June 07_Finance 9622 - S2 2008 Template Sent 2" xfId="398"/>
    <cellStyle name="_Accrual details- 27th June 07_Operations 9671 - S2 2008 Template Sent" xfId="399"/>
    <cellStyle name="_Accrual details- 27th June 07_Operations 9671 - S2 2008 Template Sent 2" xfId="400"/>
    <cellStyle name="_Accrual tracker-july" xfId="401"/>
    <cellStyle name="_Accrual tracker-july_Finance 9622 - S2 2008 Template Sent" xfId="402"/>
    <cellStyle name="_Accrual tracker-july_Operations 9671 - S2 2008 Template Sent" xfId="403"/>
    <cellStyle name="_ADMBBB  440 Details revenue accruals-Aug 06" xfId="404"/>
    <cellStyle name="_ADMBBB  440 Details revenue accruals-Aug 06_Finance 9622 - S2 2008 Template Sent" xfId="405"/>
    <cellStyle name="_ADMBBB  440 Details revenue accruals-Aug 06_Operations 9671 - S2 2008 Template Sent" xfId="406"/>
    <cellStyle name="_Base file for All Accruals-Jan 07" xfId="407"/>
    <cellStyle name="_Base file for All Accruals-Jan 07 2" xfId="408"/>
    <cellStyle name="_Base file for All Accruals-Jan 07_Finance 9622 - S2 2008 Template Sent" xfId="409"/>
    <cellStyle name="_Base file for All Accruals-Jan 07_Finance 9622 - S2 2008 Template Sent 2" xfId="410"/>
    <cellStyle name="_Base file for All Accruals-Jan 07_Operations 9671 - S2 2008 Template Sent" xfId="411"/>
    <cellStyle name="_Base file for All Accruals-Jan 07_Operations 9671 - S2 2008 Template Sent 2" xfId="412"/>
    <cellStyle name="_Book1" xfId="413"/>
    <cellStyle name="_Book1 2" xfId="414"/>
    <cellStyle name="_Book1_Finance 9622 - S2 2008 Template Sent" xfId="415"/>
    <cellStyle name="_Book1_Finance 9622 - S2 2008 Template Sent 2" xfId="416"/>
    <cellStyle name="_Book1_Operations 9671 - S2 2008 Template Sent" xfId="417"/>
    <cellStyle name="_Book1_Operations 9671 - S2 2008 Template Sent 2" xfId="418"/>
    <cellStyle name="_Book3" xfId="419"/>
    <cellStyle name="_C&amp;B Data" xfId="420"/>
    <cellStyle name="_C&amp;B Data 2" xfId="421"/>
    <cellStyle name="_C&amp;B Data_Finance 9622 - S2 2008 Template Sent" xfId="422"/>
    <cellStyle name="_C&amp;B Data_Finance 9622 - S2 2008 Template Sent 2" xfId="423"/>
    <cellStyle name="_C&amp;B Data_Operations 9671 - S2 2008 Template Sent" xfId="424"/>
    <cellStyle name="_C&amp;B Data_Operations 9671 - S2 2008 Template Sent 2" xfId="425"/>
    <cellStyle name="_Comma" xfId="8"/>
    <cellStyle name="_Comma 2" xfId="426"/>
    <cellStyle name="_Currency" xfId="9"/>
    <cellStyle name="_Currency 2" xfId="427"/>
    <cellStyle name="_CurrencySpace" xfId="10"/>
    <cellStyle name="_CurrencySpace 2" xfId="428"/>
    <cellStyle name="_Debt buyback as of Sep 15th" xfId="429"/>
    <cellStyle name="_Debt buyback as of Sep 15th 2" xfId="430"/>
    <cellStyle name="_ENI DD_Treasury Closing Metrics (2)" xfId="431"/>
    <cellStyle name="_ENI DD_Treasury Closing Metrics (2) 2" xfId="432"/>
    <cellStyle name="_ENI DD_Treasury Closing Metrics (2)_Finance 9622 - S2 2008 Template Sent" xfId="433"/>
    <cellStyle name="_ENI DD_Treasury Closing Metrics (2)_Finance 9622 - S2 2008 Template Sent 2" xfId="434"/>
    <cellStyle name="_ENI DD_Treasury Closing Metrics (2)_Operations 9671 - S2 2008 Template Sent" xfId="435"/>
    <cellStyle name="_ENI DD_Treasury Closing Metrics (2)_Operations 9671 - S2 2008 Template Sent 2" xfId="436"/>
    <cellStyle name="_Estimates" xfId="437"/>
    <cellStyle name="_Estimates 2" xfId="438"/>
    <cellStyle name="_Estimates_1" xfId="439"/>
    <cellStyle name="_Euro" xfId="11"/>
    <cellStyle name="_Euro 2" xfId="440"/>
    <cellStyle name="_Feb 07 -Accrual Walk." xfId="441"/>
    <cellStyle name="_Feb 07 -Accrual Walk. 2" xfId="442"/>
    <cellStyle name="_Feb 07 -Accrual Walk._Finance 9622 - S2 2008 Template Sent" xfId="443"/>
    <cellStyle name="_Feb 07 -Accrual Walk._Finance 9622 - S2 2008 Template Sent 2" xfId="444"/>
    <cellStyle name="_Feb 07 -Accrual Walk._Operations 9671 - S2 2008 Template Sent" xfId="445"/>
    <cellStyle name="_Feb 07 -Accrual Walk._Operations 9671 - S2 2008 Template Sent 2" xfId="446"/>
    <cellStyle name="_Finance 9622 - S2 2008 Template Sent" xfId="447"/>
    <cellStyle name="_Finance 9622 - S2 2008 Template Sent 2" xfId="448"/>
    <cellStyle name="_Fxpress and Infinity MTM Volitility Review 3Q07" xfId="449"/>
    <cellStyle name="_Fxpress and Infinity MTM Volitility Review 3Q07 2" xfId="450"/>
    <cellStyle name="_Gecis billing-deepak mathur" xfId="45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Highlight 2" xfId="452"/>
    <cellStyle name="_Infinity notionals" xfId="453"/>
    <cellStyle name="_latest 4Q'06 Proj- Jan 5" xfId="454"/>
    <cellStyle name="_latest 4Q'06 Proj- Jan 5 2" xfId="455"/>
    <cellStyle name="_latest 4Q'06 Proj- Jan 5_Finance 9622 - S2 2008 Template Sent" xfId="456"/>
    <cellStyle name="_latest 4Q'06 Proj- Jan 5_Finance 9622 - S2 2008 Template Sent 2" xfId="457"/>
    <cellStyle name="_latest 4Q'06 Proj- Jan 5_Operations 9671 - S2 2008 Template Sent" xfId="458"/>
    <cellStyle name="_latest 4Q'06 Proj- Jan 5_Operations 9671 - S2 2008 Template Sent 2" xfId="459"/>
    <cellStyle name="_Mexico" xfId="460"/>
    <cellStyle name="_Mexico 2" xfId="461"/>
    <cellStyle name="_Mexico_Finance 9622 - S2 2008 Template Sent" xfId="462"/>
    <cellStyle name="_Mexico_Finance 9622 - S2 2008 Template Sent 2" xfId="463"/>
    <cellStyle name="_Mexico_Operations 9671 - S2 2008 Template Sent" xfId="464"/>
    <cellStyle name="_Mexico_Operations 9671 - S2 2008 Template Sent 2" xfId="465"/>
    <cellStyle name="_Monthly package-Jan 07" xfId="466"/>
    <cellStyle name="_Monthly package-Jan 07 2" xfId="467"/>
    <cellStyle name="_Monthly package-Jan 07_Finance 9622 - S2 2008 Template Sent" xfId="468"/>
    <cellStyle name="_Monthly package-Jan 07_Finance 9622 - S2 2008 Template Sent 2" xfId="469"/>
    <cellStyle name="_Monthly package-Jan 07_Operations 9671 - S2 2008 Template Sent" xfId="470"/>
    <cellStyle name="_Monthly package-Jan 07_Operations 9671 - S2 2008 Template Sent 2" xfId="471"/>
    <cellStyle name="_Multiple" xfId="18"/>
    <cellStyle name="_Multiple 2" xfId="472"/>
    <cellStyle name="_MultipleSpace" xfId="19"/>
    <cellStyle name="_MultipleSpace 2" xfId="473"/>
    <cellStyle name="_OP Package _25 Jan" xfId="474"/>
    <cellStyle name="_OP Package _25 Jan 2" xfId="475"/>
    <cellStyle name="_OP Package _25 Jan_Finance 9622 - S2 2008 Template Sent" xfId="476"/>
    <cellStyle name="_OP Package _25 Jan_Finance 9622 - S2 2008 Template Sent 2" xfId="477"/>
    <cellStyle name="_OP Package _25 Jan_Operations 9671 - S2 2008 Template Sent" xfId="478"/>
    <cellStyle name="_OP Package _25 Jan_Operations 9671 - S2 2008 Template Sent 2" xfId="479"/>
    <cellStyle name="_Operations 9671 - S2 2008 Template Sent" xfId="480"/>
    <cellStyle name="_Operations 9671 - S2 2008 Template Sent 2" xfId="481"/>
    <cellStyle name="_P&amp;L 2008" xfId="482"/>
    <cellStyle name="_Sheet1" xfId="483"/>
    <cellStyle name="_Sheet1_3Q'08" xfId="484"/>
    <cellStyle name="_Sheet1_3Q'08 2" xfId="485"/>
    <cellStyle name="_Sheet1_Estimates" xfId="486"/>
    <cellStyle name="_Sheet1_Finance 9622 - S2 2008 Template Sent" xfId="487"/>
    <cellStyle name="_Sheet1_Finance 9622 - S2 2008 Template Sent 2" xfId="488"/>
    <cellStyle name="_Sheet1_Operations 9671 - S2 2008 Template Sent" xfId="489"/>
    <cellStyle name="_Sheet1_Operations 9671 - S2 2008 Template Sent 2" xfId="490"/>
    <cellStyle name="_Sheet1_Pre-tax Income Acctg" xfId="491"/>
    <cellStyle name="_Sheet1_Pre-tax Income Acctg 2" xfId="492"/>
    <cellStyle name="_Sheet2" xfId="493"/>
    <cellStyle name="_Sheet3" xfId="494"/>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_TESORERIA 2006" xfId="495"/>
    <cellStyle name="_TESORERIA 2006 2" xfId="496"/>
    <cellStyle name="_TESORERIA 2006_Finance 9622 - S2 2008 Template Sent" xfId="497"/>
    <cellStyle name="_TESORERIA 2006_Finance 9622 - S2 2008 Template Sent 2" xfId="498"/>
    <cellStyle name="_TESORERIA 2006_Operations 9671 - S2 2008 Template Sent" xfId="499"/>
    <cellStyle name="_TESORERIA 2006_Operations 9671 - S2 2008 Template Sent 2" xfId="500"/>
    <cellStyle name="_Total accruals" xfId="501"/>
    <cellStyle name="_Total accruals 2" xfId="502"/>
    <cellStyle name="_Total accruals_Finance 9622 - S2 2008 Template Sent" xfId="503"/>
    <cellStyle name="_Total accruals_Finance 9622 - S2 2008 Template Sent 2" xfId="504"/>
    <cellStyle name="_Total accruals_Operations 9671 - S2 2008 Template Sent" xfId="505"/>
    <cellStyle name="_Total accruals_Operations 9671 - S2 2008 Template Sent 2" xfId="506"/>
    <cellStyle name="_VIC IC" xfId="507"/>
    <cellStyle name="_VIC IC Recon  Walk" xfId="508"/>
    <cellStyle name="_VIC IC Recon  Walk_Finance 9622 - S2 2008 Template Sent" xfId="509"/>
    <cellStyle name="_VIC IC Recon  Walk_Operations 9671 - S2 2008 Template Sent" xfId="510"/>
    <cellStyle name="_VIC IC_Finance 9622 - S2 2008 Template Sent" xfId="511"/>
    <cellStyle name="_VIC IC_Operations 9671 - S2 2008 Template Sent" xfId="512"/>
    <cellStyle name="_VIC IC-Nov" xfId="513"/>
    <cellStyle name="_VIC IC-Nov_Finance 9622 - S2 2008 Template Sent" xfId="514"/>
    <cellStyle name="_VIC IC-Nov_Operations 9671 - S2 2008 Template Sent" xfId="515"/>
    <cellStyle name="_Walk of Matured" xfId="516"/>
    <cellStyle name="=C:\WINNT\SYSTEM32\COMMAND.COM" xfId="29"/>
    <cellStyle name="=C:\WINNT\SYSTEM32\COMMAND.COM 2" xfId="30"/>
    <cellStyle name="$10d0" xfId="517"/>
    <cellStyle name="$10d1" xfId="518"/>
    <cellStyle name="$10d2" xfId="519"/>
    <cellStyle name="$FRACTION" xfId="520"/>
    <cellStyle name="10d0" xfId="521"/>
    <cellStyle name="10d1" xfId="522"/>
    <cellStyle name="10d2" xfId="523"/>
    <cellStyle name="20% - Accent1 2" xfId="344"/>
    <cellStyle name="20% - Accent1 3" xfId="524"/>
    <cellStyle name="20% - Accent2 2" xfId="345"/>
    <cellStyle name="20% - Accent2 3" xfId="525"/>
    <cellStyle name="20% - Accent3 2" xfId="346"/>
    <cellStyle name="20% - Accent3 3" xfId="526"/>
    <cellStyle name="20% - Accent4 2" xfId="347"/>
    <cellStyle name="20% - Accent4 3" xfId="527"/>
    <cellStyle name="20% - Accent5 2" xfId="348"/>
    <cellStyle name="20% - Accent5 3" xfId="528"/>
    <cellStyle name="20% - Accent6 2" xfId="349"/>
    <cellStyle name="20% - Accent6 3" xfId="529"/>
    <cellStyle name="40% - Accent1 2" xfId="350"/>
    <cellStyle name="40% - Accent1 3" xfId="530"/>
    <cellStyle name="40% - Accent2 2" xfId="351"/>
    <cellStyle name="40% - Accent2 3" xfId="531"/>
    <cellStyle name="40% - Accent3 2" xfId="352"/>
    <cellStyle name="40% - Accent3 3" xfId="532"/>
    <cellStyle name="40% - Accent4 2" xfId="353"/>
    <cellStyle name="40% - Accent4 3" xfId="533"/>
    <cellStyle name="40% - Accent5 2" xfId="354"/>
    <cellStyle name="40% - Accent5 3" xfId="534"/>
    <cellStyle name="40% - Accent6 2" xfId="355"/>
    <cellStyle name="40% - Accent6 3" xfId="535"/>
    <cellStyle name="6-0" xfId="31"/>
    <cellStyle name="60% - Accent1 2" xfId="356"/>
    <cellStyle name="60% - Accent2 2" xfId="357"/>
    <cellStyle name="60% - Accent3 2" xfId="358"/>
    <cellStyle name="60% - Accent4 2" xfId="359"/>
    <cellStyle name="60% - Accent5 2" xfId="360"/>
    <cellStyle name="60% - Accent6 2" xfId="361"/>
    <cellStyle name="9065.186" xfId="536"/>
    <cellStyle name="Accent1 2" xfId="362"/>
    <cellStyle name="Accent2 2" xfId="363"/>
    <cellStyle name="Accent3 2" xfId="364"/>
    <cellStyle name="Accent4 2" xfId="365"/>
    <cellStyle name="Accent5 2" xfId="366"/>
    <cellStyle name="Accent6 2" xfId="367"/>
    <cellStyle name="AFE" xfId="537"/>
    <cellStyle name="background" xfId="538"/>
    <cellStyle name="Bad 2" xfId="368"/>
    <cellStyle name="banner" xfId="539"/>
    <cellStyle name="Body" xfId="540"/>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xfId="541"/>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alculated" xfId="542"/>
    <cellStyle name="Calculation 2" xfId="369"/>
    <cellStyle name="Centered Heading" xfId="92"/>
    <cellStyle name="Check Cell 2" xfId="370"/>
    <cellStyle name="column1" xfId="543"/>
    <cellStyle name="column1Big" xfId="544"/>
    <cellStyle name="column1Date" xfId="545"/>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10" xfId="546"/>
    <cellStyle name="Comma 10 2" xfId="547"/>
    <cellStyle name="Comma 100" xfId="548"/>
    <cellStyle name="Comma 100 2" xfId="549"/>
    <cellStyle name="Comma 101" xfId="550"/>
    <cellStyle name="Comma 101 2" xfId="551"/>
    <cellStyle name="Comma 102" xfId="552"/>
    <cellStyle name="Comma 102 2" xfId="553"/>
    <cellStyle name="Comma 103" xfId="554"/>
    <cellStyle name="Comma 103 2" xfId="555"/>
    <cellStyle name="Comma 104" xfId="556"/>
    <cellStyle name="Comma 104 2" xfId="557"/>
    <cellStyle name="Comma 105" xfId="558"/>
    <cellStyle name="Comma 105 2" xfId="559"/>
    <cellStyle name="Comma 106" xfId="560"/>
    <cellStyle name="Comma 106 2" xfId="561"/>
    <cellStyle name="Comma 107" xfId="562"/>
    <cellStyle name="Comma 107 2" xfId="563"/>
    <cellStyle name="Comma 108" xfId="564"/>
    <cellStyle name="Comma 108 2" xfId="565"/>
    <cellStyle name="Comma 109" xfId="566"/>
    <cellStyle name="Comma 109 2" xfId="567"/>
    <cellStyle name="Comma 11" xfId="568"/>
    <cellStyle name="Comma 11 2" xfId="569"/>
    <cellStyle name="Comma 110" xfId="570"/>
    <cellStyle name="Comma 110 2" xfId="571"/>
    <cellStyle name="Comma 111" xfId="572"/>
    <cellStyle name="Comma 111 2" xfId="573"/>
    <cellStyle name="Comma 112" xfId="574"/>
    <cellStyle name="Comma 112 2" xfId="575"/>
    <cellStyle name="Comma 113" xfId="576"/>
    <cellStyle name="Comma 113 2" xfId="577"/>
    <cellStyle name="Comma 114" xfId="578"/>
    <cellStyle name="Comma 114 2" xfId="579"/>
    <cellStyle name="Comma 115" xfId="580"/>
    <cellStyle name="Comma 115 2" xfId="581"/>
    <cellStyle name="Comma 116" xfId="582"/>
    <cellStyle name="Comma 116 2" xfId="583"/>
    <cellStyle name="Comma 117" xfId="584"/>
    <cellStyle name="Comma 117 2" xfId="585"/>
    <cellStyle name="Comma 118" xfId="586"/>
    <cellStyle name="Comma 119" xfId="587"/>
    <cellStyle name="Comma 12" xfId="588"/>
    <cellStyle name="Comma 12 2" xfId="589"/>
    <cellStyle name="Comma 120" xfId="590"/>
    <cellStyle name="Comma 121" xfId="591"/>
    <cellStyle name="Comma 122" xfId="592"/>
    <cellStyle name="Comma 122 2" xfId="593"/>
    <cellStyle name="Comma 123" xfId="594"/>
    <cellStyle name="Comma 123 2" xfId="595"/>
    <cellStyle name="Comma 124" xfId="596"/>
    <cellStyle name="Comma 124 2" xfId="597"/>
    <cellStyle name="Comma 125" xfId="598"/>
    <cellStyle name="Comma 126" xfId="599"/>
    <cellStyle name="Comma 127" xfId="600"/>
    <cellStyle name="Comma 128" xfId="601"/>
    <cellStyle name="Comma 129" xfId="602"/>
    <cellStyle name="Comma 13" xfId="603"/>
    <cellStyle name="Comma 13 2" xfId="604"/>
    <cellStyle name="Comma 130" xfId="605"/>
    <cellStyle name="Comma 14" xfId="606"/>
    <cellStyle name="Comma 14 2" xfId="607"/>
    <cellStyle name="Comma 15" xfId="608"/>
    <cellStyle name="Comma 15 2" xfId="609"/>
    <cellStyle name="Comma 16" xfId="610"/>
    <cellStyle name="Comma 16 2" xfId="611"/>
    <cellStyle name="Comma 17" xfId="612"/>
    <cellStyle name="Comma 17 2" xfId="613"/>
    <cellStyle name="Comma 18" xfId="614"/>
    <cellStyle name="Comma 18 2" xfId="615"/>
    <cellStyle name="Comma 19" xfId="616"/>
    <cellStyle name="Comma 19 2" xfId="617"/>
    <cellStyle name="Comma 2" xfId="5"/>
    <cellStyle name="Comma 2 2" xfId="108"/>
    <cellStyle name="Comma 2 2 2" xfId="109"/>
    <cellStyle name="Comma 2 2 3" xfId="618"/>
    <cellStyle name="Comma 2 2 4" xfId="619"/>
    <cellStyle name="Comma 2 3" xfId="110"/>
    <cellStyle name="Comma 2 4" xfId="111"/>
    <cellStyle name="Comma 2 5" xfId="112"/>
    <cellStyle name="Comma 2 6" xfId="113"/>
    <cellStyle name="Comma 2 7" xfId="620"/>
    <cellStyle name="Comma 20" xfId="621"/>
    <cellStyle name="Comma 20 2" xfId="622"/>
    <cellStyle name="Comma 21" xfId="623"/>
    <cellStyle name="Comma 21 2" xfId="624"/>
    <cellStyle name="Comma 22" xfId="625"/>
    <cellStyle name="Comma 22 2" xfId="626"/>
    <cellStyle name="Comma 23" xfId="627"/>
    <cellStyle name="Comma 23 2" xfId="628"/>
    <cellStyle name="Comma 24" xfId="629"/>
    <cellStyle name="Comma 24 2" xfId="630"/>
    <cellStyle name="Comma 25" xfId="631"/>
    <cellStyle name="Comma 25 2" xfId="632"/>
    <cellStyle name="Comma 26" xfId="633"/>
    <cellStyle name="Comma 26 2" xfId="634"/>
    <cellStyle name="Comma 27" xfId="635"/>
    <cellStyle name="Comma 27 2" xfId="636"/>
    <cellStyle name="Comma 28" xfId="637"/>
    <cellStyle name="Comma 28 2" xfId="638"/>
    <cellStyle name="Comma 29" xfId="639"/>
    <cellStyle name="Comma 29 2" xfId="640"/>
    <cellStyle name="Comma 3" xfId="114"/>
    <cellStyle name="Comma 3 2" xfId="115"/>
    <cellStyle name="Comma 3 3" xfId="641"/>
    <cellStyle name="Comma 3 4" xfId="642"/>
    <cellStyle name="Comma 30" xfId="643"/>
    <cellStyle name="Comma 30 2" xfId="644"/>
    <cellStyle name="Comma 31" xfId="645"/>
    <cellStyle name="Comma 31 2" xfId="646"/>
    <cellStyle name="Comma 32" xfId="647"/>
    <cellStyle name="Comma 32 2" xfId="648"/>
    <cellStyle name="Comma 33" xfId="649"/>
    <cellStyle name="Comma 33 2" xfId="650"/>
    <cellStyle name="Comma 34" xfId="651"/>
    <cellStyle name="Comma 34 2" xfId="652"/>
    <cellStyle name="Comma 35" xfId="653"/>
    <cellStyle name="Comma 35 2" xfId="654"/>
    <cellStyle name="Comma 36" xfId="655"/>
    <cellStyle name="Comma 36 2" xfId="656"/>
    <cellStyle name="Comma 37" xfId="657"/>
    <cellStyle name="Comma 37 2" xfId="658"/>
    <cellStyle name="Comma 38" xfId="659"/>
    <cellStyle name="Comma 38 2" xfId="660"/>
    <cellStyle name="Comma 39" xfId="661"/>
    <cellStyle name="Comma 39 2" xfId="662"/>
    <cellStyle name="Comma 4" xfId="116"/>
    <cellStyle name="Comma 4 2" xfId="117"/>
    <cellStyle name="Comma 40" xfId="663"/>
    <cellStyle name="Comma 40 2" xfId="664"/>
    <cellStyle name="Comma 41" xfId="665"/>
    <cellStyle name="Comma 41 2" xfId="666"/>
    <cellStyle name="Comma 42" xfId="667"/>
    <cellStyle name="Comma 42 2" xfId="668"/>
    <cellStyle name="Comma 43" xfId="669"/>
    <cellStyle name="Comma 43 2" xfId="670"/>
    <cellStyle name="Comma 44" xfId="671"/>
    <cellStyle name="Comma 44 2" xfId="672"/>
    <cellStyle name="Comma 45" xfId="673"/>
    <cellStyle name="Comma 45 2" xfId="674"/>
    <cellStyle name="Comma 46" xfId="675"/>
    <cellStyle name="Comma 46 2" xfId="676"/>
    <cellStyle name="Comma 47" xfId="677"/>
    <cellStyle name="Comma 47 2" xfId="678"/>
    <cellStyle name="Comma 48" xfId="679"/>
    <cellStyle name="Comma 48 2" xfId="680"/>
    <cellStyle name="Comma 49" xfId="681"/>
    <cellStyle name="Comma 49 2" xfId="682"/>
    <cellStyle name="Comma 5" xfId="118"/>
    <cellStyle name="Comma 5 2" xfId="119"/>
    <cellStyle name="Comma 50" xfId="683"/>
    <cellStyle name="Comma 50 2" xfId="684"/>
    <cellStyle name="Comma 51" xfId="685"/>
    <cellStyle name="Comma 51 2" xfId="686"/>
    <cellStyle name="Comma 52" xfId="687"/>
    <cellStyle name="Comma 52 2" xfId="688"/>
    <cellStyle name="Comma 53" xfId="689"/>
    <cellStyle name="Comma 53 2" xfId="690"/>
    <cellStyle name="Comma 54" xfId="691"/>
    <cellStyle name="Comma 54 2" xfId="692"/>
    <cellStyle name="Comma 55" xfId="693"/>
    <cellStyle name="Comma 55 2" xfId="694"/>
    <cellStyle name="Comma 56" xfId="695"/>
    <cellStyle name="Comma 56 2" xfId="696"/>
    <cellStyle name="Comma 57" xfId="697"/>
    <cellStyle name="Comma 57 2" xfId="698"/>
    <cellStyle name="Comma 58" xfId="699"/>
    <cellStyle name="Comma 58 2" xfId="700"/>
    <cellStyle name="Comma 59" xfId="701"/>
    <cellStyle name="Comma 59 2" xfId="702"/>
    <cellStyle name="Comma 6" xfId="703"/>
    <cellStyle name="Comma 6 2" xfId="704"/>
    <cellStyle name="Comma 60" xfId="705"/>
    <cellStyle name="Comma 60 2" xfId="706"/>
    <cellStyle name="Comma 61" xfId="707"/>
    <cellStyle name="Comma 61 2" xfId="708"/>
    <cellStyle name="Comma 62" xfId="709"/>
    <cellStyle name="Comma 62 2" xfId="710"/>
    <cellStyle name="Comma 63" xfId="711"/>
    <cellStyle name="Comma 63 2" xfId="712"/>
    <cellStyle name="Comma 64" xfId="713"/>
    <cellStyle name="Comma 64 2" xfId="714"/>
    <cellStyle name="Comma 65" xfId="715"/>
    <cellStyle name="Comma 65 2" xfId="716"/>
    <cellStyle name="Comma 66" xfId="717"/>
    <cellStyle name="Comma 66 2" xfId="718"/>
    <cellStyle name="Comma 67" xfId="719"/>
    <cellStyle name="Comma 67 2" xfId="720"/>
    <cellStyle name="Comma 68" xfId="721"/>
    <cellStyle name="Comma 68 2" xfId="722"/>
    <cellStyle name="Comma 69" xfId="723"/>
    <cellStyle name="Comma 69 2" xfId="724"/>
    <cellStyle name="Comma 7" xfId="725"/>
    <cellStyle name="Comma 7 2" xfId="726"/>
    <cellStyle name="Comma 70" xfId="727"/>
    <cellStyle name="Comma 70 2" xfId="728"/>
    <cellStyle name="Comma 71" xfId="729"/>
    <cellStyle name="Comma 71 2" xfId="730"/>
    <cellStyle name="Comma 72" xfId="731"/>
    <cellStyle name="Comma 72 2" xfId="732"/>
    <cellStyle name="Comma 73" xfId="733"/>
    <cellStyle name="Comma 73 2" xfId="734"/>
    <cellStyle name="Comma 74" xfId="735"/>
    <cellStyle name="Comma 74 2" xfId="736"/>
    <cellStyle name="Comma 75" xfId="737"/>
    <cellStyle name="Comma 75 2" xfId="738"/>
    <cellStyle name="Comma 76" xfId="739"/>
    <cellStyle name="Comma 76 2" xfId="740"/>
    <cellStyle name="Comma 77" xfId="741"/>
    <cellStyle name="Comma 77 2" xfId="742"/>
    <cellStyle name="Comma 78" xfId="743"/>
    <cellStyle name="Comma 78 2" xfId="744"/>
    <cellStyle name="Comma 79" xfId="745"/>
    <cellStyle name="Comma 79 2" xfId="746"/>
    <cellStyle name="Comma 8" xfId="747"/>
    <cellStyle name="Comma 8 2" xfId="748"/>
    <cellStyle name="Comma 80" xfId="749"/>
    <cellStyle name="Comma 80 2" xfId="750"/>
    <cellStyle name="Comma 81" xfId="751"/>
    <cellStyle name="Comma 81 2" xfId="752"/>
    <cellStyle name="Comma 82" xfId="753"/>
    <cellStyle name="Comma 82 2" xfId="754"/>
    <cellStyle name="Comma 83" xfId="755"/>
    <cellStyle name="Comma 83 2" xfId="756"/>
    <cellStyle name="Comma 84" xfId="757"/>
    <cellStyle name="Comma 84 2" xfId="758"/>
    <cellStyle name="Comma 85" xfId="759"/>
    <cellStyle name="Comma 85 2" xfId="760"/>
    <cellStyle name="Comma 86" xfId="761"/>
    <cellStyle name="Comma 86 2" xfId="762"/>
    <cellStyle name="Comma 87" xfId="763"/>
    <cellStyle name="Comma 87 2" xfId="764"/>
    <cellStyle name="Comma 88" xfId="765"/>
    <cellStyle name="Comma 88 2" xfId="766"/>
    <cellStyle name="Comma 89" xfId="767"/>
    <cellStyle name="Comma 89 2" xfId="768"/>
    <cellStyle name="Comma 9" xfId="769"/>
    <cellStyle name="Comma 9 2" xfId="770"/>
    <cellStyle name="Comma 90" xfId="771"/>
    <cellStyle name="Comma 90 2" xfId="772"/>
    <cellStyle name="Comma 91" xfId="773"/>
    <cellStyle name="Comma 91 2" xfId="774"/>
    <cellStyle name="Comma 92" xfId="775"/>
    <cellStyle name="Comma 92 2" xfId="776"/>
    <cellStyle name="Comma 93" xfId="777"/>
    <cellStyle name="Comma 93 2" xfId="778"/>
    <cellStyle name="Comma 94" xfId="779"/>
    <cellStyle name="Comma 94 2" xfId="780"/>
    <cellStyle name="Comma 95" xfId="781"/>
    <cellStyle name="Comma 95 2" xfId="782"/>
    <cellStyle name="Comma 96" xfId="783"/>
    <cellStyle name="Comma 96 2" xfId="784"/>
    <cellStyle name="Comma 97" xfId="785"/>
    <cellStyle name="Comma 97 2" xfId="786"/>
    <cellStyle name="Comma 98" xfId="787"/>
    <cellStyle name="Comma 98 2" xfId="788"/>
    <cellStyle name="Comma 99" xfId="789"/>
    <cellStyle name="Comma 99 2" xfId="790"/>
    <cellStyle name="Comma Acctg" xfId="120"/>
    <cellStyle name="Comma Acctg 2" xfId="121"/>
    <cellStyle name="Comma0" xfId="122"/>
    <cellStyle name="Comma0 - Style3" xfId="791"/>
    <cellStyle name="Comma0 10" xfId="792"/>
    <cellStyle name="Comma0 2" xfId="793"/>
    <cellStyle name="Comma0 3" xfId="794"/>
    <cellStyle name="Comma0 4" xfId="795"/>
    <cellStyle name="Comma0 5" xfId="796"/>
    <cellStyle name="Comma0 6" xfId="797"/>
    <cellStyle name="Comma0 7" xfId="798"/>
    <cellStyle name="Comma0 8" xfId="799"/>
    <cellStyle name="Comma0 9" xfId="800"/>
    <cellStyle name="Comma1 - Style1" xfId="801"/>
    <cellStyle name="Company Name" xfId="123"/>
    <cellStyle name="Contracts" xfId="124"/>
    <cellStyle name="CR Comma" xfId="125"/>
    <cellStyle name="CR Currency" xfId="126"/>
    <cellStyle name="curr" xfId="127"/>
    <cellStyle name="Curren - Style4" xfId="802"/>
    <cellStyle name="Currency" xfId="322" builtinId="4"/>
    <cellStyle name="Currency [00]" xfId="128"/>
    <cellStyle name="Currency [00] 2" xfId="129"/>
    <cellStyle name="Currency 10" xfId="803"/>
    <cellStyle name="Currency 10 2" xfId="804"/>
    <cellStyle name="Currency 11" xfId="805"/>
    <cellStyle name="Currency 11 2" xfId="806"/>
    <cellStyle name="Currency 12" xfId="807"/>
    <cellStyle name="Currency 12 2" xfId="808"/>
    <cellStyle name="Currency 13" xfId="809"/>
    <cellStyle name="Currency 13 2" xfId="810"/>
    <cellStyle name="Currency 14" xfId="811"/>
    <cellStyle name="Currency 14 2" xfId="812"/>
    <cellStyle name="Currency 15" xfId="813"/>
    <cellStyle name="Currency 15 2" xfId="814"/>
    <cellStyle name="Currency 16" xfId="815"/>
    <cellStyle name="Currency 16 2" xfId="816"/>
    <cellStyle name="Currency 17" xfId="817"/>
    <cellStyle name="Currency 17 2" xfId="818"/>
    <cellStyle name="Currency 18" xfId="819"/>
    <cellStyle name="Currency 18 2" xfId="820"/>
    <cellStyle name="Currency 19" xfId="821"/>
    <cellStyle name="Currency 19 2" xfId="822"/>
    <cellStyle name="Currency 2" xfId="130"/>
    <cellStyle name="Currency 2 2" xfId="823"/>
    <cellStyle name="Currency 20" xfId="824"/>
    <cellStyle name="Currency 20 2" xfId="825"/>
    <cellStyle name="Currency 21" xfId="826"/>
    <cellStyle name="Currency 21 2" xfId="827"/>
    <cellStyle name="Currency 22" xfId="828"/>
    <cellStyle name="Currency 22 2" xfId="829"/>
    <cellStyle name="Currency 23" xfId="830"/>
    <cellStyle name="Currency 23 2" xfId="831"/>
    <cellStyle name="Currency 24" xfId="832"/>
    <cellStyle name="Currency 24 2" xfId="833"/>
    <cellStyle name="Currency 25" xfId="834"/>
    <cellStyle name="Currency 25 2" xfId="835"/>
    <cellStyle name="Currency 26" xfId="836"/>
    <cellStyle name="Currency 26 2" xfId="837"/>
    <cellStyle name="Currency 27" xfId="838"/>
    <cellStyle name="Currency 27 2" xfId="839"/>
    <cellStyle name="Currency 28" xfId="840"/>
    <cellStyle name="Currency 28 2" xfId="841"/>
    <cellStyle name="Currency 29" xfId="842"/>
    <cellStyle name="Currency 29 2" xfId="843"/>
    <cellStyle name="Currency 3" xfId="844"/>
    <cellStyle name="Currency 3 2" xfId="845"/>
    <cellStyle name="Currency 30" xfId="846"/>
    <cellStyle name="Currency 30 2" xfId="847"/>
    <cellStyle name="Currency 31" xfId="848"/>
    <cellStyle name="Currency 31 2" xfId="849"/>
    <cellStyle name="Currency 32" xfId="850"/>
    <cellStyle name="Currency 32 2" xfId="851"/>
    <cellStyle name="Currency 33" xfId="852"/>
    <cellStyle name="Currency 33 2" xfId="853"/>
    <cellStyle name="Currency 34" xfId="854"/>
    <cellStyle name="Currency 34 2" xfId="855"/>
    <cellStyle name="Currency 35" xfId="856"/>
    <cellStyle name="Currency 35 2" xfId="857"/>
    <cellStyle name="Currency 36" xfId="858"/>
    <cellStyle name="Currency 36 2" xfId="859"/>
    <cellStyle name="Currency 37" xfId="860"/>
    <cellStyle name="Currency 37 2" xfId="861"/>
    <cellStyle name="Currency 38" xfId="862"/>
    <cellStyle name="Currency 38 2" xfId="863"/>
    <cellStyle name="Currency 39" xfId="864"/>
    <cellStyle name="Currency 39 2" xfId="865"/>
    <cellStyle name="Currency 4" xfId="866"/>
    <cellStyle name="Currency 4 2" xfId="867"/>
    <cellStyle name="Currency 40" xfId="868"/>
    <cellStyle name="Currency 40 2" xfId="869"/>
    <cellStyle name="Currency 41" xfId="870"/>
    <cellStyle name="Currency 41 2" xfId="871"/>
    <cellStyle name="Currency 42" xfId="872"/>
    <cellStyle name="Currency 42 2" xfId="873"/>
    <cellStyle name="Currency 43" xfId="874"/>
    <cellStyle name="Currency 43 2" xfId="875"/>
    <cellStyle name="Currency 44" xfId="876"/>
    <cellStyle name="Currency 44 2" xfId="877"/>
    <cellStyle name="Currency 5" xfId="878"/>
    <cellStyle name="Currency 5 2" xfId="879"/>
    <cellStyle name="Currency 6" xfId="880"/>
    <cellStyle name="Currency 6 2" xfId="881"/>
    <cellStyle name="Currency 7" xfId="882"/>
    <cellStyle name="Currency 7 2" xfId="883"/>
    <cellStyle name="Currency 8" xfId="884"/>
    <cellStyle name="Currency 8 2" xfId="885"/>
    <cellStyle name="Currency 9" xfId="886"/>
    <cellStyle name="Currency 9 2" xfId="887"/>
    <cellStyle name="Currency Acctg" xfId="131"/>
    <cellStyle name="Currency0" xfId="132"/>
    <cellStyle name="Currency0 2" xfId="888"/>
    <cellStyle name="Data" xfId="133"/>
    <cellStyle name="Date" xfId="134"/>
    <cellStyle name="Date Short" xfId="135"/>
    <cellStyle name="Date_Sheet2" xfId="889"/>
    <cellStyle name="DateJoel" xfId="136"/>
    <cellStyle name="datetime" xfId="890"/>
    <cellStyle name="debbie" xfId="137"/>
    <cellStyle name="DELTA" xfId="891"/>
    <cellStyle name="Dezimal [0]_Compiling Utility Macros" xfId="892"/>
    <cellStyle name="Dezimal_Compiling Utility Macros" xfId="893"/>
    <cellStyle name="Dziesiętny 2" xfId="894"/>
    <cellStyle name="Enter Currency (0)" xfId="138"/>
    <cellStyle name="Enter Currency (0) 2" xfId="139"/>
    <cellStyle name="Enter Currency (2)" xfId="140"/>
    <cellStyle name="Enter Currency (2) 2" xfId="141"/>
    <cellStyle name="Enter Units (0)" xfId="142"/>
    <cellStyle name="Enter Units (0) 2" xfId="143"/>
    <cellStyle name="Enter Units (1)" xfId="144"/>
    <cellStyle name="Enter Units (1) 2" xfId="145"/>
    <cellStyle name="Enter Units (2)" xfId="146"/>
    <cellStyle name="Enter Units (2) 2" xfId="147"/>
    <cellStyle name="eps" xfId="148"/>
    <cellStyle name="Euro" xfId="149"/>
    <cellStyle name="Euro 2" xfId="895"/>
    <cellStyle name="Explanatory Text 2" xfId="37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1569" builtinId="9" hidden="1"/>
    <cellStyle name="Followed Hyperlink" xfId="1570" builtinId="9" hidden="1"/>
    <cellStyle name="FRACTION" xfId="896"/>
    <cellStyle name="Good 2" xfId="372"/>
    <cellStyle name="grayText2" xfId="897"/>
    <cellStyle name="grayText2Big" xfId="898"/>
    <cellStyle name="Grey" xfId="150"/>
    <cellStyle name="Header" xfId="899"/>
    <cellStyle name="Header1" xfId="151"/>
    <cellStyle name="Header2" xfId="152"/>
    <cellStyle name="Header2 10" xfId="153"/>
    <cellStyle name="Header2 11" xfId="154"/>
    <cellStyle name="Header2 12" xfId="155"/>
    <cellStyle name="Header2 13" xfId="156"/>
    <cellStyle name="Header2 14" xfId="157"/>
    <cellStyle name="Header2 15" xfId="158"/>
    <cellStyle name="Header2 16" xfId="159"/>
    <cellStyle name="Header2 17" xfId="160"/>
    <cellStyle name="Header2 18" xfId="161"/>
    <cellStyle name="Header2 19" xfId="162"/>
    <cellStyle name="Header2 2" xfId="163"/>
    <cellStyle name="Header2 20" xfId="164"/>
    <cellStyle name="Header2 21" xfId="165"/>
    <cellStyle name="Header2 22" xfId="166"/>
    <cellStyle name="Header2 23" xfId="167"/>
    <cellStyle name="Header2 24" xfId="168"/>
    <cellStyle name="Header2 25" xfId="169"/>
    <cellStyle name="Header2 26" xfId="170"/>
    <cellStyle name="Header2 27" xfId="171"/>
    <cellStyle name="Header2 28" xfId="172"/>
    <cellStyle name="Header2 29" xfId="173"/>
    <cellStyle name="Header2 3" xfId="174"/>
    <cellStyle name="Header2 30" xfId="175"/>
    <cellStyle name="Header2 31" xfId="176"/>
    <cellStyle name="Header2 32" xfId="177"/>
    <cellStyle name="Header2 33" xfId="178"/>
    <cellStyle name="Header2 34" xfId="179"/>
    <cellStyle name="Header2 35" xfId="180"/>
    <cellStyle name="Header2 36" xfId="181"/>
    <cellStyle name="Header2 37" xfId="182"/>
    <cellStyle name="Header2 38" xfId="183"/>
    <cellStyle name="Header2 39" xfId="184"/>
    <cellStyle name="Header2 4" xfId="185"/>
    <cellStyle name="Header2 40" xfId="186"/>
    <cellStyle name="Header2 41" xfId="187"/>
    <cellStyle name="Header2 42" xfId="188"/>
    <cellStyle name="Header2 5" xfId="189"/>
    <cellStyle name="Header2 6" xfId="190"/>
    <cellStyle name="Header2 7" xfId="191"/>
    <cellStyle name="Header2 8" xfId="192"/>
    <cellStyle name="Header2 9" xfId="193"/>
    <cellStyle name="Heading" xfId="194"/>
    <cellStyle name="Heading 1 2" xfId="195"/>
    <cellStyle name="Heading 1 3" xfId="196"/>
    <cellStyle name="Heading 1 4" xfId="197"/>
    <cellStyle name="Heading 2 2" xfId="198"/>
    <cellStyle name="Heading 2 3" xfId="199"/>
    <cellStyle name="Heading 2 4" xfId="200"/>
    <cellStyle name="Heading 3 2" xfId="373"/>
    <cellStyle name="Heading 4 2" xfId="374"/>
    <cellStyle name="Heading No Underline" xfId="201"/>
    <cellStyle name="Heading With Underline" xfId="202"/>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89" builtinId="8"/>
    <cellStyle name="Hyperlink 2" xfId="203"/>
    <cellStyle name="Hyperlink 2 2" xfId="204"/>
    <cellStyle name="Hyperlink 2 2 2" xfId="205"/>
    <cellStyle name="Hyperlink 3" xfId="206"/>
    <cellStyle name="Hyperlink 4" xfId="207"/>
    <cellStyle name="Hypertextový odkaz" xfId="900"/>
    <cellStyle name="Input [yellow]" xfId="208"/>
    <cellStyle name="Input 2" xfId="375"/>
    <cellStyle name="Input 3" xfId="901"/>
    <cellStyle name="Input 4" xfId="902"/>
    <cellStyle name="Input 5" xfId="903"/>
    <cellStyle name="Input 6" xfId="904"/>
    <cellStyle name="Input 7" xfId="905"/>
    <cellStyle name="Input 8" xfId="906"/>
    <cellStyle name="label" xfId="907"/>
    <cellStyle name="leftStyle" xfId="908"/>
    <cellStyle name="Ligne" xfId="909"/>
    <cellStyle name="Link Currency (0)" xfId="209"/>
    <cellStyle name="Link Currency (0) 2" xfId="210"/>
    <cellStyle name="Link Currency (2)" xfId="211"/>
    <cellStyle name="Link Currency (2) 2" xfId="212"/>
    <cellStyle name="Link Units (0)" xfId="213"/>
    <cellStyle name="Link Units (0) 2" xfId="214"/>
    <cellStyle name="Link Units (1)" xfId="215"/>
    <cellStyle name="Link Units (1) 2" xfId="216"/>
    <cellStyle name="Link Units (2)" xfId="217"/>
    <cellStyle name="Link Units (2) 2" xfId="218"/>
    <cellStyle name="Linked Cell 2" xfId="376"/>
    <cellStyle name="LISAM" xfId="910"/>
    <cellStyle name="main_input" xfId="911"/>
    <cellStyle name="mark$" xfId="912"/>
    <cellStyle name="markno$" xfId="913"/>
    <cellStyle name="Millares [0]_pldt" xfId="219"/>
    <cellStyle name="Millares_pldt" xfId="220"/>
    <cellStyle name="Milliers [0]_1" xfId="914"/>
    <cellStyle name="Milliers_1" xfId="915"/>
    <cellStyle name="Moneda [0]_pldt" xfId="221"/>
    <cellStyle name="Moneda_pldt" xfId="222"/>
    <cellStyle name="Monétaire [0]_1" xfId="916"/>
    <cellStyle name="Monétaire_1" xfId="917"/>
    <cellStyle name="negativ" xfId="223"/>
    <cellStyle name="Neutral 2" xfId="377"/>
    <cellStyle name="no dec" xfId="224"/>
    <cellStyle name="nodollars" xfId="225"/>
    <cellStyle name="nodollars 2" xfId="226"/>
    <cellStyle name="Nor}al" xfId="918"/>
    <cellStyle name="Nor}al 2" xfId="919"/>
    <cellStyle name="Normal" xfId="0" builtinId="0"/>
    <cellStyle name="Normal - Style1" xfId="227"/>
    <cellStyle name="Normal - Style1 2" xfId="228"/>
    <cellStyle name="Normal - Style2" xfId="229"/>
    <cellStyle name="Normal - Style3" xfId="230"/>
    <cellStyle name="Normal - Style4" xfId="231"/>
    <cellStyle name="Normal - Style5" xfId="232"/>
    <cellStyle name="Normal 10" xfId="233"/>
    <cellStyle name="Normal 10 2" xfId="920"/>
    <cellStyle name="Normal 100" xfId="921"/>
    <cellStyle name="Normal 100 2" xfId="922"/>
    <cellStyle name="Normal 101" xfId="923"/>
    <cellStyle name="Normal 101 2" xfId="924"/>
    <cellStyle name="Normal 102" xfId="925"/>
    <cellStyle name="Normal 102 2" xfId="926"/>
    <cellStyle name="Normal 103" xfId="927"/>
    <cellStyle name="Normal 103 2" xfId="928"/>
    <cellStyle name="Normal 104" xfId="929"/>
    <cellStyle name="Normal 104 2" xfId="930"/>
    <cellStyle name="Normal 105" xfId="931"/>
    <cellStyle name="Normal 105 2" xfId="932"/>
    <cellStyle name="Normal 106" xfId="933"/>
    <cellStyle name="Normal 106 2" xfId="934"/>
    <cellStyle name="Normal 107" xfId="935"/>
    <cellStyle name="Normal 107 2" xfId="936"/>
    <cellStyle name="Normal 108" xfId="937"/>
    <cellStyle name="Normal 108 2" xfId="938"/>
    <cellStyle name="Normal 109" xfId="939"/>
    <cellStyle name="Normal 109 2" xfId="940"/>
    <cellStyle name="Normal 11" xfId="321"/>
    <cellStyle name="Normal 11 2" xfId="941"/>
    <cellStyle name="Normal 110" xfId="942"/>
    <cellStyle name="Normal 110 2" xfId="943"/>
    <cellStyle name="Normal 111" xfId="944"/>
    <cellStyle name="Normal 111 2" xfId="945"/>
    <cellStyle name="Normal 112" xfId="946"/>
    <cellStyle name="Normal 112 2" xfId="947"/>
    <cellStyle name="Normal 113" xfId="948"/>
    <cellStyle name="Normal 113 2" xfId="949"/>
    <cellStyle name="Normal 114" xfId="950"/>
    <cellStyle name="Normal 114 2" xfId="951"/>
    <cellStyle name="Normal 115" xfId="952"/>
    <cellStyle name="Normal 115 2" xfId="953"/>
    <cellStyle name="Normal 116" xfId="954"/>
    <cellStyle name="Normal 116 2" xfId="955"/>
    <cellStyle name="Normal 117" xfId="956"/>
    <cellStyle name="Normal 117 2" xfId="957"/>
    <cellStyle name="Normal 118" xfId="958"/>
    <cellStyle name="Normal 118 2" xfId="959"/>
    <cellStyle name="Normal 119" xfId="960"/>
    <cellStyle name="Normal 12" xfId="388"/>
    <cellStyle name="Normal 12 2" xfId="961"/>
    <cellStyle name="Normal 120" xfId="962"/>
    <cellStyle name="Normal 121" xfId="963"/>
    <cellStyle name="Normal 122" xfId="964"/>
    <cellStyle name="Normal 123" xfId="965"/>
    <cellStyle name="Normal 124" xfId="966"/>
    <cellStyle name="Normal 124 2" xfId="967"/>
    <cellStyle name="Normal 125" xfId="968"/>
    <cellStyle name="Normal 125 2" xfId="969"/>
    <cellStyle name="Normal 126" xfId="970"/>
    <cellStyle name="Normal 126 2" xfId="971"/>
    <cellStyle name="Normal 127" xfId="972"/>
    <cellStyle name="Normal 128" xfId="973"/>
    <cellStyle name="Normal 129" xfId="974"/>
    <cellStyle name="Normal 13" xfId="975"/>
    <cellStyle name="Normal 13 2" xfId="976"/>
    <cellStyle name="Normal 130" xfId="977"/>
    <cellStyle name="Normal 131" xfId="978"/>
    <cellStyle name="Normal 131 2" xfId="979"/>
    <cellStyle name="Normal 132" xfId="980"/>
    <cellStyle name="Normal 132 2" xfId="981"/>
    <cellStyle name="Normal 133" xfId="982"/>
    <cellStyle name="Normal 133 2" xfId="983"/>
    <cellStyle name="Normal 134" xfId="984"/>
    <cellStyle name="Normal 135" xfId="985"/>
    <cellStyle name="Normal 136" xfId="986"/>
    <cellStyle name="Normal 137" xfId="987"/>
    <cellStyle name="Normal 138" xfId="988"/>
    <cellStyle name="Normal 139" xfId="989"/>
    <cellStyle name="Normal 14" xfId="990"/>
    <cellStyle name="Normal 14 2" xfId="991"/>
    <cellStyle name="Normal 140" xfId="992"/>
    <cellStyle name="Normal 141" xfId="320"/>
    <cellStyle name="Normal 142" xfId="993"/>
    <cellStyle name="Normal 143" xfId="994"/>
    <cellStyle name="Normal 144" xfId="378"/>
    <cellStyle name="Normal 145" xfId="379"/>
    <cellStyle name="Normal 146" xfId="380"/>
    <cellStyle name="Normal 147" xfId="381"/>
    <cellStyle name="Normal 148" xfId="382"/>
    <cellStyle name="Normal 149" xfId="995"/>
    <cellStyle name="Normal 15" xfId="996"/>
    <cellStyle name="Normal 15 2" xfId="997"/>
    <cellStyle name="Normal 16" xfId="998"/>
    <cellStyle name="Normal 16 2" xfId="999"/>
    <cellStyle name="Normal 17" xfId="1000"/>
    <cellStyle name="Normal 17 2" xfId="1001"/>
    <cellStyle name="Normal 18" xfId="1002"/>
    <cellStyle name="Normal 18 2" xfId="1003"/>
    <cellStyle name="Normal 19" xfId="1004"/>
    <cellStyle name="Normal 19 2" xfId="1005"/>
    <cellStyle name="Normal 2" xfId="3"/>
    <cellStyle name="Normal 2 2" xfId="234"/>
    <cellStyle name="Normal 2 2 2" xfId="235"/>
    <cellStyle name="Normal 2 2 2 2" xfId="1006"/>
    <cellStyle name="Normal 2 2 3" xfId="1007"/>
    <cellStyle name="Normal 2 2 4" xfId="1008"/>
    <cellStyle name="Normal 2 2 5" xfId="1009"/>
    <cellStyle name="Normal 2 3" xfId="236"/>
    <cellStyle name="Normal 2 3 2" xfId="237"/>
    <cellStyle name="Normal 2 3 2 2" xfId="1010"/>
    <cellStyle name="Normal 2 3 3" xfId="1011"/>
    <cellStyle name="Normal 2 4" xfId="238"/>
    <cellStyle name="Normal 2 4 2" xfId="1012"/>
    <cellStyle name="Normal 2 5" xfId="239"/>
    <cellStyle name="Normal 2 5 2" xfId="1013"/>
    <cellStyle name="Normal 2 6" xfId="240"/>
    <cellStyle name="Normal 2 7" xfId="241"/>
    <cellStyle name="Normal 2 8" xfId="242"/>
    <cellStyle name="Normal 20" xfId="1014"/>
    <cellStyle name="Normal 20 2" xfId="1015"/>
    <cellStyle name="Normal 21" xfId="1016"/>
    <cellStyle name="Normal 21 2" xfId="1017"/>
    <cellStyle name="Normal 22" xfId="1018"/>
    <cellStyle name="Normal 22 2" xfId="1019"/>
    <cellStyle name="Normal 23" xfId="1020"/>
    <cellStyle name="Normal 23 2" xfId="1021"/>
    <cellStyle name="Normal 24" xfId="1022"/>
    <cellStyle name="Normal 24 2" xfId="1023"/>
    <cellStyle name="Normal 25" xfId="1024"/>
    <cellStyle name="Normal 25 2" xfId="1025"/>
    <cellStyle name="Normal 26" xfId="1026"/>
    <cellStyle name="Normal 26 2" xfId="1027"/>
    <cellStyle name="Normal 27" xfId="1028"/>
    <cellStyle name="Normal 27 2" xfId="1029"/>
    <cellStyle name="Normal 28" xfId="1030"/>
    <cellStyle name="Normal 28 2" xfId="1031"/>
    <cellStyle name="Normal 29" xfId="1032"/>
    <cellStyle name="Normal 29 2" xfId="1033"/>
    <cellStyle name="Normal 3" xfId="4"/>
    <cellStyle name="Normal 3 2" xfId="243"/>
    <cellStyle name="Normal 3 2 2" xfId="1034"/>
    <cellStyle name="Normal 3 3" xfId="244"/>
    <cellStyle name="Normal 3 4" xfId="245"/>
    <cellStyle name="Normal 3 4 2" xfId="1035"/>
    <cellStyle name="Normal 3 5" xfId="1036"/>
    <cellStyle name="Normal 30" xfId="1037"/>
    <cellStyle name="Normal 30 2" xfId="1038"/>
    <cellStyle name="Normal 31" xfId="1039"/>
    <cellStyle name="Normal 31 2" xfId="1040"/>
    <cellStyle name="Normal 32" xfId="1041"/>
    <cellStyle name="Normal 32 2" xfId="1042"/>
    <cellStyle name="Normal 33" xfId="1043"/>
    <cellStyle name="Normal 33 2" xfId="1044"/>
    <cellStyle name="Normal 34" xfId="1045"/>
    <cellStyle name="Normal 34 2" xfId="1046"/>
    <cellStyle name="Normal 35" xfId="1047"/>
    <cellStyle name="Normal 35 2" xfId="1048"/>
    <cellStyle name="Normal 36" xfId="1049"/>
    <cellStyle name="Normal 36 2" xfId="1050"/>
    <cellStyle name="Normal 37" xfId="1051"/>
    <cellStyle name="Normal 37 2" xfId="1052"/>
    <cellStyle name="Normal 38" xfId="1053"/>
    <cellStyle name="Normal 38 2" xfId="1054"/>
    <cellStyle name="Normal 39" xfId="1055"/>
    <cellStyle name="Normal 39 2" xfId="1056"/>
    <cellStyle name="Normal 4" xfId="246"/>
    <cellStyle name="Normal 4 2" xfId="1057"/>
    <cellStyle name="Normal 4 2 2" xfId="1058"/>
    <cellStyle name="Normal 40" xfId="1059"/>
    <cellStyle name="Normal 40 2" xfId="1060"/>
    <cellStyle name="Normal 41" xfId="1061"/>
    <cellStyle name="Normal 41 2" xfId="1062"/>
    <cellStyle name="Normal 42" xfId="1063"/>
    <cellStyle name="Normal 42 2" xfId="1064"/>
    <cellStyle name="Normal 43" xfId="1065"/>
    <cellStyle name="Normal 43 2" xfId="1066"/>
    <cellStyle name="Normal 44" xfId="1067"/>
    <cellStyle name="Normal 44 2" xfId="1068"/>
    <cellStyle name="Normal 45" xfId="1069"/>
    <cellStyle name="Normal 45 2" xfId="1070"/>
    <cellStyle name="Normal 46" xfId="1071"/>
    <cellStyle name="Normal 46 2" xfId="1072"/>
    <cellStyle name="Normal 47" xfId="1073"/>
    <cellStyle name="Normal 47 2" xfId="1074"/>
    <cellStyle name="Normal 48" xfId="1075"/>
    <cellStyle name="Normal 48 2" xfId="1076"/>
    <cellStyle name="Normal 49" xfId="1077"/>
    <cellStyle name="Normal 49 2" xfId="1078"/>
    <cellStyle name="Normal 5" xfId="247"/>
    <cellStyle name="Normal 5 2" xfId="248"/>
    <cellStyle name="Normal 5 2 2" xfId="1079"/>
    <cellStyle name="Normal 50" xfId="1080"/>
    <cellStyle name="Normal 50 2" xfId="1081"/>
    <cellStyle name="Normal 51" xfId="1082"/>
    <cellStyle name="Normal 51 2" xfId="1083"/>
    <cellStyle name="Normal 52" xfId="1084"/>
    <cellStyle name="Normal 52 2" xfId="1085"/>
    <cellStyle name="Normal 53" xfId="1086"/>
    <cellStyle name="Normal 53 2" xfId="1087"/>
    <cellStyle name="Normal 54" xfId="1088"/>
    <cellStyle name="Normal 54 2" xfId="1089"/>
    <cellStyle name="Normal 55" xfId="1090"/>
    <cellStyle name="Normal 55 2" xfId="1091"/>
    <cellStyle name="Normal 56" xfId="1092"/>
    <cellStyle name="Normal 56 2" xfId="1093"/>
    <cellStyle name="Normal 57" xfId="1094"/>
    <cellStyle name="Normal 57 2" xfId="1095"/>
    <cellStyle name="Normal 58" xfId="1096"/>
    <cellStyle name="Normal 58 2" xfId="1097"/>
    <cellStyle name="Normal 59" xfId="1098"/>
    <cellStyle name="Normal 59 2" xfId="1099"/>
    <cellStyle name="Normal 6" xfId="249"/>
    <cellStyle name="Normal 6 2" xfId="250"/>
    <cellStyle name="Normal 6 2 2" xfId="1100"/>
    <cellStyle name="Normal 6 3" xfId="251"/>
    <cellStyle name="Normal 60" xfId="1101"/>
    <cellStyle name="Normal 60 2" xfId="1102"/>
    <cellStyle name="Normal 61" xfId="1103"/>
    <cellStyle name="Normal 61 2" xfId="1104"/>
    <cellStyle name="Normal 62" xfId="1105"/>
    <cellStyle name="Normal 62 2" xfId="1106"/>
    <cellStyle name="Normal 63" xfId="1107"/>
    <cellStyle name="Normal 63 2" xfId="1108"/>
    <cellStyle name="Normal 64" xfId="1109"/>
    <cellStyle name="Normal 64 2" xfId="1110"/>
    <cellStyle name="Normal 65" xfId="1111"/>
    <cellStyle name="Normal 65 2" xfId="1112"/>
    <cellStyle name="Normal 66" xfId="1113"/>
    <cellStyle name="Normal 66 2" xfId="1114"/>
    <cellStyle name="Normal 67" xfId="1115"/>
    <cellStyle name="Normal 67 2" xfId="1116"/>
    <cellStyle name="Normal 68" xfId="1117"/>
    <cellStyle name="Normal 68 2" xfId="1118"/>
    <cellStyle name="Normal 69" xfId="1119"/>
    <cellStyle name="Normal 69 2" xfId="1120"/>
    <cellStyle name="Normal 7" xfId="252"/>
    <cellStyle name="Normal 7 2" xfId="253"/>
    <cellStyle name="Normal 7 2 2" xfId="1121"/>
    <cellStyle name="Normal 7 3" xfId="1122"/>
    <cellStyle name="Normal 70" xfId="1123"/>
    <cellStyle name="Normal 70 2" xfId="1124"/>
    <cellStyle name="Normal 71" xfId="1125"/>
    <cellStyle name="Normal 71 2" xfId="1126"/>
    <cellStyle name="Normal 72" xfId="1127"/>
    <cellStyle name="Normal 72 2" xfId="1128"/>
    <cellStyle name="Normal 73" xfId="1129"/>
    <cellStyle name="Normal 73 2" xfId="1130"/>
    <cellStyle name="Normal 74" xfId="1131"/>
    <cellStyle name="Normal 74 2" xfId="1132"/>
    <cellStyle name="Normal 75" xfId="1133"/>
    <cellStyle name="Normal 75 2" xfId="1134"/>
    <cellStyle name="Normal 76" xfId="1135"/>
    <cellStyle name="Normal 76 2" xfId="1136"/>
    <cellStyle name="Normal 77" xfId="1137"/>
    <cellStyle name="Normal 77 2" xfId="1138"/>
    <cellStyle name="Normal 78" xfId="1139"/>
    <cellStyle name="Normal 78 2" xfId="1140"/>
    <cellStyle name="Normal 79" xfId="1141"/>
    <cellStyle name="Normal 79 2" xfId="1142"/>
    <cellStyle name="Normal 8" xfId="254"/>
    <cellStyle name="Normal 8 2" xfId="255"/>
    <cellStyle name="Normal 8 2 2" xfId="1143"/>
    <cellStyle name="Normal 8 3" xfId="256"/>
    <cellStyle name="Normal 80" xfId="1144"/>
    <cellStyle name="Normal 80 2" xfId="1145"/>
    <cellStyle name="Normal 81" xfId="1146"/>
    <cellStyle name="Normal 81 2" xfId="1147"/>
    <cellStyle name="Normal 82" xfId="1148"/>
    <cellStyle name="Normal 82 2" xfId="1149"/>
    <cellStyle name="Normal 83" xfId="1150"/>
    <cellStyle name="Normal 83 2" xfId="1151"/>
    <cellStyle name="Normal 84" xfId="1152"/>
    <cellStyle name="Normal 84 2" xfId="1153"/>
    <cellStyle name="Normal 85" xfId="1154"/>
    <cellStyle name="Normal 85 2" xfId="1155"/>
    <cellStyle name="Normal 86" xfId="1156"/>
    <cellStyle name="Normal 86 2" xfId="1157"/>
    <cellStyle name="Normal 87" xfId="1158"/>
    <cellStyle name="Normal 87 2" xfId="1159"/>
    <cellStyle name="Normal 88" xfId="1160"/>
    <cellStyle name="Normal 88 2" xfId="1161"/>
    <cellStyle name="Normal 89" xfId="1162"/>
    <cellStyle name="Normal 89 2" xfId="1163"/>
    <cellStyle name="Normal 9" xfId="257"/>
    <cellStyle name="Normal 9 2" xfId="1164"/>
    <cellStyle name="Normal 90" xfId="1165"/>
    <cellStyle name="Normal 90 2" xfId="1166"/>
    <cellStyle name="Normal 91" xfId="1167"/>
    <cellStyle name="Normal 91 2" xfId="1168"/>
    <cellStyle name="Normal 92" xfId="1169"/>
    <cellStyle name="Normal 92 2" xfId="1170"/>
    <cellStyle name="Normal 93" xfId="1171"/>
    <cellStyle name="Normal 93 2" xfId="1172"/>
    <cellStyle name="Normal 94" xfId="1173"/>
    <cellStyle name="Normal 94 2" xfId="1174"/>
    <cellStyle name="Normal 95" xfId="1175"/>
    <cellStyle name="Normal 95 2" xfId="1176"/>
    <cellStyle name="Normal 96" xfId="1177"/>
    <cellStyle name="Normal 96 2" xfId="1178"/>
    <cellStyle name="Normal 97" xfId="1179"/>
    <cellStyle name="Normal 97 2" xfId="1180"/>
    <cellStyle name="Normal 98" xfId="1181"/>
    <cellStyle name="Normal 98 2" xfId="1182"/>
    <cellStyle name="Normal 99" xfId="1183"/>
    <cellStyle name="Normal 99 2" xfId="1184"/>
    <cellStyle name="Normalny 2" xfId="1185"/>
    <cellStyle name="Normalny 3" xfId="1186"/>
    <cellStyle name="Normalny 4" xfId="1187"/>
    <cellStyle name="Normalny 5" xfId="1188"/>
    <cellStyle name="Normalny 6" xfId="1189"/>
    <cellStyle name="Note 2" xfId="383"/>
    <cellStyle name="Note 3" xfId="1190"/>
    <cellStyle name="num1Style" xfId="1191"/>
    <cellStyle name="num1Styleb" xfId="1192"/>
    <cellStyle name="num4Style" xfId="1193"/>
    <cellStyle name="num4Styleb" xfId="1194"/>
    <cellStyle name="Number0DecimalStyle" xfId="258"/>
    <cellStyle name="Number0DecimalStyle 2" xfId="259"/>
    <cellStyle name="Number10DecimalStyle" xfId="260"/>
    <cellStyle name="Number1DecimalStyle" xfId="261"/>
    <cellStyle name="Number2DecimalStyle" xfId="262"/>
    <cellStyle name="Number2DecimalStyle 2" xfId="263"/>
    <cellStyle name="Number3DecimalStyle" xfId="264"/>
    <cellStyle name="Number4DecimalStyle" xfId="265"/>
    <cellStyle name="Number5DecimalStyle" xfId="266"/>
    <cellStyle name="Number6DecimalStyle" xfId="267"/>
    <cellStyle name="Number7DecimalStyle" xfId="268"/>
    <cellStyle name="Number8DecimalStyle" xfId="269"/>
    <cellStyle name="Number9DecimalStyle" xfId="270"/>
    <cellStyle name="numPStyle" xfId="1195"/>
    <cellStyle name="numPStyleb" xfId="1196"/>
    <cellStyle name="numXStyle" xfId="1197"/>
    <cellStyle name="numXStyleb" xfId="1198"/>
    <cellStyle name="Output 2" xfId="384"/>
    <cellStyle name="Output Amounts" xfId="1199"/>
    <cellStyle name="Output Column Headings" xfId="1200"/>
    <cellStyle name="Output Line Items" xfId="1201"/>
    <cellStyle name="Output Report Heading" xfId="1202"/>
    <cellStyle name="Output Report Title" xfId="1203"/>
    <cellStyle name="over" xfId="271"/>
    <cellStyle name="PB Table Heading" xfId="1204"/>
    <cellStyle name="PB Table Highlight1" xfId="1205"/>
    <cellStyle name="PB Table Highlight2" xfId="1206"/>
    <cellStyle name="PB Table Highlight3" xfId="1207"/>
    <cellStyle name="PB Table Standard Row" xfId="1208"/>
    <cellStyle name="PB Table Subtotal Row" xfId="1209"/>
    <cellStyle name="PB Table Total Row" xfId="1210"/>
    <cellStyle name="pb_page_heading_LS" xfId="1211"/>
    <cellStyle name="Percen - Style2" xfId="1212"/>
    <cellStyle name="Percent" xfId="2" builtinId="5"/>
    <cellStyle name="percent (0)" xfId="272"/>
    <cellStyle name="Percent [0]" xfId="273"/>
    <cellStyle name="Percent [0] 2" xfId="274"/>
    <cellStyle name="Percent [00]" xfId="275"/>
    <cellStyle name="Percent [00] 2" xfId="276"/>
    <cellStyle name="Percent [2]" xfId="277"/>
    <cellStyle name="Percent [2] 2" xfId="1213"/>
    <cellStyle name="Percent 10" xfId="278"/>
    <cellStyle name="Percent 10 2" xfId="1214"/>
    <cellStyle name="Percent 100" xfId="1215"/>
    <cellStyle name="Percent 100 2" xfId="1216"/>
    <cellStyle name="Percent 101" xfId="1217"/>
    <cellStyle name="Percent 101 2" xfId="1218"/>
    <cellStyle name="Percent 102" xfId="1219"/>
    <cellStyle name="Percent 102 2" xfId="1220"/>
    <cellStyle name="Percent 103" xfId="1221"/>
    <cellStyle name="Percent 103 2" xfId="1222"/>
    <cellStyle name="Percent 104" xfId="1223"/>
    <cellStyle name="Percent 104 2" xfId="1224"/>
    <cellStyle name="Percent 105" xfId="1225"/>
    <cellStyle name="Percent 105 2" xfId="1226"/>
    <cellStyle name="Percent 106" xfId="1227"/>
    <cellStyle name="Percent 106 2" xfId="1228"/>
    <cellStyle name="Percent 107" xfId="1229"/>
    <cellStyle name="Percent 107 2" xfId="1230"/>
    <cellStyle name="Percent 108" xfId="1231"/>
    <cellStyle name="Percent 108 2" xfId="1232"/>
    <cellStyle name="Percent 109" xfId="1233"/>
    <cellStyle name="Percent 109 2" xfId="1234"/>
    <cellStyle name="Percent 11" xfId="1235"/>
    <cellStyle name="Percent 11 2" xfId="1236"/>
    <cellStyle name="Percent 110" xfId="1237"/>
    <cellStyle name="Percent 110 2" xfId="1238"/>
    <cellStyle name="Percent 111" xfId="1239"/>
    <cellStyle name="Percent 111 2" xfId="1240"/>
    <cellStyle name="Percent 112" xfId="1241"/>
    <cellStyle name="Percent 112 2" xfId="1242"/>
    <cellStyle name="Percent 113" xfId="1243"/>
    <cellStyle name="Percent 113 2" xfId="1244"/>
    <cellStyle name="Percent 114" xfId="1245"/>
    <cellStyle name="Percent 114 2" xfId="1246"/>
    <cellStyle name="Percent 115" xfId="1247"/>
    <cellStyle name="Percent 115 2" xfId="1248"/>
    <cellStyle name="Percent 116" xfId="1249"/>
    <cellStyle name="Percent 116 2" xfId="1250"/>
    <cellStyle name="Percent 117" xfId="1251"/>
    <cellStyle name="Percent 117 2" xfId="1252"/>
    <cellStyle name="Percent 118" xfId="1253"/>
    <cellStyle name="Percent 119" xfId="1254"/>
    <cellStyle name="Percent 12" xfId="1255"/>
    <cellStyle name="Percent 12 2" xfId="1256"/>
    <cellStyle name="Percent 120" xfId="1257"/>
    <cellStyle name="Percent 121" xfId="1258"/>
    <cellStyle name="Percent 122" xfId="1259"/>
    <cellStyle name="Percent 122 2" xfId="1260"/>
    <cellStyle name="Percent 123" xfId="1261"/>
    <cellStyle name="Percent 123 2" xfId="1262"/>
    <cellStyle name="Percent 124" xfId="1263"/>
    <cellStyle name="Percent 124 2" xfId="1264"/>
    <cellStyle name="Percent 125" xfId="1265"/>
    <cellStyle name="Percent 126" xfId="1266"/>
    <cellStyle name="Percent 127" xfId="1267"/>
    <cellStyle name="Percent 128" xfId="1268"/>
    <cellStyle name="Percent 129" xfId="1269"/>
    <cellStyle name="Percent 13" xfId="1270"/>
    <cellStyle name="Percent 13 2" xfId="1271"/>
    <cellStyle name="Percent 14" xfId="1272"/>
    <cellStyle name="Percent 14 2" xfId="1273"/>
    <cellStyle name="Percent 15" xfId="1274"/>
    <cellStyle name="Percent 15 2" xfId="1275"/>
    <cellStyle name="Percent 16" xfId="1276"/>
    <cellStyle name="Percent 16 2" xfId="1277"/>
    <cellStyle name="Percent 17" xfId="1278"/>
    <cellStyle name="Percent 17 2" xfId="1279"/>
    <cellStyle name="Percent 18" xfId="1280"/>
    <cellStyle name="Percent 18 2" xfId="1281"/>
    <cellStyle name="Percent 19" xfId="1282"/>
    <cellStyle name="Percent 19 2" xfId="1283"/>
    <cellStyle name="Percent 2" xfId="279"/>
    <cellStyle name="Percent 2 2" xfId="280"/>
    <cellStyle name="Percent 2 2 2" xfId="1284"/>
    <cellStyle name="Percent 2 3" xfId="281"/>
    <cellStyle name="Percent 2 4" xfId="282"/>
    <cellStyle name="Percent 2 5" xfId="1285"/>
    <cellStyle name="Percent 20" xfId="1286"/>
    <cellStyle name="Percent 20 2" xfId="1287"/>
    <cellStyle name="Percent 21" xfId="1288"/>
    <cellStyle name="Percent 21 2" xfId="1289"/>
    <cellStyle name="Percent 22" xfId="1290"/>
    <cellStyle name="Percent 22 2" xfId="1291"/>
    <cellStyle name="Percent 23" xfId="1292"/>
    <cellStyle name="Percent 23 2" xfId="1293"/>
    <cellStyle name="Percent 24" xfId="1294"/>
    <cellStyle name="Percent 25" xfId="1295"/>
    <cellStyle name="Percent 26" xfId="1296"/>
    <cellStyle name="Percent 27" xfId="1297"/>
    <cellStyle name="Percent 27 2" xfId="1298"/>
    <cellStyle name="Percent 28" xfId="1299"/>
    <cellStyle name="Percent 28 2" xfId="1300"/>
    <cellStyle name="Percent 29" xfId="1301"/>
    <cellStyle name="Percent 29 2" xfId="1302"/>
    <cellStyle name="Percent 3" xfId="283"/>
    <cellStyle name="Percent 3 2" xfId="284"/>
    <cellStyle name="Percent 3 3" xfId="1303"/>
    <cellStyle name="Percent 3 4" xfId="1304"/>
    <cellStyle name="Percent 3 5" xfId="1305"/>
    <cellStyle name="Percent 30" xfId="1306"/>
    <cellStyle name="Percent 30 2" xfId="1307"/>
    <cellStyle name="Percent 31" xfId="1308"/>
    <cellStyle name="Percent 31 2" xfId="1309"/>
    <cellStyle name="Percent 32" xfId="1310"/>
    <cellStyle name="Percent 32 2" xfId="1311"/>
    <cellStyle name="Percent 33" xfId="1312"/>
    <cellStyle name="Percent 33 2" xfId="1313"/>
    <cellStyle name="Percent 34" xfId="1314"/>
    <cellStyle name="Percent 34 2" xfId="1315"/>
    <cellStyle name="Percent 35" xfId="1316"/>
    <cellStyle name="Percent 35 2" xfId="1317"/>
    <cellStyle name="Percent 36" xfId="1318"/>
    <cellStyle name="Percent 36 2" xfId="1319"/>
    <cellStyle name="Percent 37" xfId="1320"/>
    <cellStyle name="Percent 37 2" xfId="1321"/>
    <cellStyle name="Percent 38" xfId="1322"/>
    <cellStyle name="Percent 38 2" xfId="1323"/>
    <cellStyle name="Percent 39" xfId="1324"/>
    <cellStyle name="Percent 39 2" xfId="1325"/>
    <cellStyle name="Percent 4" xfId="285"/>
    <cellStyle name="Percent 40" xfId="1326"/>
    <cellStyle name="Percent 40 2" xfId="1327"/>
    <cellStyle name="Percent 41" xfId="1328"/>
    <cellStyle name="Percent 41 2" xfId="1329"/>
    <cellStyle name="Percent 42" xfId="1330"/>
    <cellStyle name="Percent 42 2" xfId="1331"/>
    <cellStyle name="Percent 43" xfId="1332"/>
    <cellStyle name="Percent 43 2" xfId="1333"/>
    <cellStyle name="Percent 44" xfId="1334"/>
    <cellStyle name="Percent 44 2" xfId="1335"/>
    <cellStyle name="Percent 45" xfId="1336"/>
    <cellStyle name="Percent 45 2" xfId="1337"/>
    <cellStyle name="Percent 46" xfId="1338"/>
    <cellStyle name="Percent 46 2" xfId="1339"/>
    <cellStyle name="Percent 47" xfId="1340"/>
    <cellStyle name="Percent 47 2" xfId="1341"/>
    <cellStyle name="Percent 48" xfId="1342"/>
    <cellStyle name="Percent 48 2" xfId="1343"/>
    <cellStyle name="Percent 49" xfId="1344"/>
    <cellStyle name="Percent 49 2" xfId="1345"/>
    <cellStyle name="Percent 5" xfId="1346"/>
    <cellStyle name="Percent 5 2" xfId="1347"/>
    <cellStyle name="Percent 50" xfId="1348"/>
    <cellStyle name="Percent 50 2" xfId="1349"/>
    <cellStyle name="Percent 51" xfId="1350"/>
    <cellStyle name="Percent 51 2" xfId="1351"/>
    <cellStyle name="Percent 52" xfId="1352"/>
    <cellStyle name="Percent 52 2" xfId="1353"/>
    <cellStyle name="Percent 53" xfId="1354"/>
    <cellStyle name="Percent 53 2" xfId="1355"/>
    <cellStyle name="Percent 54" xfId="1356"/>
    <cellStyle name="Percent 54 2" xfId="1357"/>
    <cellStyle name="Percent 55" xfId="1358"/>
    <cellStyle name="Percent 55 2" xfId="1359"/>
    <cellStyle name="Percent 56" xfId="1360"/>
    <cellStyle name="Percent 56 2" xfId="1361"/>
    <cellStyle name="Percent 57" xfId="1362"/>
    <cellStyle name="Percent 57 2" xfId="1363"/>
    <cellStyle name="Percent 58" xfId="1364"/>
    <cellStyle name="Percent 58 2" xfId="1365"/>
    <cellStyle name="Percent 59" xfId="1366"/>
    <cellStyle name="Percent 59 2" xfId="1367"/>
    <cellStyle name="Percent 6" xfId="286"/>
    <cellStyle name="Percent 6 2" xfId="1368"/>
    <cellStyle name="Percent 60" xfId="1369"/>
    <cellStyle name="Percent 60 2" xfId="1370"/>
    <cellStyle name="Percent 61" xfId="1371"/>
    <cellStyle name="Percent 61 2" xfId="1372"/>
    <cellStyle name="Percent 62" xfId="1373"/>
    <cellStyle name="Percent 62 2" xfId="1374"/>
    <cellStyle name="Percent 63" xfId="1375"/>
    <cellStyle name="Percent 63 2" xfId="1376"/>
    <cellStyle name="Percent 64" xfId="1377"/>
    <cellStyle name="Percent 64 2" xfId="1378"/>
    <cellStyle name="Percent 65" xfId="1379"/>
    <cellStyle name="Percent 65 2" xfId="1380"/>
    <cellStyle name="Percent 66" xfId="1381"/>
    <cellStyle name="Percent 66 2" xfId="1382"/>
    <cellStyle name="Percent 67" xfId="1383"/>
    <cellStyle name="Percent 67 2" xfId="1384"/>
    <cellStyle name="Percent 68" xfId="1385"/>
    <cellStyle name="Percent 68 2" xfId="1386"/>
    <cellStyle name="Percent 69" xfId="1387"/>
    <cellStyle name="Percent 69 2" xfId="1388"/>
    <cellStyle name="Percent 7" xfId="1389"/>
    <cellStyle name="Percent 7 2" xfId="1390"/>
    <cellStyle name="Percent 70" xfId="1391"/>
    <cellStyle name="Percent 70 2" xfId="1392"/>
    <cellStyle name="Percent 71" xfId="1393"/>
    <cellStyle name="Percent 71 2" xfId="1394"/>
    <cellStyle name="Percent 72" xfId="1395"/>
    <cellStyle name="Percent 72 2" xfId="1396"/>
    <cellStyle name="Percent 73" xfId="1397"/>
    <cellStyle name="Percent 73 2" xfId="1398"/>
    <cellStyle name="Percent 74" xfId="1399"/>
    <cellStyle name="Percent 74 2" xfId="1400"/>
    <cellStyle name="Percent 75" xfId="1401"/>
    <cellStyle name="Percent 75 2" xfId="1402"/>
    <cellStyle name="Percent 76" xfId="1403"/>
    <cellStyle name="Percent 76 2" xfId="1404"/>
    <cellStyle name="Percent 77" xfId="1405"/>
    <cellStyle name="Percent 77 2" xfId="1406"/>
    <cellStyle name="Percent 78" xfId="1407"/>
    <cellStyle name="Percent 78 2" xfId="1408"/>
    <cellStyle name="Percent 79" xfId="1409"/>
    <cellStyle name="Percent 79 2" xfId="1410"/>
    <cellStyle name="Percent 8" xfId="1411"/>
    <cellStyle name="Percent 8 2" xfId="1412"/>
    <cellStyle name="Percent 80" xfId="1413"/>
    <cellStyle name="Percent 80 2" xfId="1414"/>
    <cellStyle name="Percent 81" xfId="1415"/>
    <cellStyle name="Percent 81 2" xfId="1416"/>
    <cellStyle name="Percent 82" xfId="1417"/>
    <cellStyle name="Percent 82 2" xfId="1418"/>
    <cellStyle name="Percent 83" xfId="1419"/>
    <cellStyle name="Percent 83 2" xfId="1420"/>
    <cellStyle name="Percent 84" xfId="1421"/>
    <cellStyle name="Percent 84 2" xfId="1422"/>
    <cellStyle name="Percent 85" xfId="1423"/>
    <cellStyle name="Percent 85 2" xfId="1424"/>
    <cellStyle name="Percent 86" xfId="1425"/>
    <cellStyle name="Percent 86 2" xfId="1426"/>
    <cellStyle name="Percent 87" xfId="1427"/>
    <cellStyle name="Percent 87 2" xfId="1428"/>
    <cellStyle name="Percent 88" xfId="1429"/>
    <cellStyle name="Percent 88 2" xfId="1430"/>
    <cellStyle name="Percent 89" xfId="1431"/>
    <cellStyle name="Percent 89 2" xfId="1432"/>
    <cellStyle name="Percent 9" xfId="1433"/>
    <cellStyle name="Percent 9 2" xfId="1434"/>
    <cellStyle name="Percent 90" xfId="1435"/>
    <cellStyle name="Percent 90 2" xfId="1436"/>
    <cellStyle name="Percent 91" xfId="1437"/>
    <cellStyle name="Percent 91 2" xfId="1438"/>
    <cellStyle name="Percent 92" xfId="1439"/>
    <cellStyle name="Percent 92 2" xfId="1440"/>
    <cellStyle name="Percent 93" xfId="1441"/>
    <cellStyle name="Percent 93 2" xfId="1442"/>
    <cellStyle name="Percent 94" xfId="1443"/>
    <cellStyle name="Percent 94 2" xfId="1444"/>
    <cellStyle name="Percent 95" xfId="1445"/>
    <cellStyle name="Percent 95 2" xfId="1446"/>
    <cellStyle name="Percent 96" xfId="1447"/>
    <cellStyle name="Percent 96 2" xfId="1448"/>
    <cellStyle name="Percent 97" xfId="1449"/>
    <cellStyle name="Percent 97 2" xfId="1450"/>
    <cellStyle name="Percent 98" xfId="1451"/>
    <cellStyle name="Percent 98 2" xfId="1452"/>
    <cellStyle name="Percent 99" xfId="1453"/>
    <cellStyle name="Percent 99 2" xfId="1454"/>
    <cellStyle name="PERCENTAGE" xfId="287"/>
    <cellStyle name="Popis" xfId="1455"/>
    <cellStyle name="posit" xfId="288"/>
    <cellStyle name="Powerpoint Style" xfId="289"/>
    <cellStyle name="PrePop Currency (0)" xfId="290"/>
    <cellStyle name="PrePop Currency (0) 2" xfId="291"/>
    <cellStyle name="PrePop Currency (2)" xfId="292"/>
    <cellStyle name="PrePop Currency (2) 2" xfId="293"/>
    <cellStyle name="PrePop Units (0)" xfId="294"/>
    <cellStyle name="PrePop Units (0) 2" xfId="295"/>
    <cellStyle name="PrePop Units (1)" xfId="296"/>
    <cellStyle name="PrePop Units (1) 2" xfId="297"/>
    <cellStyle name="PrePop Units (2)" xfId="298"/>
    <cellStyle name="PrePop Units (2) 2" xfId="299"/>
    <cellStyle name="PSChar" xfId="1456"/>
    <cellStyle name="PSDate" xfId="1457"/>
    <cellStyle name="PSDec" xfId="1458"/>
    <cellStyle name="PSHeading" xfId="1459"/>
    <cellStyle name="PSInt" xfId="1460"/>
    <cellStyle name="PSSpacer" xfId="1461"/>
    <cellStyle name="realtime" xfId="1462"/>
    <cellStyle name="result" xfId="1463"/>
    <cellStyle name="rt" xfId="1464"/>
    <cellStyle name="Sb" xfId="1465"/>
    <cellStyle name="Sb - Date" xfId="1466"/>
    <cellStyle name="Sb - Date 2" xfId="1467"/>
    <cellStyle name="Sb - Text" xfId="1468"/>
    <cellStyle name="Sb - Text 2" xfId="1469"/>
    <cellStyle name="Sb 10" xfId="1470"/>
    <cellStyle name="Sb 2" xfId="1471"/>
    <cellStyle name="Sb 3" xfId="1472"/>
    <cellStyle name="Sb 4" xfId="1473"/>
    <cellStyle name="Sb 5" xfId="1474"/>
    <cellStyle name="Sb 6" xfId="1475"/>
    <cellStyle name="Sb 7" xfId="1476"/>
    <cellStyle name="Sb 8" xfId="1477"/>
    <cellStyle name="Sb 9" xfId="1478"/>
    <cellStyle name="Sb Date" xfId="1479"/>
    <cellStyle name="Sb Date 2" xfId="1480"/>
    <cellStyle name="Sb Text" xfId="1481"/>
    <cellStyle name="Sb Text 2" xfId="1482"/>
    <cellStyle name="Sb_Finance 9622 - S2 2008 Template Sent" xfId="1483"/>
    <cellStyle name="Sentence Case" xfId="1484"/>
    <cellStyle name="Sentence Case 2" xfId="1485"/>
    <cellStyle name="SingleTopDoubleBott" xfId="300"/>
    <cellStyle name="Sledovaný hypertextový odkaz" xfId="1486"/>
    <cellStyle name="Sous-Total" xfId="1487"/>
    <cellStyle name="SPOl" xfId="1488"/>
    <cellStyle name="stage" xfId="1489"/>
    <cellStyle name="Standard_A" xfId="301"/>
    <cellStyle name="step" xfId="1490"/>
    <cellStyle name="Style 1" xfId="302"/>
    <cellStyle name="Style 1 2" xfId="1491"/>
    <cellStyle name="Style 1 3" xfId="1492"/>
    <cellStyle name="Style 1 4" xfId="1493"/>
    <cellStyle name="Style 2" xfId="303"/>
    <cellStyle name="Style 2 2" xfId="1494"/>
    <cellStyle name="Style 21" xfId="1495"/>
    <cellStyle name="Style 22" xfId="1496"/>
    <cellStyle name="Style 23" xfId="1497"/>
    <cellStyle name="Style 24" xfId="1498"/>
    <cellStyle name="Style 25" xfId="1499"/>
    <cellStyle name="Style 26" xfId="1500"/>
    <cellStyle name="Style 27" xfId="1501"/>
    <cellStyle name="Style 28" xfId="1502"/>
    <cellStyle name="Style 29" xfId="1503"/>
    <cellStyle name="Style 3" xfId="304"/>
    <cellStyle name="Style 3 2" xfId="1504"/>
    <cellStyle name="Style 30" xfId="1505"/>
    <cellStyle name="Style 31" xfId="1506"/>
    <cellStyle name="Style 32" xfId="1507"/>
    <cellStyle name="Style 33" xfId="1508"/>
    <cellStyle name="Style 34" xfId="1509"/>
    <cellStyle name="Style 35" xfId="1510"/>
    <cellStyle name="Style 36" xfId="1511"/>
    <cellStyle name="Style 37" xfId="1512"/>
    <cellStyle name="Style 38" xfId="1513"/>
    <cellStyle name="Style 39" xfId="1514"/>
    <cellStyle name="Style 4" xfId="305"/>
    <cellStyle name="Style 4 2" xfId="1515"/>
    <cellStyle name="Style 40" xfId="1516"/>
    <cellStyle name="Style 41" xfId="1517"/>
    <cellStyle name="Style 42" xfId="1518"/>
    <cellStyle name="Style 43" xfId="1519"/>
    <cellStyle name="Style 44" xfId="1520"/>
    <cellStyle name="Style 45" xfId="1521"/>
    <cellStyle name="Style 46" xfId="1522"/>
    <cellStyle name="Style 47" xfId="1523"/>
    <cellStyle name="Style 48" xfId="1524"/>
    <cellStyle name="Style 49" xfId="1525"/>
    <cellStyle name="Style 50" xfId="1526"/>
    <cellStyle name="Style 51" xfId="1527"/>
    <cellStyle name="Style 52" xfId="1528"/>
    <cellStyle name="Style 53" xfId="1529"/>
    <cellStyle name="Style 54" xfId="1530"/>
    <cellStyle name="Style 55" xfId="1531"/>
    <cellStyle name="Style 56" xfId="1532"/>
    <cellStyle name="Style 57" xfId="1533"/>
    <cellStyle name="Style 58" xfId="1534"/>
    <cellStyle name="Style 59" xfId="1535"/>
    <cellStyle name="Style 60" xfId="1536"/>
    <cellStyle name="Style 61" xfId="1537"/>
    <cellStyle name="Style 62" xfId="1538"/>
    <cellStyle name="Style 63" xfId="1539"/>
    <cellStyle name="Style 64" xfId="1540"/>
    <cellStyle name="Style 65" xfId="1541"/>
    <cellStyle name="Style 66" xfId="1542"/>
    <cellStyle name="Style 67" xfId="1543"/>
    <cellStyle name="Style 68" xfId="1544"/>
    <cellStyle name="Style 69" xfId="1545"/>
    <cellStyle name="Style 70" xfId="1546"/>
    <cellStyle name="Style 71" xfId="1547"/>
    <cellStyle name="Style 72" xfId="1548"/>
    <cellStyle name="Style 73" xfId="1549"/>
    <cellStyle name="Style 74" xfId="1550"/>
    <cellStyle name="Style 75" xfId="1551"/>
    <cellStyle name="Style 76" xfId="1552"/>
    <cellStyle name="Style 77" xfId="1553"/>
    <cellStyle name="Style 78" xfId="1554"/>
    <cellStyle name="Style 79" xfId="1555"/>
    <cellStyle name="Style 80" xfId="1556"/>
    <cellStyle name="Style 81" xfId="1557"/>
    <cellStyle name="Style 82" xfId="1558"/>
    <cellStyle name="Style 83" xfId="1559"/>
    <cellStyle name="Style 84" xfId="1560"/>
    <cellStyle name="Style 85" xfId="1561"/>
    <cellStyle name="Style 86" xfId="1562"/>
    <cellStyle name="Style 87" xfId="1563"/>
    <cellStyle name="Style 88" xfId="1564"/>
    <cellStyle name="Style 89" xfId="1565"/>
    <cellStyle name="Text Indent A" xfId="306"/>
    <cellStyle name="Text Indent B" xfId="307"/>
    <cellStyle name="Text Indent B 2" xfId="308"/>
    <cellStyle name="Text Indent C" xfId="309"/>
    <cellStyle name="Text Indent C 2" xfId="310"/>
    <cellStyle name="TextStyle" xfId="311"/>
    <cellStyle name="Tickmark" xfId="312"/>
    <cellStyle name="TimStyle" xfId="313"/>
    <cellStyle name="Title 2" xfId="385"/>
    <cellStyle name="Total 2" xfId="314"/>
    <cellStyle name="Total 3" xfId="315"/>
    <cellStyle name="Total 4" xfId="316"/>
    <cellStyle name="Underline" xfId="317"/>
    <cellStyle name="UnderlineDouble" xfId="318"/>
    <cellStyle name="Währung [0]_Compiling Utility Macros" xfId="1566"/>
    <cellStyle name="Währung_Compiling Utility Macros" xfId="1567"/>
    <cellStyle name="Warning Text 2" xfId="386"/>
    <cellStyle name="Обычный_RTS_select_issues" xfId="387"/>
    <cellStyle name="표준_BINV" xfId="319"/>
    <cellStyle name="標準_1998年度SWAP_NonCashFlow" xfId="1568"/>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5.xml"/><Relationship Id="rId12" Type="http://schemas.openxmlformats.org/officeDocument/2006/relationships/externalLink" Target="externalLinks/externalLink6.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0-97B1-40DA-AF65-A59B5A4F6F8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MU!#REF!</c15:sqref>
                        </c15:formulaRef>
                      </c:ext>
                    </c:extLst>
                  </c:multiLvlStrRef>
                </c15:cat>
              </c15:filteredCategoryTitle>
            </c:ext>
          </c:extLst>
        </c:ser>
        <c:dLbls>
          <c:showLegendKey val="0"/>
          <c:showVal val="0"/>
          <c:showCatName val="0"/>
          <c:showSerName val="0"/>
          <c:showPercent val="0"/>
          <c:showBubbleSize val="0"/>
        </c:dLbls>
        <c:smooth val="0"/>
        <c:axId val="373122128"/>
        <c:axId val="373127264"/>
      </c:lineChart>
      <c:catAx>
        <c:axId val="373122128"/>
        <c:scaling>
          <c:orientation val="minMax"/>
          <c:min val="41746.0"/>
        </c:scaling>
        <c:delete val="0"/>
        <c:axPos val="b"/>
        <c:numFmt formatCode="m/d/yyyy" sourceLinked="1"/>
        <c:majorTickMark val="out"/>
        <c:minorTickMark val="none"/>
        <c:tickLblPos val="nextTo"/>
        <c:txPr>
          <a:bodyPr rot="-5400000" vert="horz"/>
          <a:lstStyle/>
          <a:p>
            <a:pPr>
              <a:defRPr/>
            </a:pPr>
            <a:endParaRPr lang="en-US"/>
          </a:p>
        </c:txPr>
        <c:crossAx val="373127264"/>
        <c:crosses val="autoZero"/>
        <c:auto val="1"/>
        <c:lblAlgn val="ctr"/>
        <c:lblOffset val="100"/>
        <c:tickLblSkip val="7"/>
        <c:noMultiLvlLbl val="1"/>
      </c:catAx>
      <c:valAx>
        <c:axId val="373127264"/>
        <c:scaling>
          <c:orientation val="minMax"/>
        </c:scaling>
        <c:delete val="0"/>
        <c:axPos val="l"/>
        <c:majorGridlines/>
        <c:numFmt formatCode="0.0\x" sourceLinked="0"/>
        <c:majorTickMark val="out"/>
        <c:minorTickMark val="none"/>
        <c:tickLblPos val="nextTo"/>
        <c:crossAx val="3731221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0-91A1-432C-9629-C0B8399F17B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MU!#REF!</c15:sqref>
                        </c15:formulaRef>
                      </c:ext>
                    </c:extLst>
                  </c:multiLvlStrRef>
                </c15:cat>
              </c15:filteredCategoryTitle>
            </c:ext>
          </c:extLst>
        </c:ser>
        <c:dLbls>
          <c:showLegendKey val="0"/>
          <c:showVal val="0"/>
          <c:showCatName val="0"/>
          <c:showSerName val="0"/>
          <c:showPercent val="0"/>
          <c:showBubbleSize val="0"/>
        </c:dLbls>
        <c:smooth val="0"/>
        <c:axId val="373001952"/>
        <c:axId val="373005600"/>
      </c:lineChart>
      <c:catAx>
        <c:axId val="373001952"/>
        <c:scaling>
          <c:orientation val="minMax"/>
          <c:min val="41746.0"/>
        </c:scaling>
        <c:delete val="0"/>
        <c:axPos val="b"/>
        <c:numFmt formatCode="m/d/yyyy" sourceLinked="1"/>
        <c:majorTickMark val="out"/>
        <c:minorTickMark val="none"/>
        <c:tickLblPos val="nextTo"/>
        <c:txPr>
          <a:bodyPr rot="-5400000" vert="horz"/>
          <a:lstStyle/>
          <a:p>
            <a:pPr>
              <a:defRPr/>
            </a:pPr>
            <a:endParaRPr lang="en-US"/>
          </a:p>
        </c:txPr>
        <c:crossAx val="373005600"/>
        <c:crosses val="autoZero"/>
        <c:auto val="1"/>
        <c:lblAlgn val="ctr"/>
        <c:lblOffset val="100"/>
        <c:tickLblSkip val="7"/>
        <c:noMultiLvlLbl val="1"/>
      </c:catAx>
      <c:valAx>
        <c:axId val="373005600"/>
        <c:scaling>
          <c:orientation val="minMax"/>
        </c:scaling>
        <c:delete val="0"/>
        <c:axPos val="l"/>
        <c:majorGridlines/>
        <c:numFmt formatCode="0.0\x" sourceLinked="0"/>
        <c:majorTickMark val="out"/>
        <c:minorTickMark val="none"/>
        <c:tickLblPos val="nextTo"/>
        <c:crossAx val="373001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0-A3B3-4E7E-8C1B-5EC41782F9D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MU!#REF!</c15:sqref>
                        </c15:formulaRef>
                      </c:ext>
                    </c:extLst>
                  </c:multiLvlStrRef>
                </c15:cat>
              </c15:filteredCategoryTitle>
            </c:ext>
          </c:extLst>
        </c:ser>
        <c:dLbls>
          <c:showLegendKey val="0"/>
          <c:showVal val="0"/>
          <c:showCatName val="0"/>
          <c:showSerName val="0"/>
          <c:showPercent val="0"/>
          <c:showBubbleSize val="0"/>
        </c:dLbls>
        <c:smooth val="0"/>
        <c:axId val="372965904"/>
        <c:axId val="372912736"/>
      </c:lineChart>
      <c:catAx>
        <c:axId val="372965904"/>
        <c:scaling>
          <c:orientation val="minMax"/>
          <c:min val="41746.0"/>
        </c:scaling>
        <c:delete val="0"/>
        <c:axPos val="b"/>
        <c:numFmt formatCode="m/d/yyyy" sourceLinked="1"/>
        <c:majorTickMark val="out"/>
        <c:minorTickMark val="none"/>
        <c:tickLblPos val="nextTo"/>
        <c:txPr>
          <a:bodyPr rot="-5400000" vert="horz"/>
          <a:lstStyle/>
          <a:p>
            <a:pPr>
              <a:defRPr/>
            </a:pPr>
            <a:endParaRPr lang="en-US"/>
          </a:p>
        </c:txPr>
        <c:crossAx val="372912736"/>
        <c:crosses val="autoZero"/>
        <c:auto val="1"/>
        <c:lblAlgn val="ctr"/>
        <c:lblOffset val="100"/>
        <c:tickLblSkip val="7"/>
        <c:noMultiLvlLbl val="1"/>
      </c:catAx>
      <c:valAx>
        <c:axId val="372912736"/>
        <c:scaling>
          <c:orientation val="minMax"/>
        </c:scaling>
        <c:delete val="0"/>
        <c:axPos val="l"/>
        <c:majorGridlines/>
        <c:numFmt formatCode="0.0\x" sourceLinked="0"/>
        <c:majorTickMark val="out"/>
        <c:minorTickMark val="none"/>
        <c:tickLblPos val="nextTo"/>
        <c:crossAx val="372965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0-CA6E-4F65-ABFE-CF3C792E3A0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MU!#REF!</c15:sqref>
                        </c15:formulaRef>
                      </c:ext>
                    </c:extLst>
                  </c:multiLvlStrRef>
                </c15:cat>
              </c15:filteredCategoryTitle>
            </c:ext>
          </c:extLst>
        </c:ser>
        <c:dLbls>
          <c:showLegendKey val="0"/>
          <c:showVal val="0"/>
          <c:showCatName val="0"/>
          <c:showSerName val="0"/>
          <c:showPercent val="0"/>
          <c:showBubbleSize val="0"/>
        </c:dLbls>
        <c:smooth val="0"/>
        <c:axId val="373369680"/>
        <c:axId val="373818160"/>
      </c:lineChart>
      <c:catAx>
        <c:axId val="373369680"/>
        <c:scaling>
          <c:orientation val="minMax"/>
          <c:min val="41746.0"/>
        </c:scaling>
        <c:delete val="0"/>
        <c:axPos val="b"/>
        <c:numFmt formatCode="m/d/yyyy" sourceLinked="1"/>
        <c:majorTickMark val="out"/>
        <c:minorTickMark val="none"/>
        <c:tickLblPos val="nextTo"/>
        <c:txPr>
          <a:bodyPr rot="-5400000" vert="horz"/>
          <a:lstStyle/>
          <a:p>
            <a:pPr>
              <a:defRPr/>
            </a:pPr>
            <a:endParaRPr lang="en-US"/>
          </a:p>
        </c:txPr>
        <c:crossAx val="373818160"/>
        <c:crosses val="autoZero"/>
        <c:auto val="1"/>
        <c:lblAlgn val="ctr"/>
        <c:lblOffset val="100"/>
        <c:tickLblSkip val="7"/>
        <c:noMultiLvlLbl val="1"/>
      </c:catAx>
      <c:valAx>
        <c:axId val="373818160"/>
        <c:scaling>
          <c:orientation val="minMax"/>
        </c:scaling>
        <c:delete val="0"/>
        <c:axPos val="l"/>
        <c:majorGridlines/>
        <c:numFmt formatCode="0.0\x" sourceLinked="0"/>
        <c:majorTickMark val="out"/>
        <c:minorTickMark val="none"/>
        <c:tickLblPos val="nextTo"/>
        <c:crossAx val="3733696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0-358D-4E3E-9B28-09F3A256DAA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MU!#REF!</c15:sqref>
                        </c15:formulaRef>
                      </c:ext>
                    </c:extLst>
                  </c:multiLvlStrRef>
                </c15:cat>
              </c15:filteredCategoryTitle>
            </c:ext>
          </c:extLst>
        </c:ser>
        <c:dLbls>
          <c:showLegendKey val="0"/>
          <c:showVal val="0"/>
          <c:showCatName val="0"/>
          <c:showSerName val="0"/>
          <c:showPercent val="0"/>
          <c:showBubbleSize val="0"/>
        </c:dLbls>
        <c:smooth val="0"/>
        <c:axId val="372497904"/>
        <c:axId val="372482400"/>
      </c:lineChart>
      <c:catAx>
        <c:axId val="372497904"/>
        <c:scaling>
          <c:orientation val="minMax"/>
          <c:min val="41746.0"/>
        </c:scaling>
        <c:delete val="0"/>
        <c:axPos val="b"/>
        <c:numFmt formatCode="m/d/yyyy" sourceLinked="1"/>
        <c:majorTickMark val="out"/>
        <c:minorTickMark val="none"/>
        <c:tickLblPos val="nextTo"/>
        <c:txPr>
          <a:bodyPr rot="-5400000" vert="horz"/>
          <a:lstStyle/>
          <a:p>
            <a:pPr>
              <a:defRPr/>
            </a:pPr>
            <a:endParaRPr lang="en-US"/>
          </a:p>
        </c:txPr>
        <c:crossAx val="372482400"/>
        <c:crosses val="autoZero"/>
        <c:auto val="1"/>
        <c:lblAlgn val="ctr"/>
        <c:lblOffset val="100"/>
        <c:tickLblSkip val="7"/>
        <c:noMultiLvlLbl val="1"/>
      </c:catAx>
      <c:valAx>
        <c:axId val="372482400"/>
        <c:scaling>
          <c:orientation val="minMax"/>
        </c:scaling>
        <c:delete val="0"/>
        <c:axPos val="l"/>
        <c:majorGridlines/>
        <c:numFmt formatCode="0.0\x" sourceLinked="0"/>
        <c:majorTickMark val="out"/>
        <c:minorTickMark val="none"/>
        <c:tickLblPos val="nextTo"/>
        <c:crossAx val="372497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'Constant Sharpe'!$R$6</c:f>
              <c:strCache>
                <c:ptCount val="1"/>
                <c:pt idx="0">
                  <c:v>ERP Estimate</c:v>
                </c:pt>
              </c:strCache>
            </c:strRef>
          </c:tx>
          <c:spPr>
            <a:ln>
              <a:solidFill>
                <a:schemeClr val="tx1">
                  <a:lumMod val="65000"/>
                  <a:lumOff val="35000"/>
                </a:schemeClr>
              </a:solidFill>
            </a:ln>
          </c:spPr>
          <c:marker>
            <c:symbol val="none"/>
          </c:marker>
          <c:dPt>
            <c:idx val="1"/>
            <c:bubble3D val="0"/>
            <c:spPr>
              <a:ln>
                <a:solidFill>
                  <a:schemeClr val="accent1"/>
                </a:solidFill>
              </a:ln>
            </c:spPr>
            <c:extLst xmlns:c16r2="http://schemas.microsoft.com/office/drawing/2015/06/chart">
              <c:ext xmlns:c16="http://schemas.microsoft.com/office/drawing/2014/chart" uri="{C3380CC4-5D6E-409C-BE32-E72D297353CC}">
                <c16:uniqueId val="{0000000E-6396-4477-9C5D-F4B97EFB4766}"/>
              </c:ext>
            </c:extLst>
          </c:dPt>
          <c:dPt>
            <c:idx val="2"/>
            <c:bubble3D val="0"/>
            <c:spPr>
              <a:ln>
                <a:solidFill>
                  <a:schemeClr val="accent1"/>
                </a:solidFill>
              </a:ln>
            </c:spPr>
            <c:extLst xmlns:c16r2="http://schemas.microsoft.com/office/drawing/2015/06/chart">
              <c:ext xmlns:c16="http://schemas.microsoft.com/office/drawing/2014/chart" uri="{C3380CC4-5D6E-409C-BE32-E72D297353CC}">
                <c16:uniqueId val="{0000000F-6396-4477-9C5D-F4B97EFB4766}"/>
              </c:ext>
            </c:extLst>
          </c:dPt>
          <c:dPt>
            <c:idx val="3"/>
            <c:bubble3D val="0"/>
            <c:spPr>
              <a:ln>
                <a:solidFill>
                  <a:schemeClr val="accent1"/>
                </a:solidFill>
              </a:ln>
            </c:spPr>
            <c:extLst xmlns:c16r2="http://schemas.microsoft.com/office/drawing/2015/06/chart">
              <c:ext xmlns:c16="http://schemas.microsoft.com/office/drawing/2014/chart" uri="{C3380CC4-5D6E-409C-BE32-E72D297353CC}">
                <c16:uniqueId val="{0000000C-6396-4477-9C5D-F4B97EFB4766}"/>
              </c:ext>
            </c:extLst>
          </c:dPt>
          <c:dPt>
            <c:idx val="4"/>
            <c:bubble3D val="0"/>
            <c:spPr>
              <a:ln>
                <a:solidFill>
                  <a:schemeClr val="accent1"/>
                </a:solidFill>
              </a:ln>
            </c:spPr>
            <c:extLst xmlns:c16r2="http://schemas.microsoft.com/office/drawing/2015/06/chart">
              <c:ext xmlns:c16="http://schemas.microsoft.com/office/drawing/2014/chart" uri="{C3380CC4-5D6E-409C-BE32-E72D297353CC}">
                <c16:uniqueId val="{0000000D-6396-4477-9C5D-F4B97EFB4766}"/>
              </c:ext>
            </c:extLst>
          </c:dPt>
          <c:dPt>
            <c:idx val="5"/>
            <c:bubble3D val="0"/>
            <c:spPr>
              <a:ln>
                <a:solidFill>
                  <a:schemeClr val="accent1"/>
                </a:solidFill>
              </a:ln>
            </c:spPr>
            <c:extLst xmlns:c16r2="http://schemas.microsoft.com/office/drawing/2015/06/chart">
              <c:ext xmlns:c16="http://schemas.microsoft.com/office/drawing/2014/chart" uri="{C3380CC4-5D6E-409C-BE32-E72D297353CC}">
                <c16:uniqueId val="{0000000B-6396-4477-9C5D-F4B97EFB4766}"/>
              </c:ext>
            </c:extLst>
          </c:dPt>
          <c:dPt>
            <c:idx val="6"/>
            <c:bubble3D val="0"/>
            <c:spPr>
              <a:ln>
                <a:solidFill>
                  <a:schemeClr val="accent1"/>
                </a:solidFill>
              </a:ln>
            </c:spPr>
            <c:extLst xmlns:c16r2="http://schemas.microsoft.com/office/drawing/2015/06/chart">
              <c:ext xmlns:c16="http://schemas.microsoft.com/office/drawing/2014/chart" uri="{C3380CC4-5D6E-409C-BE32-E72D297353CC}">
                <c16:uniqueId val="{0000000A-6396-4477-9C5D-F4B97EFB4766}"/>
              </c:ext>
            </c:extLst>
          </c:dPt>
          <c:dPt>
            <c:idx val="7"/>
            <c:bubble3D val="0"/>
            <c:spPr>
              <a:ln>
                <a:solidFill>
                  <a:schemeClr val="accent1"/>
                </a:solidFill>
              </a:ln>
            </c:spPr>
            <c:extLst xmlns:c16r2="http://schemas.microsoft.com/office/drawing/2015/06/chart">
              <c:ext xmlns:c16="http://schemas.microsoft.com/office/drawing/2014/chart" uri="{C3380CC4-5D6E-409C-BE32-E72D297353CC}">
                <c16:uniqueId val="{00000008-6396-4477-9C5D-F4B97EFB4766}"/>
              </c:ext>
            </c:extLst>
          </c:dPt>
          <c:dPt>
            <c:idx val="8"/>
            <c:bubble3D val="0"/>
            <c:spPr>
              <a:ln>
                <a:solidFill>
                  <a:schemeClr val="accent1"/>
                </a:solidFill>
              </a:ln>
            </c:spPr>
            <c:extLst xmlns:c16r2="http://schemas.microsoft.com/office/drawing/2015/06/chart">
              <c:ext xmlns:c16="http://schemas.microsoft.com/office/drawing/2014/chart" uri="{C3380CC4-5D6E-409C-BE32-E72D297353CC}">
                <c16:uniqueId val="{00000009-6396-4477-9C5D-F4B97EFB4766}"/>
              </c:ext>
            </c:extLst>
          </c:dPt>
          <c:dPt>
            <c:idx val="89"/>
            <c:bubble3D val="0"/>
            <c:extLst xmlns:c16r2="http://schemas.microsoft.com/office/drawing/2015/06/chart">
              <c:ext xmlns:c16="http://schemas.microsoft.com/office/drawing/2014/chart" uri="{C3380CC4-5D6E-409C-BE32-E72D297353CC}">
                <c16:uniqueId val="{00000010-6396-4477-9C5D-F4B97EFB4766}"/>
              </c:ext>
            </c:extLst>
          </c:dPt>
          <c:dPt>
            <c:idx val="90"/>
            <c:bubble3D val="0"/>
            <c:extLst xmlns:c16r2="http://schemas.microsoft.com/office/drawing/2015/06/chart">
              <c:ext xmlns:c16="http://schemas.microsoft.com/office/drawing/2014/chart" uri="{C3380CC4-5D6E-409C-BE32-E72D297353CC}">
                <c16:uniqueId val="{00000001-6396-4477-9C5D-F4B97EFB4766}"/>
              </c:ext>
            </c:extLst>
          </c:dPt>
          <c:dPt>
            <c:idx val="91"/>
            <c:bubble3D val="0"/>
            <c:extLst xmlns:c16r2="http://schemas.microsoft.com/office/drawing/2015/06/chart">
              <c:ext xmlns:c16="http://schemas.microsoft.com/office/drawing/2014/chart" uri="{C3380CC4-5D6E-409C-BE32-E72D297353CC}">
                <c16:uniqueId val="{00000003-6396-4477-9C5D-F4B97EFB4766}"/>
              </c:ext>
            </c:extLst>
          </c:dPt>
          <c:dPt>
            <c:idx val="92"/>
            <c:bubble3D val="0"/>
            <c:extLst xmlns:c16r2="http://schemas.microsoft.com/office/drawing/2015/06/chart">
              <c:ext xmlns:c16="http://schemas.microsoft.com/office/drawing/2014/chart" uri="{C3380CC4-5D6E-409C-BE32-E72D297353CC}">
                <c16:uniqueId val="{00000005-6396-4477-9C5D-F4B97EFB4766}"/>
              </c:ext>
            </c:extLst>
          </c:dPt>
          <c:cat>
            <c:strRef>
              <c:f>'Constant Sharpe'!$G$15:$G$130</c:f>
              <c:strCache>
                <c:ptCount val="116"/>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pt idx="64">
                  <c:v>4Q2004</c:v>
                </c:pt>
                <c:pt idx="65">
                  <c:v>3Q2004</c:v>
                </c:pt>
                <c:pt idx="66">
                  <c:v>2Q2004</c:v>
                </c:pt>
                <c:pt idx="67">
                  <c:v>1Q2004</c:v>
                </c:pt>
                <c:pt idx="68">
                  <c:v>4Q2003</c:v>
                </c:pt>
                <c:pt idx="69">
                  <c:v>3Q2003</c:v>
                </c:pt>
                <c:pt idx="70">
                  <c:v>2Q2003</c:v>
                </c:pt>
                <c:pt idx="71">
                  <c:v>1Q2003</c:v>
                </c:pt>
                <c:pt idx="72">
                  <c:v>4Q2002</c:v>
                </c:pt>
                <c:pt idx="73">
                  <c:v>3Q2002</c:v>
                </c:pt>
                <c:pt idx="74">
                  <c:v>2Q2002</c:v>
                </c:pt>
                <c:pt idx="75">
                  <c:v>1Q2002</c:v>
                </c:pt>
                <c:pt idx="76">
                  <c:v>4Q2001</c:v>
                </c:pt>
                <c:pt idx="77">
                  <c:v>3Q2001</c:v>
                </c:pt>
                <c:pt idx="78">
                  <c:v>2Q2001</c:v>
                </c:pt>
                <c:pt idx="79">
                  <c:v>1Q2001</c:v>
                </c:pt>
                <c:pt idx="80">
                  <c:v>4Q2000</c:v>
                </c:pt>
                <c:pt idx="81">
                  <c:v>3Q2000</c:v>
                </c:pt>
                <c:pt idx="82">
                  <c:v>2Q2000</c:v>
                </c:pt>
                <c:pt idx="83">
                  <c:v>1Q2000</c:v>
                </c:pt>
                <c:pt idx="84">
                  <c:v>4Q1999</c:v>
                </c:pt>
                <c:pt idx="85">
                  <c:v>3Q1999</c:v>
                </c:pt>
                <c:pt idx="86">
                  <c:v>2Q1999</c:v>
                </c:pt>
                <c:pt idx="87">
                  <c:v>1Q1999</c:v>
                </c:pt>
                <c:pt idx="88">
                  <c:v>4Q1998</c:v>
                </c:pt>
                <c:pt idx="89">
                  <c:v>3Q1998</c:v>
                </c:pt>
                <c:pt idx="90">
                  <c:v>2Q1998</c:v>
                </c:pt>
                <c:pt idx="91">
                  <c:v>1Q1998</c:v>
                </c:pt>
                <c:pt idx="92">
                  <c:v>4Q1997</c:v>
                </c:pt>
                <c:pt idx="93">
                  <c:v>3Q1997</c:v>
                </c:pt>
                <c:pt idx="94">
                  <c:v>2Q1997</c:v>
                </c:pt>
                <c:pt idx="95">
                  <c:v>1Q1997</c:v>
                </c:pt>
                <c:pt idx="96">
                  <c:v>4Q1996</c:v>
                </c:pt>
                <c:pt idx="97">
                  <c:v>3Q1996</c:v>
                </c:pt>
                <c:pt idx="98">
                  <c:v>2Q1996</c:v>
                </c:pt>
                <c:pt idx="99">
                  <c:v>1Q1996</c:v>
                </c:pt>
                <c:pt idx="100">
                  <c:v>4Q1995</c:v>
                </c:pt>
                <c:pt idx="101">
                  <c:v>3Q1995</c:v>
                </c:pt>
                <c:pt idx="102">
                  <c:v>2Q1995</c:v>
                </c:pt>
                <c:pt idx="103">
                  <c:v>1Q1995</c:v>
                </c:pt>
                <c:pt idx="104">
                  <c:v>4Q1994</c:v>
                </c:pt>
                <c:pt idx="105">
                  <c:v>3Q1994</c:v>
                </c:pt>
                <c:pt idx="106">
                  <c:v>2Q1994</c:v>
                </c:pt>
                <c:pt idx="107">
                  <c:v>1Q1994</c:v>
                </c:pt>
                <c:pt idx="108">
                  <c:v>4Q1993</c:v>
                </c:pt>
                <c:pt idx="109">
                  <c:v>3Q1993</c:v>
                </c:pt>
                <c:pt idx="110">
                  <c:v>2Q1993</c:v>
                </c:pt>
                <c:pt idx="111">
                  <c:v>1Q1993</c:v>
                </c:pt>
                <c:pt idx="112">
                  <c:v>4Q1992</c:v>
                </c:pt>
                <c:pt idx="113">
                  <c:v>3Q1992</c:v>
                </c:pt>
                <c:pt idx="114">
                  <c:v>2Q1992</c:v>
                </c:pt>
                <c:pt idx="115">
                  <c:v>1Q1992</c:v>
                </c:pt>
              </c:strCache>
            </c:strRef>
          </c:cat>
          <c:val>
            <c:numRef>
              <c:f>'Constant Sharpe'!$R$15:$R$130</c:f>
              <c:numCache>
                <c:formatCode>0.00%</c:formatCode>
                <c:ptCount val="116"/>
                <c:pt idx="0">
                  <c:v>0.102364320382622</c:v>
                </c:pt>
                <c:pt idx="1">
                  <c:v>0.0874761139980481</c:v>
                </c:pt>
                <c:pt idx="2">
                  <c:v>0.0792506369888599</c:v>
                </c:pt>
                <c:pt idx="3">
                  <c:v>0.0629947079386009</c:v>
                </c:pt>
                <c:pt idx="4">
                  <c:v>0.0517485232139955</c:v>
                </c:pt>
                <c:pt idx="5">
                  <c:v>0.0576571990087105</c:v>
                </c:pt>
                <c:pt idx="6" formatCode="0.0%">
                  <c:v>0.055061425363328</c:v>
                </c:pt>
                <c:pt idx="7" formatCode="0.0%">
                  <c:v>0.0552105454730689</c:v>
                </c:pt>
                <c:pt idx="8" formatCode="0.0%">
                  <c:v>0.0519027210223971</c:v>
                </c:pt>
                <c:pt idx="9" formatCode="0.0%">
                  <c:v>0.0435287128047295</c:v>
                </c:pt>
                <c:pt idx="10" formatCode="0.0%">
                  <c:v>0.0420382932204777</c:v>
                </c:pt>
                <c:pt idx="11" formatCode="0.0%">
                  <c:v>0.0389903796043387</c:v>
                </c:pt>
                <c:pt idx="12" formatCode="0.0%">
                  <c:v>0.0345774119456005</c:v>
                </c:pt>
                <c:pt idx="13" formatCode="0.0%">
                  <c:v>0.0375309141792448</c:v>
                </c:pt>
                <c:pt idx="14" formatCode="0.0%">
                  <c:v>0.0393151884184083</c:v>
                </c:pt>
                <c:pt idx="15" formatCode="0.0%">
                  <c:v>0.0426268423807741</c:v>
                </c:pt>
                <c:pt idx="16" formatCode="0.0%">
                  <c:v>0.0494801318383388</c:v>
                </c:pt>
                <c:pt idx="17" formatCode="0.0%">
                  <c:v>0.0517676113244075</c:v>
                </c:pt>
                <c:pt idx="18" formatCode="0.0%">
                  <c:v>0.0565005694305154</c:v>
                </c:pt>
                <c:pt idx="19" formatCode="0.0%">
                  <c:v>0.0549920399000227</c:v>
                </c:pt>
                <c:pt idx="20" formatCode="0.0%">
                  <c:v>0.0519360804324417</c:v>
                </c:pt>
                <c:pt idx="21" formatCode="0.0%">
                  <c:v>0.0511872331890004</c:v>
                </c:pt>
                <c:pt idx="22" formatCode="0.0%">
                  <c:v>0.0463286148625297</c:v>
                </c:pt>
                <c:pt idx="23" formatCode="0.0%">
                  <c:v>0.0455478423157792</c:v>
                </c:pt>
                <c:pt idx="24" formatCode="0.0%">
                  <c:v>0.0441950746721935</c:v>
                </c:pt>
                <c:pt idx="25" formatCode="0.0%">
                  <c:v>0.0427615496970659</c:v>
                </c:pt>
                <c:pt idx="26" formatCode="0.0%">
                  <c:v>0.0437021748930958</c:v>
                </c:pt>
                <c:pt idx="27" formatCode="0.0%">
                  <c:v>0.0453377272386258</c:v>
                </c:pt>
                <c:pt idx="28" formatCode="0.0%">
                  <c:v>0.0443232089944094</c:v>
                </c:pt>
                <c:pt idx="29" formatCode="0.0%">
                  <c:v>0.0462870859304663</c:v>
                </c:pt>
                <c:pt idx="30" formatCode="0.0%">
                  <c:v>0.0477778727388147</c:v>
                </c:pt>
                <c:pt idx="31" formatCode="0.0%">
                  <c:v>0.051829145023245</c:v>
                </c:pt>
                <c:pt idx="32" formatCode="0.0%">
                  <c:v>0.055473901018237</c:v>
                </c:pt>
                <c:pt idx="33" formatCode="0.0%">
                  <c:v>0.0657500786826772</c:v>
                </c:pt>
                <c:pt idx="34" formatCode="0.0%">
                  <c:v>0.0769647334380494</c:v>
                </c:pt>
                <c:pt idx="35" formatCode="0.0%">
                  <c:v>0.0749749509305987</c:v>
                </c:pt>
                <c:pt idx="36" formatCode="0.0%">
                  <c:v>0.0752950875460167</c:v>
                </c:pt>
                <c:pt idx="37" formatCode="0.0%">
                  <c:v>0.0670182004381257</c:v>
                </c:pt>
                <c:pt idx="38" formatCode="0.0%">
                  <c:v>0.0621086848518569</c:v>
                </c:pt>
                <c:pt idx="39" formatCode="0.0%">
                  <c:v>0.0690514004303529</c:v>
                </c:pt>
                <c:pt idx="40" formatCode="0.0%">
                  <c:v>0.0702474779867075</c:v>
                </c:pt>
                <c:pt idx="41" formatCode="0.0%">
                  <c:v>0.0731711480943935</c:v>
                </c:pt>
                <c:pt idx="42" formatCode="0.0%">
                  <c:v>0.0741083639045997</c:v>
                </c:pt>
                <c:pt idx="43" formatCode="0.0%">
                  <c:v>0.0792705915176447</c:v>
                </c:pt>
                <c:pt idx="44" formatCode="0.0%">
                  <c:v>0.09863615850114</c:v>
                </c:pt>
                <c:pt idx="45" formatCode="0.0%">
                  <c:v>0.126320980209275</c:v>
                </c:pt>
                <c:pt idx="46" formatCode="0.0%">
                  <c:v>0.125999158540265</c:v>
                </c:pt>
                <c:pt idx="47" formatCode="0.0%">
                  <c:v>0.117589692710029</c:v>
                </c:pt>
                <c:pt idx="48" formatCode="0.0%">
                  <c:v>0.102876859467151</c:v>
                </c:pt>
                <c:pt idx="49" formatCode="0.0%">
                  <c:v>0.0743813345156286</c:v>
                </c:pt>
                <c:pt idx="50" formatCode="0.0%">
                  <c:v>0.0716662360982993</c:v>
                </c:pt>
                <c:pt idx="51" formatCode="0.0%">
                  <c:v>0.0650480569412675</c:v>
                </c:pt>
                <c:pt idx="52" formatCode="0.0%">
                  <c:v>0.0544835919033674</c:v>
                </c:pt>
                <c:pt idx="53" formatCode="0.0%">
                  <c:v>0.0459153781885564</c:v>
                </c:pt>
                <c:pt idx="54" formatCode="0.0%">
                  <c:v>0.0396956688736467</c:v>
                </c:pt>
                <c:pt idx="55" formatCode="0.0%">
                  <c:v>0.0403166254935275</c:v>
                </c:pt>
                <c:pt idx="56" formatCode="0.0%">
                  <c:v>0.039910470462698</c:v>
                </c:pt>
                <c:pt idx="57" formatCode="0.0%">
                  <c:v>0.0412717508614606</c:v>
                </c:pt>
                <c:pt idx="58" formatCode="0.0%">
                  <c:v>0.040214135799266</c:v>
                </c:pt>
                <c:pt idx="59" formatCode="0.0%">
                  <c:v>0.0393402526164262</c:v>
                </c:pt>
                <c:pt idx="60" formatCode="0.0%">
                  <c:v>0.0399205338440833</c:v>
                </c:pt>
                <c:pt idx="61" formatCode="0.0%">
                  <c:v>0.0405971539059853</c:v>
                </c:pt>
                <c:pt idx="62" formatCode="0.0%">
                  <c:v>0.0430824744077545</c:v>
                </c:pt>
                <c:pt idx="63" formatCode="0.0%">
                  <c:v>0.0452821370830012</c:v>
                </c:pt>
                <c:pt idx="64" formatCode="0.0%">
                  <c:v>0.0483002819106254</c:v>
                </c:pt>
                <c:pt idx="65" formatCode="0.0%">
                  <c:v>0.0512459912623867</c:v>
                </c:pt>
                <c:pt idx="66" formatCode="0.0%">
                  <c:v>0.0542696294329776</c:v>
                </c:pt>
                <c:pt idx="67" formatCode="0.0%">
                  <c:v>0.0583998568309498</c:v>
                </c:pt>
                <c:pt idx="68" formatCode="0.0%">
                  <c:v>0.0688111470265928</c:v>
                </c:pt>
                <c:pt idx="69" formatCode="0.0%">
                  <c:v>0.0791756799309381</c:v>
                </c:pt>
                <c:pt idx="70" formatCode="0.0%">
                  <c:v>0.0914494688966101</c:v>
                </c:pt>
                <c:pt idx="71" formatCode="0.0%">
                  <c:v>0.0915351905973227</c:v>
                </c:pt>
                <c:pt idx="72" formatCode="0.0%">
                  <c:v>0.0847865548866739</c:v>
                </c:pt>
                <c:pt idx="73" formatCode="0.0%">
                  <c:v>0.0825889621956773</c:v>
                </c:pt>
                <c:pt idx="74" formatCode="0.0%">
                  <c:v>0.075037659651083</c:v>
                </c:pt>
                <c:pt idx="75" formatCode="0.0%">
                  <c:v>0.0768144367203993</c:v>
                </c:pt>
                <c:pt idx="76" formatCode="0.0%">
                  <c:v>0.0802199261032556</c:v>
                </c:pt>
                <c:pt idx="77" formatCode="0.0%">
                  <c:v>0.0787470714273749</c:v>
                </c:pt>
                <c:pt idx="78" formatCode="0.0%">
                  <c:v>0.0739076917780528</c:v>
                </c:pt>
                <c:pt idx="79" formatCode="0.0%">
                  <c:v>0.0746869799663495</c:v>
                </c:pt>
                <c:pt idx="80" formatCode="0.0%">
                  <c:v>0.0726764164405442</c:v>
                </c:pt>
                <c:pt idx="81" formatCode="0.0%">
                  <c:v>0.0700580081278675</c:v>
                </c:pt>
                <c:pt idx="82" formatCode="0.0%">
                  <c:v>0.0732920541092985</c:v>
                </c:pt>
                <c:pt idx="83" formatCode="0.0%">
                  <c:v>0.0728868242513843</c:v>
                </c:pt>
                <c:pt idx="84" formatCode="0.0%">
                  <c:v>0.0760819058234005</c:v>
                </c:pt>
                <c:pt idx="85" formatCode="0.0%">
                  <c:v>0.0814434085588813</c:v>
                </c:pt>
                <c:pt idx="86" formatCode="0.0%">
                  <c:v>0.0864542316096287</c:v>
                </c:pt>
                <c:pt idx="87" formatCode="0.0%">
                  <c:v>0.0842176745092173</c:v>
                </c:pt>
                <c:pt idx="88" formatCode="0.0%">
                  <c:v>0.0795964955526183</c:v>
                </c:pt>
                <c:pt idx="89" formatCode="0.0%">
                  <c:v>0.0776872394912915</c:v>
                </c:pt>
                <c:pt idx="90" formatCode="0.0%">
                  <c:v>0.0719984357167261</c:v>
                </c:pt>
                <c:pt idx="91" formatCode="0.0%">
                  <c:v>0.0707437817335685</c:v>
                </c:pt>
                <c:pt idx="92" formatCode="0.0%">
                  <c:v>0.0696527782699532</c:v>
                </c:pt>
                <c:pt idx="93" formatCode="0.0%">
                  <c:v>0.0619534109695825</c:v>
                </c:pt>
                <c:pt idx="94" formatCode="0.0%">
                  <c:v>0.0575348469419405</c:v>
                </c:pt>
                <c:pt idx="95" formatCode="0.0%">
                  <c:v>0.0547683738734875</c:v>
                </c:pt>
                <c:pt idx="96" formatCode="0.0%">
                  <c:v>0.0512459912623867</c:v>
                </c:pt>
                <c:pt idx="97" formatCode="0.0%">
                  <c:v>0.0478872591708282</c:v>
                </c:pt>
                <c:pt idx="98" formatCode="0.0%">
                  <c:v>0.0445285270792697</c:v>
                </c:pt>
                <c:pt idx="99" formatCode="0.0%">
                  <c:v>0.0412711024521898</c:v>
                </c:pt>
                <c:pt idx="100" formatCode="0.0%">
                  <c:v>0.0386137297300983</c:v>
                </c:pt>
                <c:pt idx="101" formatCode="0.0%">
                  <c:v>0.0404606427363613</c:v>
                </c:pt>
                <c:pt idx="102" formatCode="0.0%">
                  <c:v>0.0404996071457761</c:v>
                </c:pt>
                <c:pt idx="103" formatCode="0.0%">
                  <c:v>0.0423075557426243</c:v>
                </c:pt>
                <c:pt idx="104" formatCode="0.0%">
                  <c:v>0.0434375236156544</c:v>
                </c:pt>
                <c:pt idx="105" formatCode="0.0%">
                  <c:v>0.041216552279009</c:v>
                </c:pt>
                <c:pt idx="106" formatCode="0.0%">
                  <c:v>0.0409048370036904</c:v>
                </c:pt>
                <c:pt idx="107" formatCode="0.0%">
                  <c:v>0.0397047331937135</c:v>
                </c:pt>
                <c:pt idx="108" formatCode="0.0%">
                  <c:v>0.0395644613198201</c:v>
                </c:pt>
                <c:pt idx="109" formatCode="0.0%">
                  <c:v>0.0413879956804343</c:v>
                </c:pt>
                <c:pt idx="110" formatCode="0.0%">
                  <c:v>0.0427751286556023</c:v>
                </c:pt>
                <c:pt idx="111" formatCode="0.0%">
                  <c:v>0.0448402423545884</c:v>
                </c:pt>
                <c:pt idx="112" formatCode="0.0%">
                  <c:v>0.0481911815642639</c:v>
                </c:pt>
                <c:pt idx="113" formatCode="0.0%">
                  <c:v>0.0502952596726648</c:v>
                </c:pt>
                <c:pt idx="114" formatCode="0.0%">
                  <c:v>0.0524227164267146</c:v>
                </c:pt>
                <c:pt idx="115" formatCode="0.0%">
                  <c:v>0.0536150273548085</c:v>
                </c:pt>
              </c:numCache>
            </c:numRef>
          </c:val>
          <c:smooth val="0"/>
          <c:extLst xmlns:c16r2="http://schemas.microsoft.com/office/drawing/2015/06/chart">
            <c:ext xmlns:c16="http://schemas.microsoft.com/office/drawing/2014/chart" uri="{C3380CC4-5D6E-409C-BE32-E72D297353CC}">
              <c16:uniqueId val="{00000006-6396-4477-9C5D-F4B97EFB4766}"/>
            </c:ext>
          </c:extLst>
        </c:ser>
        <c:ser>
          <c:idx val="1"/>
          <c:order val="1"/>
          <c:tx>
            <c:strRef>
              <c:f>'Constant Sharpe'!$S$6</c:f>
              <c:strCache>
                <c:ptCount val="1"/>
                <c:pt idx="0">
                  <c:v>Historic Average ERP</c:v>
                </c:pt>
              </c:strCache>
            </c:strRef>
          </c:tx>
          <c:spPr>
            <a:ln>
              <a:solidFill>
                <a:schemeClr val="bg2">
                  <a:lumMod val="75000"/>
                </a:schemeClr>
              </a:solidFill>
            </a:ln>
          </c:spPr>
          <c:marker>
            <c:symbol val="none"/>
          </c:marker>
          <c:cat>
            <c:strRef>
              <c:f>'Constant Sharpe'!$G$15:$G$130</c:f>
              <c:strCache>
                <c:ptCount val="116"/>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pt idx="64">
                  <c:v>4Q2004</c:v>
                </c:pt>
                <c:pt idx="65">
                  <c:v>3Q2004</c:v>
                </c:pt>
                <c:pt idx="66">
                  <c:v>2Q2004</c:v>
                </c:pt>
                <c:pt idx="67">
                  <c:v>1Q2004</c:v>
                </c:pt>
                <c:pt idx="68">
                  <c:v>4Q2003</c:v>
                </c:pt>
                <c:pt idx="69">
                  <c:v>3Q2003</c:v>
                </c:pt>
                <c:pt idx="70">
                  <c:v>2Q2003</c:v>
                </c:pt>
                <c:pt idx="71">
                  <c:v>1Q2003</c:v>
                </c:pt>
                <c:pt idx="72">
                  <c:v>4Q2002</c:v>
                </c:pt>
                <c:pt idx="73">
                  <c:v>3Q2002</c:v>
                </c:pt>
                <c:pt idx="74">
                  <c:v>2Q2002</c:v>
                </c:pt>
                <c:pt idx="75">
                  <c:v>1Q2002</c:v>
                </c:pt>
                <c:pt idx="76">
                  <c:v>4Q2001</c:v>
                </c:pt>
                <c:pt idx="77">
                  <c:v>3Q2001</c:v>
                </c:pt>
                <c:pt idx="78">
                  <c:v>2Q2001</c:v>
                </c:pt>
                <c:pt idx="79">
                  <c:v>1Q2001</c:v>
                </c:pt>
                <c:pt idx="80">
                  <c:v>4Q2000</c:v>
                </c:pt>
                <c:pt idx="81">
                  <c:v>3Q2000</c:v>
                </c:pt>
                <c:pt idx="82">
                  <c:v>2Q2000</c:v>
                </c:pt>
                <c:pt idx="83">
                  <c:v>1Q2000</c:v>
                </c:pt>
                <c:pt idx="84">
                  <c:v>4Q1999</c:v>
                </c:pt>
                <c:pt idx="85">
                  <c:v>3Q1999</c:v>
                </c:pt>
                <c:pt idx="86">
                  <c:v>2Q1999</c:v>
                </c:pt>
                <c:pt idx="87">
                  <c:v>1Q1999</c:v>
                </c:pt>
                <c:pt idx="88">
                  <c:v>4Q1998</c:v>
                </c:pt>
                <c:pt idx="89">
                  <c:v>3Q1998</c:v>
                </c:pt>
                <c:pt idx="90">
                  <c:v>2Q1998</c:v>
                </c:pt>
                <c:pt idx="91">
                  <c:v>1Q1998</c:v>
                </c:pt>
                <c:pt idx="92">
                  <c:v>4Q1997</c:v>
                </c:pt>
                <c:pt idx="93">
                  <c:v>3Q1997</c:v>
                </c:pt>
                <c:pt idx="94">
                  <c:v>2Q1997</c:v>
                </c:pt>
                <c:pt idx="95">
                  <c:v>1Q1997</c:v>
                </c:pt>
                <c:pt idx="96">
                  <c:v>4Q1996</c:v>
                </c:pt>
                <c:pt idx="97">
                  <c:v>3Q1996</c:v>
                </c:pt>
                <c:pt idx="98">
                  <c:v>2Q1996</c:v>
                </c:pt>
                <c:pt idx="99">
                  <c:v>1Q1996</c:v>
                </c:pt>
                <c:pt idx="100">
                  <c:v>4Q1995</c:v>
                </c:pt>
                <c:pt idx="101">
                  <c:v>3Q1995</c:v>
                </c:pt>
                <c:pt idx="102">
                  <c:v>2Q1995</c:v>
                </c:pt>
                <c:pt idx="103">
                  <c:v>1Q1995</c:v>
                </c:pt>
                <c:pt idx="104">
                  <c:v>4Q1994</c:v>
                </c:pt>
                <c:pt idx="105">
                  <c:v>3Q1994</c:v>
                </c:pt>
                <c:pt idx="106">
                  <c:v>2Q1994</c:v>
                </c:pt>
                <c:pt idx="107">
                  <c:v>1Q1994</c:v>
                </c:pt>
                <c:pt idx="108">
                  <c:v>4Q1993</c:v>
                </c:pt>
                <c:pt idx="109">
                  <c:v>3Q1993</c:v>
                </c:pt>
                <c:pt idx="110">
                  <c:v>2Q1993</c:v>
                </c:pt>
                <c:pt idx="111">
                  <c:v>1Q1993</c:v>
                </c:pt>
                <c:pt idx="112">
                  <c:v>4Q1992</c:v>
                </c:pt>
                <c:pt idx="113">
                  <c:v>3Q1992</c:v>
                </c:pt>
                <c:pt idx="114">
                  <c:v>2Q1992</c:v>
                </c:pt>
                <c:pt idx="115">
                  <c:v>1Q1992</c:v>
                </c:pt>
              </c:strCache>
            </c:strRef>
          </c:cat>
          <c:val>
            <c:numRef>
              <c:f>'Constant Sharpe'!$S$15:$S$130</c:f>
              <c:numCache>
                <c:formatCode>0.0%</c:formatCode>
                <c:ptCount val="116"/>
                <c:pt idx="0">
                  <c:v>0.0600525159681807</c:v>
                </c:pt>
                <c:pt idx="1">
                  <c:v>0.0600525159681807</c:v>
                </c:pt>
                <c:pt idx="2">
                  <c:v>0.0598119580907258</c:v>
                </c:pt>
                <c:pt idx="3">
                  <c:v>0.0596399343836626</c:v>
                </c:pt>
                <c:pt idx="4">
                  <c:v>0.0596099810483507</c:v>
                </c:pt>
                <c:pt idx="5">
                  <c:v>0.0596808049928043</c:v>
                </c:pt>
                <c:pt idx="6">
                  <c:v>0.0596992014108415</c:v>
                </c:pt>
                <c:pt idx="7">
                  <c:v>0.0597417498149472</c:v>
                </c:pt>
                <c:pt idx="8">
                  <c:v>0.0597837054107053</c:v>
                </c:pt>
                <c:pt idx="9">
                  <c:v>0.0598573594704091</c:v>
                </c:pt>
                <c:pt idx="10">
                  <c:v>0.0598573594704091</c:v>
                </c:pt>
                <c:pt idx="11">
                  <c:v>0.0598573594704091</c:v>
                </c:pt>
                <c:pt idx="12">
                  <c:v>0.0598573594704091</c:v>
                </c:pt>
                <c:pt idx="13">
                  <c:v>0.0598573594704091</c:v>
                </c:pt>
                <c:pt idx="14">
                  <c:v>0.0598573594704091</c:v>
                </c:pt>
                <c:pt idx="15">
                  <c:v>0.0598573594704091</c:v>
                </c:pt>
                <c:pt idx="16">
                  <c:v>0.0598573594704091</c:v>
                </c:pt>
                <c:pt idx="17">
                  <c:v>0.0598573594704091</c:v>
                </c:pt>
                <c:pt idx="18">
                  <c:v>0.0598573594704091</c:v>
                </c:pt>
                <c:pt idx="19">
                  <c:v>0.0598573594704091</c:v>
                </c:pt>
                <c:pt idx="20">
                  <c:v>0.0598573594704091</c:v>
                </c:pt>
                <c:pt idx="21">
                  <c:v>0.0598573594704091</c:v>
                </c:pt>
                <c:pt idx="22">
                  <c:v>0.0598573594704091</c:v>
                </c:pt>
                <c:pt idx="23">
                  <c:v>0.0598573594704091</c:v>
                </c:pt>
                <c:pt idx="24">
                  <c:v>0.0598573594704091</c:v>
                </c:pt>
                <c:pt idx="25">
                  <c:v>0.0598573594704091</c:v>
                </c:pt>
                <c:pt idx="26">
                  <c:v>0.0598573594704091</c:v>
                </c:pt>
                <c:pt idx="27">
                  <c:v>0.0598573594704091</c:v>
                </c:pt>
                <c:pt idx="28">
                  <c:v>0.0598573594704091</c:v>
                </c:pt>
                <c:pt idx="29">
                  <c:v>0.0598573594704091</c:v>
                </c:pt>
                <c:pt idx="30">
                  <c:v>0.0598573594704091</c:v>
                </c:pt>
                <c:pt idx="31">
                  <c:v>0.0598573594704091</c:v>
                </c:pt>
                <c:pt idx="32">
                  <c:v>0.0598573594704091</c:v>
                </c:pt>
                <c:pt idx="33">
                  <c:v>0.0598573594704091</c:v>
                </c:pt>
                <c:pt idx="34">
                  <c:v>0.0598573594704091</c:v>
                </c:pt>
                <c:pt idx="35">
                  <c:v>0.0598573594704091</c:v>
                </c:pt>
                <c:pt idx="36">
                  <c:v>0.0598573594704091</c:v>
                </c:pt>
                <c:pt idx="37">
                  <c:v>0.0598573594704091</c:v>
                </c:pt>
                <c:pt idx="38">
                  <c:v>0.0598573594704091</c:v>
                </c:pt>
                <c:pt idx="39">
                  <c:v>0.0598573594704091</c:v>
                </c:pt>
                <c:pt idx="40">
                  <c:v>0.0598573594704091</c:v>
                </c:pt>
                <c:pt idx="41">
                  <c:v>0.0598573594704091</c:v>
                </c:pt>
                <c:pt idx="42">
                  <c:v>0.0598573594704091</c:v>
                </c:pt>
                <c:pt idx="43">
                  <c:v>0.0598573594704091</c:v>
                </c:pt>
                <c:pt idx="44">
                  <c:v>0.0598573594704091</c:v>
                </c:pt>
                <c:pt idx="45">
                  <c:v>0.0598573594704091</c:v>
                </c:pt>
                <c:pt idx="46">
                  <c:v>0.0598573594704091</c:v>
                </c:pt>
                <c:pt idx="47">
                  <c:v>0.0598573594704091</c:v>
                </c:pt>
                <c:pt idx="48">
                  <c:v>0.0598573594704091</c:v>
                </c:pt>
                <c:pt idx="49">
                  <c:v>0.0598573594704091</c:v>
                </c:pt>
                <c:pt idx="50">
                  <c:v>0.0598573594704091</c:v>
                </c:pt>
                <c:pt idx="51">
                  <c:v>0.0598573594704091</c:v>
                </c:pt>
                <c:pt idx="52">
                  <c:v>0.0598573594704091</c:v>
                </c:pt>
                <c:pt idx="53">
                  <c:v>0.0598573594704091</c:v>
                </c:pt>
                <c:pt idx="54">
                  <c:v>0.0598573594704091</c:v>
                </c:pt>
                <c:pt idx="55">
                  <c:v>0.0598573594704091</c:v>
                </c:pt>
                <c:pt idx="56">
                  <c:v>0.0598573594704091</c:v>
                </c:pt>
                <c:pt idx="57">
                  <c:v>0.0598573594704091</c:v>
                </c:pt>
                <c:pt idx="58">
                  <c:v>0.0598573594704091</c:v>
                </c:pt>
                <c:pt idx="59">
                  <c:v>0.0598573594704091</c:v>
                </c:pt>
                <c:pt idx="60">
                  <c:v>0.0598573594704091</c:v>
                </c:pt>
                <c:pt idx="61">
                  <c:v>0.0598573594704091</c:v>
                </c:pt>
                <c:pt idx="62">
                  <c:v>0.0598573594704091</c:v>
                </c:pt>
                <c:pt idx="63">
                  <c:v>0.0598573594704091</c:v>
                </c:pt>
                <c:pt idx="64">
                  <c:v>0.0598573594704091</c:v>
                </c:pt>
                <c:pt idx="65">
                  <c:v>0.0598573594704091</c:v>
                </c:pt>
                <c:pt idx="66">
                  <c:v>0.0598573594704091</c:v>
                </c:pt>
                <c:pt idx="67">
                  <c:v>0.0598573594704091</c:v>
                </c:pt>
                <c:pt idx="68">
                  <c:v>0.0598573594704091</c:v>
                </c:pt>
                <c:pt idx="69">
                  <c:v>0.0598573594704091</c:v>
                </c:pt>
                <c:pt idx="70">
                  <c:v>0.0598573594704091</c:v>
                </c:pt>
                <c:pt idx="71">
                  <c:v>0.0598573594704091</c:v>
                </c:pt>
                <c:pt idx="72">
                  <c:v>0.0598573594704091</c:v>
                </c:pt>
                <c:pt idx="73">
                  <c:v>0.0598573594704091</c:v>
                </c:pt>
                <c:pt idx="74">
                  <c:v>0.0598573594704091</c:v>
                </c:pt>
                <c:pt idx="75">
                  <c:v>0.0598573594704091</c:v>
                </c:pt>
                <c:pt idx="76">
                  <c:v>0.0598573594704091</c:v>
                </c:pt>
                <c:pt idx="77">
                  <c:v>0.0598573594704091</c:v>
                </c:pt>
                <c:pt idx="78">
                  <c:v>0.0598573594704091</c:v>
                </c:pt>
                <c:pt idx="79">
                  <c:v>0.0598573594704091</c:v>
                </c:pt>
                <c:pt idx="80">
                  <c:v>0.0598573594704091</c:v>
                </c:pt>
                <c:pt idx="81">
                  <c:v>0.0598573594704091</c:v>
                </c:pt>
                <c:pt idx="82">
                  <c:v>0.0598573594704091</c:v>
                </c:pt>
                <c:pt idx="83">
                  <c:v>0.0598573594704091</c:v>
                </c:pt>
                <c:pt idx="84">
                  <c:v>0.0598573594704091</c:v>
                </c:pt>
                <c:pt idx="85">
                  <c:v>0.0598573594704091</c:v>
                </c:pt>
                <c:pt idx="86">
                  <c:v>0.0598573594704091</c:v>
                </c:pt>
                <c:pt idx="87">
                  <c:v>0.0598573594704091</c:v>
                </c:pt>
                <c:pt idx="88">
                  <c:v>0.0598573594704091</c:v>
                </c:pt>
                <c:pt idx="89">
                  <c:v>0.0598573594704091</c:v>
                </c:pt>
                <c:pt idx="90">
                  <c:v>0.0598573594704091</c:v>
                </c:pt>
                <c:pt idx="91">
                  <c:v>0.0598573594704091</c:v>
                </c:pt>
                <c:pt idx="92">
                  <c:v>0.0598573594704091</c:v>
                </c:pt>
                <c:pt idx="93">
                  <c:v>0.0598573594704091</c:v>
                </c:pt>
                <c:pt idx="94">
                  <c:v>0.0598573594704091</c:v>
                </c:pt>
                <c:pt idx="95">
                  <c:v>0.0598573594704091</c:v>
                </c:pt>
                <c:pt idx="96">
                  <c:v>0.0598573594704091</c:v>
                </c:pt>
                <c:pt idx="97">
                  <c:v>0.0598573594704091</c:v>
                </c:pt>
                <c:pt idx="98">
                  <c:v>0.0598573594704091</c:v>
                </c:pt>
                <c:pt idx="99">
                  <c:v>0.0598573594704091</c:v>
                </c:pt>
                <c:pt idx="100">
                  <c:v>0.0598573594704091</c:v>
                </c:pt>
                <c:pt idx="101">
                  <c:v>0.0598573594704091</c:v>
                </c:pt>
                <c:pt idx="102">
                  <c:v>0.0598573594704091</c:v>
                </c:pt>
                <c:pt idx="103">
                  <c:v>0.0598573594704091</c:v>
                </c:pt>
                <c:pt idx="104">
                  <c:v>0.0598573594704091</c:v>
                </c:pt>
                <c:pt idx="105">
                  <c:v>0.0598573594704091</c:v>
                </c:pt>
                <c:pt idx="106">
                  <c:v>0.0598573594704091</c:v>
                </c:pt>
                <c:pt idx="107">
                  <c:v>0.0598573594704091</c:v>
                </c:pt>
                <c:pt idx="108">
                  <c:v>0.0598573594704091</c:v>
                </c:pt>
                <c:pt idx="109">
                  <c:v>0.0598573594704091</c:v>
                </c:pt>
                <c:pt idx="110">
                  <c:v>0.0598573594704091</c:v>
                </c:pt>
                <c:pt idx="111">
                  <c:v>0.0598573594704091</c:v>
                </c:pt>
                <c:pt idx="112">
                  <c:v>0.0598573594704091</c:v>
                </c:pt>
                <c:pt idx="113">
                  <c:v>0.0598573594704091</c:v>
                </c:pt>
                <c:pt idx="114">
                  <c:v>0.0598573594704091</c:v>
                </c:pt>
                <c:pt idx="115">
                  <c:v>0.0598573594704091</c:v>
                </c:pt>
              </c:numCache>
            </c:numRef>
          </c:val>
          <c:smooth val="0"/>
          <c:extLst xmlns:c16r2="http://schemas.microsoft.com/office/drawing/2015/06/chart">
            <c:ext xmlns:c16="http://schemas.microsoft.com/office/drawing/2014/chart" uri="{C3380CC4-5D6E-409C-BE32-E72D297353CC}">
              <c16:uniqueId val="{00000007-6396-4477-9C5D-F4B97EFB4766}"/>
            </c:ext>
          </c:extLst>
        </c:ser>
        <c:dLbls>
          <c:showLegendKey val="0"/>
          <c:showVal val="0"/>
          <c:showCatName val="0"/>
          <c:showSerName val="0"/>
          <c:showPercent val="0"/>
          <c:showBubbleSize val="0"/>
        </c:dLbls>
        <c:smooth val="0"/>
        <c:axId val="-246985232"/>
        <c:axId val="46977472"/>
      </c:lineChart>
      <c:catAx>
        <c:axId val="-246985232"/>
        <c:scaling>
          <c:orientation val="maxMin"/>
        </c:scaling>
        <c:delete val="0"/>
        <c:axPos val="b"/>
        <c:numFmt formatCode="General" sourceLinked="0"/>
        <c:majorTickMark val="none"/>
        <c:minorTickMark val="none"/>
        <c:tickLblPos val="low"/>
        <c:txPr>
          <a:bodyPr rot="-4440000"/>
          <a:lstStyle/>
          <a:p>
            <a:pPr>
              <a:defRPr/>
            </a:pPr>
            <a:endParaRPr lang="en-US"/>
          </a:p>
        </c:txPr>
        <c:crossAx val="46977472"/>
        <c:crosses val="autoZero"/>
        <c:auto val="1"/>
        <c:lblAlgn val="ctr"/>
        <c:lblOffset val="100"/>
        <c:tickLblSkip val="4"/>
        <c:tickMarkSkip val="4"/>
        <c:noMultiLvlLbl val="0"/>
      </c:catAx>
      <c:valAx>
        <c:axId val="46977472"/>
        <c:scaling>
          <c:orientation val="minMax"/>
          <c:min val="0.02"/>
        </c:scaling>
        <c:delete val="0"/>
        <c:axPos val="l"/>
        <c:majorGridlines>
          <c:spPr>
            <a:ln>
              <a:prstDash val="dash"/>
            </a:ln>
          </c:spPr>
        </c:majorGridlines>
        <c:numFmt formatCode="0%" sourceLinked="0"/>
        <c:majorTickMark val="out"/>
        <c:minorTickMark val="none"/>
        <c:tickLblPos val="nextTo"/>
        <c:spPr>
          <a:ln>
            <a:noFill/>
          </a:ln>
        </c:spPr>
        <c:crossAx val="-246985232"/>
        <c:crosses val="max"/>
        <c:crossBetween val="between"/>
      </c:valAx>
    </c:plotArea>
    <c:legend>
      <c:legendPos val="b"/>
      <c:layout>
        <c:manualLayout>
          <c:xMode val="edge"/>
          <c:yMode val="edge"/>
          <c:x val="0.0599010579585086"/>
          <c:y val="0.845741835053728"/>
          <c:w val="0.820266264876137"/>
          <c:h val="0.12866635432567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'Constant Sharpe'!$L$6</c:f>
              <c:strCache>
                <c:ptCount val="1"/>
                <c:pt idx="0">
                  <c:v>Quarterly Average Spread (10yr minus Fed Funds Rate)</c:v>
                </c:pt>
              </c:strCache>
            </c:strRef>
          </c:tx>
          <c:spPr>
            <a:ln>
              <a:solidFill>
                <a:schemeClr val="tx1">
                  <a:lumMod val="65000"/>
                  <a:lumOff val="35000"/>
                </a:schemeClr>
              </a:solidFill>
            </a:ln>
          </c:spPr>
          <c:marker>
            <c:symbol val="none"/>
          </c:marker>
          <c:dPt>
            <c:idx val="1"/>
            <c:bubble3D val="0"/>
            <c:spPr>
              <a:ln>
                <a:solidFill>
                  <a:schemeClr val="accent1"/>
                </a:solidFill>
              </a:ln>
            </c:spPr>
            <c:extLst xmlns:c16r2="http://schemas.microsoft.com/office/drawing/2015/06/chart">
              <c:ext xmlns:c16="http://schemas.microsoft.com/office/drawing/2014/chart" uri="{C3380CC4-5D6E-409C-BE32-E72D297353CC}">
                <c16:uniqueId val="{00000001-8A0A-41D3-BB36-A59F05DC36A4}"/>
              </c:ext>
            </c:extLst>
          </c:dPt>
          <c:dPt>
            <c:idx val="2"/>
            <c:bubble3D val="0"/>
            <c:spPr>
              <a:ln>
                <a:solidFill>
                  <a:schemeClr val="accent1"/>
                </a:solidFill>
              </a:ln>
            </c:spPr>
            <c:extLst xmlns:c16r2="http://schemas.microsoft.com/office/drawing/2015/06/chart">
              <c:ext xmlns:c16="http://schemas.microsoft.com/office/drawing/2014/chart" uri="{C3380CC4-5D6E-409C-BE32-E72D297353CC}">
                <c16:uniqueId val="{00000003-8A0A-41D3-BB36-A59F05DC36A4}"/>
              </c:ext>
            </c:extLst>
          </c:dPt>
          <c:dPt>
            <c:idx val="3"/>
            <c:bubble3D val="0"/>
            <c:spPr>
              <a:ln>
                <a:solidFill>
                  <a:schemeClr val="accent1"/>
                </a:solidFill>
              </a:ln>
            </c:spPr>
            <c:extLst xmlns:c16r2="http://schemas.microsoft.com/office/drawing/2015/06/chart">
              <c:ext xmlns:c16="http://schemas.microsoft.com/office/drawing/2014/chart" uri="{C3380CC4-5D6E-409C-BE32-E72D297353CC}">
                <c16:uniqueId val="{00000005-8A0A-41D3-BB36-A59F05DC36A4}"/>
              </c:ext>
            </c:extLst>
          </c:dPt>
          <c:dPt>
            <c:idx val="4"/>
            <c:bubble3D val="0"/>
            <c:spPr>
              <a:ln>
                <a:solidFill>
                  <a:schemeClr val="accent1"/>
                </a:solidFill>
              </a:ln>
            </c:spPr>
            <c:extLst xmlns:c16r2="http://schemas.microsoft.com/office/drawing/2015/06/chart">
              <c:ext xmlns:c16="http://schemas.microsoft.com/office/drawing/2014/chart" uri="{C3380CC4-5D6E-409C-BE32-E72D297353CC}">
                <c16:uniqueId val="{00000007-8A0A-41D3-BB36-A59F05DC36A4}"/>
              </c:ext>
            </c:extLst>
          </c:dPt>
          <c:dPt>
            <c:idx val="5"/>
            <c:bubble3D val="0"/>
            <c:spPr>
              <a:ln>
                <a:solidFill>
                  <a:schemeClr val="accent1"/>
                </a:solidFill>
              </a:ln>
            </c:spPr>
            <c:extLst xmlns:c16r2="http://schemas.microsoft.com/office/drawing/2015/06/chart">
              <c:ext xmlns:c16="http://schemas.microsoft.com/office/drawing/2014/chart" uri="{C3380CC4-5D6E-409C-BE32-E72D297353CC}">
                <c16:uniqueId val="{00000009-8A0A-41D3-BB36-A59F05DC36A4}"/>
              </c:ext>
            </c:extLst>
          </c:dPt>
          <c:dPt>
            <c:idx val="6"/>
            <c:bubble3D val="0"/>
            <c:spPr>
              <a:ln>
                <a:solidFill>
                  <a:schemeClr val="accent1"/>
                </a:solidFill>
              </a:ln>
            </c:spPr>
            <c:extLst xmlns:c16r2="http://schemas.microsoft.com/office/drawing/2015/06/chart">
              <c:ext xmlns:c16="http://schemas.microsoft.com/office/drawing/2014/chart" uri="{C3380CC4-5D6E-409C-BE32-E72D297353CC}">
                <c16:uniqueId val="{0000000B-8A0A-41D3-BB36-A59F05DC36A4}"/>
              </c:ext>
            </c:extLst>
          </c:dPt>
          <c:dPt>
            <c:idx val="7"/>
            <c:bubble3D val="0"/>
            <c:spPr>
              <a:ln>
                <a:solidFill>
                  <a:schemeClr val="accent1"/>
                </a:solidFill>
              </a:ln>
            </c:spPr>
            <c:extLst xmlns:c16r2="http://schemas.microsoft.com/office/drawing/2015/06/chart">
              <c:ext xmlns:c16="http://schemas.microsoft.com/office/drawing/2014/chart" uri="{C3380CC4-5D6E-409C-BE32-E72D297353CC}">
                <c16:uniqueId val="{0000000D-8A0A-41D3-BB36-A59F05DC36A4}"/>
              </c:ext>
            </c:extLst>
          </c:dPt>
          <c:dPt>
            <c:idx val="8"/>
            <c:bubble3D val="0"/>
            <c:spPr>
              <a:ln>
                <a:solidFill>
                  <a:schemeClr val="accent1"/>
                </a:solidFill>
              </a:ln>
            </c:spPr>
            <c:extLst xmlns:c16r2="http://schemas.microsoft.com/office/drawing/2015/06/chart">
              <c:ext xmlns:c16="http://schemas.microsoft.com/office/drawing/2014/chart" uri="{C3380CC4-5D6E-409C-BE32-E72D297353CC}">
                <c16:uniqueId val="{0000000F-8A0A-41D3-BB36-A59F05DC36A4}"/>
              </c:ext>
            </c:extLst>
          </c:dPt>
          <c:dPt>
            <c:idx val="89"/>
            <c:bubble3D val="0"/>
            <c:extLst xmlns:c16r2="http://schemas.microsoft.com/office/drawing/2015/06/chart">
              <c:ext xmlns:c16="http://schemas.microsoft.com/office/drawing/2014/chart" uri="{C3380CC4-5D6E-409C-BE32-E72D297353CC}">
                <c16:uniqueId val="{00000010-8A0A-41D3-BB36-A59F05DC36A4}"/>
              </c:ext>
            </c:extLst>
          </c:dPt>
          <c:dPt>
            <c:idx val="90"/>
            <c:bubble3D val="0"/>
            <c:extLst xmlns:c16r2="http://schemas.microsoft.com/office/drawing/2015/06/chart">
              <c:ext xmlns:c16="http://schemas.microsoft.com/office/drawing/2014/chart" uri="{C3380CC4-5D6E-409C-BE32-E72D297353CC}">
                <c16:uniqueId val="{00000011-8A0A-41D3-BB36-A59F05DC36A4}"/>
              </c:ext>
            </c:extLst>
          </c:dPt>
          <c:dPt>
            <c:idx val="91"/>
            <c:bubble3D val="0"/>
            <c:extLst xmlns:c16r2="http://schemas.microsoft.com/office/drawing/2015/06/chart">
              <c:ext xmlns:c16="http://schemas.microsoft.com/office/drawing/2014/chart" uri="{C3380CC4-5D6E-409C-BE32-E72D297353CC}">
                <c16:uniqueId val="{00000012-8A0A-41D3-BB36-A59F05DC36A4}"/>
              </c:ext>
            </c:extLst>
          </c:dPt>
          <c:dPt>
            <c:idx val="92"/>
            <c:bubble3D val="0"/>
            <c:extLst xmlns:c16r2="http://schemas.microsoft.com/office/drawing/2015/06/chart">
              <c:ext xmlns:c16="http://schemas.microsoft.com/office/drawing/2014/chart" uri="{C3380CC4-5D6E-409C-BE32-E72D297353CC}">
                <c16:uniqueId val="{00000013-8A0A-41D3-BB36-A59F05DC36A4}"/>
              </c:ext>
            </c:extLst>
          </c:dPt>
          <c:cat>
            <c:strRef>
              <c:f>'Constant Sharpe'!$G$15:$G$78</c:f>
              <c:strCache>
                <c:ptCount val="64"/>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strCache>
            </c:strRef>
          </c:cat>
          <c:val>
            <c:numRef>
              <c:f>'Constant Sharpe'!$L$15:$L$78</c:f>
              <c:numCache>
                <c:formatCode>0.00%</c:formatCode>
                <c:ptCount val="64"/>
                <c:pt idx="0">
                  <c:v>0.0025</c:v>
                </c:pt>
                <c:pt idx="1">
                  <c:v>0.00560645161290323</c:v>
                </c:pt>
                <c:pt idx="2">
                  <c:v>0.0097169254658385</c:v>
                </c:pt>
                <c:pt idx="3">
                  <c:v>0.00115657349896481</c:v>
                </c:pt>
                <c:pt idx="4">
                  <c:v>0.00141771633384536</c:v>
                </c:pt>
                <c:pt idx="5">
                  <c:v>-0.00390535980148884</c:v>
                </c:pt>
                <c:pt idx="6">
                  <c:v>-0.000577173913043474</c:v>
                </c:pt>
                <c:pt idx="7">
                  <c:v>0.00251790145338529</c:v>
                </c:pt>
                <c:pt idx="8">
                  <c:v>0.00821612903225806</c:v>
                </c:pt>
                <c:pt idx="9">
                  <c:v>0.00996634744623659</c:v>
                </c:pt>
                <c:pt idx="10">
                  <c:v>0.0118165050167224</c:v>
                </c:pt>
                <c:pt idx="11">
                  <c:v>0.0130702764976958</c:v>
                </c:pt>
                <c:pt idx="12">
                  <c:v>0.0116767537122376</c:v>
                </c:pt>
                <c:pt idx="13">
                  <c:v>0.0108981182795699</c:v>
                </c:pt>
                <c:pt idx="14">
                  <c:v>0.0131714673913044</c:v>
                </c:pt>
                <c:pt idx="15">
                  <c:v>0.0174941391941392</c:v>
                </c:pt>
                <c:pt idx="16">
                  <c:v>0.0168354838709677</c:v>
                </c:pt>
                <c:pt idx="17">
                  <c:v>0.0116935980148883</c:v>
                </c:pt>
                <c:pt idx="18">
                  <c:v>0.0138257190635451</c:v>
                </c:pt>
                <c:pt idx="19">
                  <c:v>0.0156195652173913</c:v>
                </c:pt>
                <c:pt idx="20">
                  <c:v>0.0202830517153098</c:v>
                </c:pt>
                <c:pt idx="21">
                  <c:v>0.0209088337468983</c:v>
                </c:pt>
                <c:pt idx="22">
                  <c:v>0.0203603177257525</c:v>
                </c:pt>
                <c:pt idx="23">
                  <c:v>0.0185978908188586</c:v>
                </c:pt>
                <c:pt idx="24">
                  <c:v>0.0217887352790578</c:v>
                </c:pt>
                <c:pt idx="25">
                  <c:v>0.0241086021505376</c:v>
                </c:pt>
                <c:pt idx="26">
                  <c:v>0.0253200407608696</c:v>
                </c:pt>
                <c:pt idx="27">
                  <c:v>0.0269764090747962</c:v>
                </c:pt>
                <c:pt idx="28">
                  <c:v>0.0265727086533538</c:v>
                </c:pt>
                <c:pt idx="29">
                  <c:v>0.0261863854425145</c:v>
                </c:pt>
                <c:pt idx="30">
                  <c:v>0.0186891806020067</c:v>
                </c:pt>
                <c:pt idx="31">
                  <c:v>0.0180511979823455</c:v>
                </c:pt>
                <c:pt idx="32">
                  <c:v>0.0154569892473118</c:v>
                </c:pt>
                <c:pt idx="33">
                  <c:v>0.0149795530913978</c:v>
                </c:pt>
                <c:pt idx="34">
                  <c:v>0.0168036956521739</c:v>
                </c:pt>
                <c:pt idx="35">
                  <c:v>0.0193414078674948</c:v>
                </c:pt>
                <c:pt idx="36">
                  <c:v>0.0197048387096774</c:v>
                </c:pt>
                <c:pt idx="37">
                  <c:v>0.0234255913978495</c:v>
                </c:pt>
                <c:pt idx="38">
                  <c:v>0.0311095108695652</c:v>
                </c:pt>
                <c:pt idx="39">
                  <c:v>0.0330063492063492</c:v>
                </c:pt>
                <c:pt idx="40">
                  <c:v>0.0268371735791091</c:v>
                </c:pt>
                <c:pt idx="41">
                  <c:v>0.0259964267990075</c:v>
                </c:pt>
                <c:pt idx="42">
                  <c:v>0.0330697658862876</c:v>
                </c:pt>
                <c:pt idx="43">
                  <c:v>0.0358703296703297</c:v>
                </c:pt>
                <c:pt idx="44">
                  <c:v>0.0334373783922171</c:v>
                </c:pt>
                <c:pt idx="45">
                  <c:v>0.0336294623655914</c:v>
                </c:pt>
                <c:pt idx="46">
                  <c:v>0.0313342391304348</c:v>
                </c:pt>
                <c:pt idx="47">
                  <c:v>0.0254443105281815</c:v>
                </c:pt>
                <c:pt idx="48">
                  <c:v>0.0272272401433692</c:v>
                </c:pt>
                <c:pt idx="49">
                  <c:v>0.0191780976013234</c:v>
                </c:pt>
                <c:pt idx="50">
                  <c:v>0.0178557525083612</c:v>
                </c:pt>
                <c:pt idx="51">
                  <c:v>0.00491181626928471</c:v>
                </c:pt>
                <c:pt idx="52">
                  <c:v>-0.00224813108038916</c:v>
                </c:pt>
                <c:pt idx="53">
                  <c:v>-0.00333912970430108</c:v>
                </c:pt>
                <c:pt idx="54">
                  <c:v>-0.00409857859531775</c:v>
                </c:pt>
                <c:pt idx="55">
                  <c:v>-0.00574102564102567</c:v>
                </c:pt>
                <c:pt idx="56">
                  <c:v>-0.00613184843830002</c:v>
                </c:pt>
                <c:pt idx="57">
                  <c:v>-0.00345725806451613</c:v>
                </c:pt>
                <c:pt idx="58">
                  <c:v>0.00160788043478261</c:v>
                </c:pt>
                <c:pt idx="59">
                  <c:v>0.001240170940171</c:v>
                </c:pt>
                <c:pt idx="60">
                  <c:v>0.00508064516129034</c:v>
                </c:pt>
                <c:pt idx="61">
                  <c:v>0.00752105872622</c:v>
                </c:pt>
                <c:pt idx="62">
                  <c:v>0.0122188963210702</c:v>
                </c:pt>
                <c:pt idx="63">
                  <c:v>0.0183906416164481</c:v>
                </c:pt>
              </c:numCache>
            </c:numRef>
          </c:val>
          <c:smooth val="0"/>
          <c:extLst xmlns:c16r2="http://schemas.microsoft.com/office/drawing/2015/06/chart">
            <c:ext xmlns:c16="http://schemas.microsoft.com/office/drawing/2014/chart" uri="{C3380CC4-5D6E-409C-BE32-E72D297353CC}">
              <c16:uniqueId val="{00000014-8A0A-41D3-BB36-A59F05DC36A4}"/>
            </c:ext>
          </c:extLst>
        </c:ser>
        <c:ser>
          <c:idx val="1"/>
          <c:order val="1"/>
          <c:tx>
            <c:strRef>
              <c:f>'Constant Sharpe'!$M$6</c:f>
              <c:strCache>
                <c:ptCount val="1"/>
                <c:pt idx="0">
                  <c:v>Historic Average Spread</c:v>
                </c:pt>
              </c:strCache>
            </c:strRef>
          </c:tx>
          <c:spPr>
            <a:ln>
              <a:solidFill>
                <a:schemeClr val="bg2">
                  <a:lumMod val="75000"/>
                </a:schemeClr>
              </a:solidFill>
            </a:ln>
          </c:spPr>
          <c:marker>
            <c:symbol val="none"/>
          </c:marker>
          <c:cat>
            <c:strRef>
              <c:f>'Constant Sharpe'!$G$15:$G$78</c:f>
              <c:strCache>
                <c:ptCount val="64"/>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strCache>
            </c:strRef>
          </c:cat>
          <c:val>
            <c:numRef>
              <c:f>'Constant Sharpe'!$M$15:$M$78</c:f>
              <c:numCache>
                <c:formatCode>0.00%</c:formatCode>
                <c:ptCount val="64"/>
                <c:pt idx="0">
                  <c:v>0.0150432339989065</c:v>
                </c:pt>
                <c:pt idx="1">
                  <c:v>0.0150432339989065</c:v>
                </c:pt>
                <c:pt idx="2">
                  <c:v>0.0151954401664227</c:v>
                </c:pt>
                <c:pt idx="3">
                  <c:v>0.0152852518828257</c:v>
                </c:pt>
                <c:pt idx="4">
                  <c:v>0.0155207298558901</c:v>
                </c:pt>
                <c:pt idx="5">
                  <c:v>0.0157597639833824</c:v>
                </c:pt>
                <c:pt idx="6">
                  <c:v>0.0160988178417422</c:v>
                </c:pt>
                <c:pt idx="7">
                  <c:v>0.0163913791005981</c:v>
                </c:pt>
                <c:pt idx="8">
                  <c:v>0.0163913791005981</c:v>
                </c:pt>
                <c:pt idx="9">
                  <c:v>0.0163913791005981</c:v>
                </c:pt>
                <c:pt idx="10">
                  <c:v>0.0163913791005981</c:v>
                </c:pt>
                <c:pt idx="11">
                  <c:v>0.0163913791005981</c:v>
                </c:pt>
                <c:pt idx="12">
                  <c:v>0.0163913791005981</c:v>
                </c:pt>
                <c:pt idx="13">
                  <c:v>0.0163913791005981</c:v>
                </c:pt>
                <c:pt idx="14">
                  <c:v>0.0163913791005981</c:v>
                </c:pt>
                <c:pt idx="15">
                  <c:v>0.0163913791005981</c:v>
                </c:pt>
                <c:pt idx="16">
                  <c:v>0.0163913791005981</c:v>
                </c:pt>
                <c:pt idx="17">
                  <c:v>0.0163913791005981</c:v>
                </c:pt>
                <c:pt idx="18">
                  <c:v>0.0163913791005981</c:v>
                </c:pt>
                <c:pt idx="19">
                  <c:v>0.0163913791005981</c:v>
                </c:pt>
                <c:pt idx="20">
                  <c:v>0.0163913791005981</c:v>
                </c:pt>
                <c:pt idx="21">
                  <c:v>0.0163913791005981</c:v>
                </c:pt>
                <c:pt idx="22">
                  <c:v>0.0163913791005981</c:v>
                </c:pt>
                <c:pt idx="23">
                  <c:v>0.0163913791005981</c:v>
                </c:pt>
                <c:pt idx="24">
                  <c:v>0.0163913791005981</c:v>
                </c:pt>
                <c:pt idx="25">
                  <c:v>0.0163913791005981</c:v>
                </c:pt>
                <c:pt idx="26">
                  <c:v>0.0163913791005981</c:v>
                </c:pt>
                <c:pt idx="27">
                  <c:v>0.0163913791005981</c:v>
                </c:pt>
                <c:pt idx="28">
                  <c:v>0.0163913791005981</c:v>
                </c:pt>
                <c:pt idx="29">
                  <c:v>0.0163913791005981</c:v>
                </c:pt>
                <c:pt idx="30">
                  <c:v>0.0163913791005981</c:v>
                </c:pt>
                <c:pt idx="31">
                  <c:v>0.0163913791005981</c:v>
                </c:pt>
                <c:pt idx="32">
                  <c:v>0.0163913791005981</c:v>
                </c:pt>
                <c:pt idx="33">
                  <c:v>0.0163913791005981</c:v>
                </c:pt>
                <c:pt idx="34">
                  <c:v>0.0163913791005981</c:v>
                </c:pt>
                <c:pt idx="35">
                  <c:v>0.0163913791005981</c:v>
                </c:pt>
                <c:pt idx="36">
                  <c:v>0.0163913791005981</c:v>
                </c:pt>
                <c:pt idx="37">
                  <c:v>0.0163913791005981</c:v>
                </c:pt>
                <c:pt idx="38">
                  <c:v>0.0163913791005981</c:v>
                </c:pt>
                <c:pt idx="39">
                  <c:v>0.0163913791005981</c:v>
                </c:pt>
                <c:pt idx="40">
                  <c:v>0.0163913791005981</c:v>
                </c:pt>
                <c:pt idx="41">
                  <c:v>0.0163913791005981</c:v>
                </c:pt>
                <c:pt idx="42">
                  <c:v>0.0163913791005981</c:v>
                </c:pt>
                <c:pt idx="43">
                  <c:v>0.0163913791005981</c:v>
                </c:pt>
                <c:pt idx="44">
                  <c:v>0.0163913791005981</c:v>
                </c:pt>
                <c:pt idx="45">
                  <c:v>0.0163913791005981</c:v>
                </c:pt>
                <c:pt idx="46">
                  <c:v>0.0163913791005981</c:v>
                </c:pt>
                <c:pt idx="47">
                  <c:v>0.0163913791005981</c:v>
                </c:pt>
                <c:pt idx="48">
                  <c:v>0.0163913791005981</c:v>
                </c:pt>
                <c:pt idx="49">
                  <c:v>0.0163913791005981</c:v>
                </c:pt>
                <c:pt idx="50">
                  <c:v>0.0163913791005981</c:v>
                </c:pt>
                <c:pt idx="51">
                  <c:v>0.0163913791005981</c:v>
                </c:pt>
                <c:pt idx="52">
                  <c:v>0.0163913791005981</c:v>
                </c:pt>
                <c:pt idx="53">
                  <c:v>0.0163913791005981</c:v>
                </c:pt>
                <c:pt idx="54">
                  <c:v>0.0163913791005981</c:v>
                </c:pt>
                <c:pt idx="55">
                  <c:v>0.0163913791005981</c:v>
                </c:pt>
                <c:pt idx="56">
                  <c:v>0.0163913791005981</c:v>
                </c:pt>
                <c:pt idx="57">
                  <c:v>0.0163913791005981</c:v>
                </c:pt>
                <c:pt idx="58">
                  <c:v>0.0163913791005981</c:v>
                </c:pt>
                <c:pt idx="59">
                  <c:v>0.0163913791005981</c:v>
                </c:pt>
                <c:pt idx="60">
                  <c:v>0.0163913791005981</c:v>
                </c:pt>
                <c:pt idx="61">
                  <c:v>0.0163913791005981</c:v>
                </c:pt>
                <c:pt idx="62">
                  <c:v>0.0163913791005981</c:v>
                </c:pt>
                <c:pt idx="63">
                  <c:v>0.0163913791005981</c:v>
                </c:pt>
              </c:numCache>
            </c:numRef>
          </c:val>
          <c:smooth val="0"/>
          <c:extLst xmlns:c16r2="http://schemas.microsoft.com/office/drawing/2015/06/chart">
            <c:ext xmlns:c16="http://schemas.microsoft.com/office/drawing/2014/chart" uri="{C3380CC4-5D6E-409C-BE32-E72D297353CC}">
              <c16:uniqueId val="{00000015-8A0A-41D3-BB36-A59F05DC36A4}"/>
            </c:ext>
          </c:extLst>
        </c:ser>
        <c:dLbls>
          <c:showLegendKey val="0"/>
          <c:showVal val="0"/>
          <c:showCatName val="0"/>
          <c:showSerName val="0"/>
          <c:showPercent val="0"/>
          <c:showBubbleSize val="0"/>
        </c:dLbls>
        <c:smooth val="0"/>
        <c:axId val="-256945296"/>
        <c:axId val="-259840352"/>
      </c:lineChart>
      <c:catAx>
        <c:axId val="-256945296"/>
        <c:scaling>
          <c:orientation val="maxMin"/>
        </c:scaling>
        <c:delete val="0"/>
        <c:axPos val="b"/>
        <c:numFmt formatCode="General" sourceLinked="0"/>
        <c:majorTickMark val="none"/>
        <c:minorTickMark val="none"/>
        <c:tickLblPos val="low"/>
        <c:txPr>
          <a:bodyPr rot="-4440000"/>
          <a:lstStyle/>
          <a:p>
            <a:pPr>
              <a:defRPr/>
            </a:pPr>
            <a:endParaRPr lang="en-US"/>
          </a:p>
        </c:txPr>
        <c:crossAx val="-259840352"/>
        <c:crosses val="autoZero"/>
        <c:auto val="1"/>
        <c:lblAlgn val="ctr"/>
        <c:lblOffset val="100"/>
        <c:tickMarkSkip val="1"/>
        <c:noMultiLvlLbl val="0"/>
      </c:catAx>
      <c:valAx>
        <c:axId val="-259840352"/>
        <c:scaling>
          <c:orientation val="minMax"/>
        </c:scaling>
        <c:delete val="0"/>
        <c:axPos val="l"/>
        <c:majorGridlines>
          <c:spPr>
            <a:ln>
              <a:prstDash val="dash"/>
            </a:ln>
          </c:spPr>
        </c:majorGridlines>
        <c:numFmt formatCode="0.0%" sourceLinked="0"/>
        <c:majorTickMark val="out"/>
        <c:minorTickMark val="none"/>
        <c:tickLblPos val="nextTo"/>
        <c:spPr>
          <a:ln>
            <a:noFill/>
          </a:ln>
        </c:spPr>
        <c:crossAx val="-256945296"/>
        <c:crosses val="max"/>
        <c:crossBetween val="between"/>
      </c:valAx>
    </c:plotArea>
    <c:legend>
      <c:legendPos val="b"/>
      <c:layout>
        <c:manualLayout>
          <c:xMode val="edge"/>
          <c:yMode val="edge"/>
          <c:x val="0.0599010579585086"/>
          <c:y val="0.845741835053728"/>
          <c:w val="0.820266264876137"/>
          <c:h val="0.12866635432567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'Constant Sharpe'!$H$6</c:f>
              <c:strCache>
                <c:ptCount val="1"/>
                <c:pt idx="0">
                  <c:v>S&amp;P500 VIX (Quarterly Average)</c:v>
                </c:pt>
              </c:strCache>
            </c:strRef>
          </c:tx>
          <c:spPr>
            <a:ln>
              <a:solidFill>
                <a:schemeClr val="tx1">
                  <a:lumMod val="65000"/>
                  <a:lumOff val="35000"/>
                </a:schemeClr>
              </a:solidFill>
            </a:ln>
          </c:spPr>
          <c:marker>
            <c:symbol val="none"/>
          </c:marker>
          <c:dPt>
            <c:idx val="1"/>
            <c:bubble3D val="0"/>
            <c:spPr>
              <a:ln>
                <a:solidFill>
                  <a:schemeClr val="accent1"/>
                </a:solidFill>
              </a:ln>
            </c:spPr>
            <c:extLst xmlns:c16r2="http://schemas.microsoft.com/office/drawing/2015/06/chart">
              <c:ext xmlns:c16="http://schemas.microsoft.com/office/drawing/2014/chart" uri="{C3380CC4-5D6E-409C-BE32-E72D297353CC}">
                <c16:uniqueId val="{00000001-CDFF-4899-976C-7BFC8359F9E6}"/>
              </c:ext>
            </c:extLst>
          </c:dPt>
          <c:dPt>
            <c:idx val="2"/>
            <c:bubble3D val="0"/>
            <c:spPr>
              <a:ln>
                <a:solidFill>
                  <a:schemeClr val="accent1"/>
                </a:solidFill>
              </a:ln>
            </c:spPr>
            <c:extLst xmlns:c16r2="http://schemas.microsoft.com/office/drawing/2015/06/chart">
              <c:ext xmlns:c16="http://schemas.microsoft.com/office/drawing/2014/chart" uri="{C3380CC4-5D6E-409C-BE32-E72D297353CC}">
                <c16:uniqueId val="{00000003-CDFF-4899-976C-7BFC8359F9E6}"/>
              </c:ext>
            </c:extLst>
          </c:dPt>
          <c:dPt>
            <c:idx val="3"/>
            <c:bubble3D val="0"/>
            <c:spPr>
              <a:ln>
                <a:solidFill>
                  <a:schemeClr val="accent1"/>
                </a:solidFill>
              </a:ln>
            </c:spPr>
            <c:extLst xmlns:c16r2="http://schemas.microsoft.com/office/drawing/2015/06/chart">
              <c:ext xmlns:c16="http://schemas.microsoft.com/office/drawing/2014/chart" uri="{C3380CC4-5D6E-409C-BE32-E72D297353CC}">
                <c16:uniqueId val="{00000005-CDFF-4899-976C-7BFC8359F9E6}"/>
              </c:ext>
            </c:extLst>
          </c:dPt>
          <c:dPt>
            <c:idx val="4"/>
            <c:bubble3D val="0"/>
            <c:spPr>
              <a:ln>
                <a:solidFill>
                  <a:schemeClr val="accent1"/>
                </a:solidFill>
              </a:ln>
            </c:spPr>
            <c:extLst xmlns:c16r2="http://schemas.microsoft.com/office/drawing/2015/06/chart">
              <c:ext xmlns:c16="http://schemas.microsoft.com/office/drawing/2014/chart" uri="{C3380CC4-5D6E-409C-BE32-E72D297353CC}">
                <c16:uniqueId val="{00000007-CDFF-4899-976C-7BFC8359F9E6}"/>
              </c:ext>
            </c:extLst>
          </c:dPt>
          <c:dPt>
            <c:idx val="5"/>
            <c:bubble3D val="0"/>
            <c:spPr>
              <a:ln>
                <a:solidFill>
                  <a:schemeClr val="accent1"/>
                </a:solidFill>
              </a:ln>
            </c:spPr>
            <c:extLst xmlns:c16r2="http://schemas.microsoft.com/office/drawing/2015/06/chart">
              <c:ext xmlns:c16="http://schemas.microsoft.com/office/drawing/2014/chart" uri="{C3380CC4-5D6E-409C-BE32-E72D297353CC}">
                <c16:uniqueId val="{00000009-CDFF-4899-976C-7BFC8359F9E6}"/>
              </c:ext>
            </c:extLst>
          </c:dPt>
          <c:dPt>
            <c:idx val="6"/>
            <c:bubble3D val="0"/>
            <c:spPr>
              <a:ln>
                <a:solidFill>
                  <a:schemeClr val="accent1"/>
                </a:solidFill>
              </a:ln>
            </c:spPr>
            <c:extLst xmlns:c16r2="http://schemas.microsoft.com/office/drawing/2015/06/chart">
              <c:ext xmlns:c16="http://schemas.microsoft.com/office/drawing/2014/chart" uri="{C3380CC4-5D6E-409C-BE32-E72D297353CC}">
                <c16:uniqueId val="{0000000B-CDFF-4899-976C-7BFC8359F9E6}"/>
              </c:ext>
            </c:extLst>
          </c:dPt>
          <c:dPt>
            <c:idx val="7"/>
            <c:bubble3D val="0"/>
            <c:spPr>
              <a:ln>
                <a:solidFill>
                  <a:schemeClr val="accent1"/>
                </a:solidFill>
              </a:ln>
            </c:spPr>
            <c:extLst xmlns:c16r2="http://schemas.microsoft.com/office/drawing/2015/06/chart">
              <c:ext xmlns:c16="http://schemas.microsoft.com/office/drawing/2014/chart" uri="{C3380CC4-5D6E-409C-BE32-E72D297353CC}">
                <c16:uniqueId val="{0000000D-CDFF-4899-976C-7BFC8359F9E6}"/>
              </c:ext>
            </c:extLst>
          </c:dPt>
          <c:dPt>
            <c:idx val="8"/>
            <c:bubble3D val="0"/>
            <c:spPr>
              <a:ln>
                <a:solidFill>
                  <a:schemeClr val="accent1"/>
                </a:solidFill>
              </a:ln>
            </c:spPr>
            <c:extLst xmlns:c16r2="http://schemas.microsoft.com/office/drawing/2015/06/chart">
              <c:ext xmlns:c16="http://schemas.microsoft.com/office/drawing/2014/chart" uri="{C3380CC4-5D6E-409C-BE32-E72D297353CC}">
                <c16:uniqueId val="{0000000F-CDFF-4899-976C-7BFC8359F9E6}"/>
              </c:ext>
            </c:extLst>
          </c:dPt>
          <c:dPt>
            <c:idx val="89"/>
            <c:bubble3D val="0"/>
            <c:extLst xmlns:c16r2="http://schemas.microsoft.com/office/drawing/2015/06/chart">
              <c:ext xmlns:c16="http://schemas.microsoft.com/office/drawing/2014/chart" uri="{C3380CC4-5D6E-409C-BE32-E72D297353CC}">
                <c16:uniqueId val="{00000010-CDFF-4899-976C-7BFC8359F9E6}"/>
              </c:ext>
            </c:extLst>
          </c:dPt>
          <c:dPt>
            <c:idx val="90"/>
            <c:bubble3D val="0"/>
            <c:extLst xmlns:c16r2="http://schemas.microsoft.com/office/drawing/2015/06/chart">
              <c:ext xmlns:c16="http://schemas.microsoft.com/office/drawing/2014/chart" uri="{C3380CC4-5D6E-409C-BE32-E72D297353CC}">
                <c16:uniqueId val="{00000011-CDFF-4899-976C-7BFC8359F9E6}"/>
              </c:ext>
            </c:extLst>
          </c:dPt>
          <c:dPt>
            <c:idx val="91"/>
            <c:bubble3D val="0"/>
            <c:extLst xmlns:c16r2="http://schemas.microsoft.com/office/drawing/2015/06/chart">
              <c:ext xmlns:c16="http://schemas.microsoft.com/office/drawing/2014/chart" uri="{C3380CC4-5D6E-409C-BE32-E72D297353CC}">
                <c16:uniqueId val="{00000012-CDFF-4899-976C-7BFC8359F9E6}"/>
              </c:ext>
            </c:extLst>
          </c:dPt>
          <c:dPt>
            <c:idx val="92"/>
            <c:bubble3D val="0"/>
            <c:extLst xmlns:c16r2="http://schemas.microsoft.com/office/drawing/2015/06/chart">
              <c:ext xmlns:c16="http://schemas.microsoft.com/office/drawing/2014/chart" uri="{C3380CC4-5D6E-409C-BE32-E72D297353CC}">
                <c16:uniqueId val="{00000013-CDFF-4899-976C-7BFC8359F9E6}"/>
              </c:ext>
            </c:extLst>
          </c:dPt>
          <c:cat>
            <c:strRef>
              <c:f>'Constant Sharpe'!$G$15:$G$78</c:f>
              <c:strCache>
                <c:ptCount val="64"/>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strCache>
            </c:strRef>
          </c:cat>
          <c:val>
            <c:numRef>
              <c:f>'Constant Sharpe'!$H$15:$H$78</c:f>
              <c:numCache>
                <c:formatCode>0.00</c:formatCode>
                <c:ptCount val="64"/>
                <c:pt idx="0">
                  <c:v>32.0</c:v>
                </c:pt>
                <c:pt idx="1">
                  <c:v>25.87999999999999</c:v>
                </c:pt>
                <c:pt idx="2">
                  <c:v>34.79125</c:v>
                </c:pt>
                <c:pt idx="3">
                  <c:v>30.94761904761905</c:v>
                </c:pt>
                <c:pt idx="4">
                  <c:v>14.02046153846154</c:v>
                </c:pt>
                <c:pt idx="5">
                  <c:v>15.94661538461539</c:v>
                </c:pt>
                <c:pt idx="6">
                  <c:v>15.16</c:v>
                </c:pt>
                <c:pt idx="7">
                  <c:v>16.47</c:v>
                </c:pt>
                <c:pt idx="8">
                  <c:v>21.0536507936508</c:v>
                </c:pt>
                <c:pt idx="9">
                  <c:v>12.8568253968254</c:v>
                </c:pt>
                <c:pt idx="10">
                  <c:v>15.3375</c:v>
                </c:pt>
                <c:pt idx="11">
                  <c:v>17.35475409836066</c:v>
                </c:pt>
                <c:pt idx="12">
                  <c:v>10.3079365079365</c:v>
                </c:pt>
                <c:pt idx="13">
                  <c:v>10.94428571428571</c:v>
                </c:pt>
                <c:pt idx="14">
                  <c:v>11.4263492063492</c:v>
                </c:pt>
                <c:pt idx="15">
                  <c:v>11.69193548387097</c:v>
                </c:pt>
                <c:pt idx="16">
                  <c:v>14.09793650793651</c:v>
                </c:pt>
                <c:pt idx="17">
                  <c:v>13.23390625</c:v>
                </c:pt>
                <c:pt idx="18">
                  <c:v>15.6759375</c:v>
                </c:pt>
                <c:pt idx="19">
                  <c:v>20.48622950819672</c:v>
                </c:pt>
                <c:pt idx="20">
                  <c:v>17.03328125000001</c:v>
                </c:pt>
                <c:pt idx="21">
                  <c:v>19.30734375</c:v>
                </c:pt>
                <c:pt idx="22">
                  <c:v>13.74015873015873</c:v>
                </c:pt>
                <c:pt idx="23">
                  <c:v>16.56475409836066</c:v>
                </c:pt>
                <c:pt idx="24">
                  <c:v>16.07234375</c:v>
                </c:pt>
                <c:pt idx="25">
                  <c:v>13.07265625</c:v>
                </c:pt>
                <c:pt idx="26">
                  <c:v>12.73825396825397</c:v>
                </c:pt>
                <c:pt idx="27">
                  <c:v>14.8288524590164</c:v>
                </c:pt>
                <c:pt idx="28">
                  <c:v>14.23281249999999</c:v>
                </c:pt>
                <c:pt idx="29">
                  <c:v>14.2796875</c:v>
                </c:pt>
                <c:pt idx="30">
                  <c:v>14.83703125</c:v>
                </c:pt>
                <c:pt idx="31">
                  <c:v>13.527</c:v>
                </c:pt>
                <c:pt idx="32">
                  <c:v>16.75290322580645</c:v>
                </c:pt>
                <c:pt idx="33">
                  <c:v>16.19269841269841</c:v>
                </c:pt>
                <c:pt idx="34">
                  <c:v>20.03571428571428</c:v>
                </c:pt>
                <c:pt idx="35">
                  <c:v>18.20403225806452</c:v>
                </c:pt>
                <c:pt idx="36">
                  <c:v>29.93952380952382</c:v>
                </c:pt>
                <c:pt idx="37">
                  <c:v>30.58359375</c:v>
                </c:pt>
                <c:pt idx="38">
                  <c:v>17.48238095238095</c:v>
                </c:pt>
                <c:pt idx="39">
                  <c:v>18.61483870967742</c:v>
                </c:pt>
                <c:pt idx="40">
                  <c:v>19.3184375</c:v>
                </c:pt>
                <c:pt idx="41">
                  <c:v>24.28359375</c:v>
                </c:pt>
                <c:pt idx="42">
                  <c:v>26.39142857142857</c:v>
                </c:pt>
                <c:pt idx="43">
                  <c:v>20.14967213114754</c:v>
                </c:pt>
                <c:pt idx="44">
                  <c:v>23.07015625</c:v>
                </c:pt>
                <c:pt idx="45">
                  <c:v>25.48625</c:v>
                </c:pt>
                <c:pt idx="46">
                  <c:v>33.01571428571428</c:v>
                </c:pt>
                <c:pt idx="47">
                  <c:v>45</c:v>
                </c:pt>
                <c:pt idx="48">
                  <c:v>58.59593750000001</c:v>
                </c:pt>
                <c:pt idx="49">
                  <c:v>25.07328125</c:v>
                </c:pt>
                <c:pt idx="50">
                  <c:v>22.2245</c:v>
                </c:pt>
                <c:pt idx="51">
                  <c:v>26.12016393442622</c:v>
                </c:pt>
                <c:pt idx="52">
                  <c:v>22.02984375</c:v>
                </c:pt>
                <c:pt idx="53">
                  <c:v>21.58920634920635</c:v>
                </c:pt>
                <c:pt idx="54">
                  <c:v>13.73190476190476</c:v>
                </c:pt>
                <c:pt idx="55">
                  <c:v>12.56360655737705</c:v>
                </c:pt>
                <c:pt idx="56">
                  <c:v>11.03492063492063</c:v>
                </c:pt>
                <c:pt idx="57">
                  <c:v>13.6079365079365</c:v>
                </c:pt>
                <c:pt idx="58">
                  <c:v>14.52873015873016</c:v>
                </c:pt>
                <c:pt idx="59">
                  <c:v>12.04241935483871</c:v>
                </c:pt>
                <c:pt idx="60">
                  <c:v>12.78174603174604</c:v>
                </c:pt>
                <c:pt idx="61">
                  <c:v>12.25078125</c:v>
                </c:pt>
                <c:pt idx="62">
                  <c:v>13.40734375</c:v>
                </c:pt>
                <c:pt idx="63">
                  <c:v>12.78704918032786</c:v>
                </c:pt>
              </c:numCache>
            </c:numRef>
          </c:val>
          <c:smooth val="0"/>
          <c:extLst xmlns:c16r2="http://schemas.microsoft.com/office/drawing/2015/06/chart">
            <c:ext xmlns:c16="http://schemas.microsoft.com/office/drawing/2014/chart" uri="{C3380CC4-5D6E-409C-BE32-E72D297353CC}">
              <c16:uniqueId val="{00000014-CDFF-4899-976C-7BFC8359F9E6}"/>
            </c:ext>
          </c:extLst>
        </c:ser>
        <c:ser>
          <c:idx val="1"/>
          <c:order val="1"/>
          <c:tx>
            <c:strRef>
              <c:f>'Constant Sharpe'!$I$6</c:f>
              <c:strCache>
                <c:ptCount val="1"/>
                <c:pt idx="0">
                  <c:v>Historic Average VIX </c:v>
                </c:pt>
              </c:strCache>
            </c:strRef>
          </c:tx>
          <c:spPr>
            <a:ln>
              <a:solidFill>
                <a:schemeClr val="bg2">
                  <a:lumMod val="75000"/>
                </a:schemeClr>
              </a:solidFill>
            </a:ln>
          </c:spPr>
          <c:marker>
            <c:symbol val="none"/>
          </c:marker>
          <c:cat>
            <c:strRef>
              <c:f>'Constant Sharpe'!$G$15:$G$78</c:f>
              <c:strCache>
                <c:ptCount val="64"/>
                <c:pt idx="0">
                  <c:v>4Q2020E</c:v>
                </c:pt>
                <c:pt idx="1">
                  <c:v>3Q2020</c:v>
                </c:pt>
                <c:pt idx="2">
                  <c:v>2Q2020</c:v>
                </c:pt>
                <c:pt idx="3">
                  <c:v>1Q2020</c:v>
                </c:pt>
                <c:pt idx="4">
                  <c:v>4Q2019</c:v>
                </c:pt>
                <c:pt idx="5">
                  <c:v>3Q2019</c:v>
                </c:pt>
                <c:pt idx="6">
                  <c:v>2Q2019</c:v>
                </c:pt>
                <c:pt idx="7">
                  <c:v>1Q2019</c:v>
                </c:pt>
                <c:pt idx="8">
                  <c:v>4Q2018</c:v>
                </c:pt>
                <c:pt idx="9">
                  <c:v>3Q2018</c:v>
                </c:pt>
                <c:pt idx="10">
                  <c:v>2Q2018</c:v>
                </c:pt>
                <c:pt idx="11">
                  <c:v>1Q2018</c:v>
                </c:pt>
                <c:pt idx="12">
                  <c:v>4Q2017</c:v>
                </c:pt>
                <c:pt idx="13">
                  <c:v>3Q2017</c:v>
                </c:pt>
                <c:pt idx="14">
                  <c:v>2Q2017</c:v>
                </c:pt>
                <c:pt idx="15">
                  <c:v>1Q2017</c:v>
                </c:pt>
                <c:pt idx="16">
                  <c:v>4Q2016</c:v>
                </c:pt>
                <c:pt idx="17">
                  <c:v>3Q2016</c:v>
                </c:pt>
                <c:pt idx="18">
                  <c:v>2Q2016</c:v>
                </c:pt>
                <c:pt idx="19">
                  <c:v>1Q2016</c:v>
                </c:pt>
                <c:pt idx="20">
                  <c:v>4Q2015</c:v>
                </c:pt>
                <c:pt idx="21">
                  <c:v>3Q2015 </c:v>
                </c:pt>
                <c:pt idx="22">
                  <c:v>2Q2015</c:v>
                </c:pt>
                <c:pt idx="23">
                  <c:v>1Q2015</c:v>
                </c:pt>
                <c:pt idx="24">
                  <c:v>4Q2014</c:v>
                </c:pt>
                <c:pt idx="25">
                  <c:v>3Q2014</c:v>
                </c:pt>
                <c:pt idx="26">
                  <c:v>2Q2014</c:v>
                </c:pt>
                <c:pt idx="27">
                  <c:v>1Q2014</c:v>
                </c:pt>
                <c:pt idx="28">
                  <c:v>4Q2013</c:v>
                </c:pt>
                <c:pt idx="29">
                  <c:v>3Q2013</c:v>
                </c:pt>
                <c:pt idx="30">
                  <c:v>2Q2013</c:v>
                </c:pt>
                <c:pt idx="31">
                  <c:v>1Q2013</c:v>
                </c:pt>
                <c:pt idx="32">
                  <c:v>4Q2012</c:v>
                </c:pt>
                <c:pt idx="33">
                  <c:v>3Q2012</c:v>
                </c:pt>
                <c:pt idx="34">
                  <c:v>2Q2012</c:v>
                </c:pt>
                <c:pt idx="35">
                  <c:v>1Q2012</c:v>
                </c:pt>
                <c:pt idx="36">
                  <c:v>4Q2011</c:v>
                </c:pt>
                <c:pt idx="37">
                  <c:v>3Q2011</c:v>
                </c:pt>
                <c:pt idx="38">
                  <c:v>2Q2011</c:v>
                </c:pt>
                <c:pt idx="39">
                  <c:v>1Q2011</c:v>
                </c:pt>
                <c:pt idx="40">
                  <c:v>4Q2010</c:v>
                </c:pt>
                <c:pt idx="41">
                  <c:v>3Q2010</c:v>
                </c:pt>
                <c:pt idx="42">
                  <c:v>2Q2010</c:v>
                </c:pt>
                <c:pt idx="43">
                  <c:v>1Q2010</c:v>
                </c:pt>
                <c:pt idx="44">
                  <c:v>4Q2009</c:v>
                </c:pt>
                <c:pt idx="45">
                  <c:v>3Q2009</c:v>
                </c:pt>
                <c:pt idx="46">
                  <c:v>2Q2009</c:v>
                </c:pt>
                <c:pt idx="47">
                  <c:v>1Q2009</c:v>
                </c:pt>
                <c:pt idx="48">
                  <c:v>4Q2008</c:v>
                </c:pt>
                <c:pt idx="49">
                  <c:v>3Q2008</c:v>
                </c:pt>
                <c:pt idx="50">
                  <c:v>2Q2008</c:v>
                </c:pt>
                <c:pt idx="51">
                  <c:v>1Q2008</c:v>
                </c:pt>
                <c:pt idx="52">
                  <c:v>4Q2007</c:v>
                </c:pt>
                <c:pt idx="53">
                  <c:v>3Q2007</c:v>
                </c:pt>
                <c:pt idx="54">
                  <c:v>2Q2007</c:v>
                </c:pt>
                <c:pt idx="55">
                  <c:v>1Q2007</c:v>
                </c:pt>
                <c:pt idx="56">
                  <c:v>4Q2006</c:v>
                </c:pt>
                <c:pt idx="57">
                  <c:v>3Q2006</c:v>
                </c:pt>
                <c:pt idx="58">
                  <c:v>2Q2006</c:v>
                </c:pt>
                <c:pt idx="59">
                  <c:v>1Q2006</c:v>
                </c:pt>
                <c:pt idx="60">
                  <c:v>4Q2005</c:v>
                </c:pt>
                <c:pt idx="61">
                  <c:v>3Q2005</c:v>
                </c:pt>
                <c:pt idx="62">
                  <c:v>2Q2005</c:v>
                </c:pt>
                <c:pt idx="63">
                  <c:v>1Q2005</c:v>
                </c:pt>
              </c:strCache>
            </c:strRef>
          </c:cat>
          <c:val>
            <c:numRef>
              <c:f>'Constant Sharpe'!$I$15:$I$78</c:f>
              <c:numCache>
                <c:formatCode>0.00</c:formatCode>
                <c:ptCount val="64"/>
                <c:pt idx="0">
                  <c:v>18.99694725884872</c:v>
                </c:pt>
                <c:pt idx="1">
                  <c:v>18.99694725884872</c:v>
                </c:pt>
                <c:pt idx="2">
                  <c:v>18.88593027915273</c:v>
                </c:pt>
                <c:pt idx="3">
                  <c:v>18.49437875798964</c:v>
                </c:pt>
                <c:pt idx="4">
                  <c:v>18.49437875798964</c:v>
                </c:pt>
                <c:pt idx="5">
                  <c:v>18.49437875798964</c:v>
                </c:pt>
                <c:pt idx="6">
                  <c:v>18.40519552227955</c:v>
                </c:pt>
                <c:pt idx="7">
                  <c:v>18.42302885561288</c:v>
                </c:pt>
                <c:pt idx="8">
                  <c:v>18.42302885561288</c:v>
                </c:pt>
                <c:pt idx="9">
                  <c:v>18.42302885561288</c:v>
                </c:pt>
                <c:pt idx="10">
                  <c:v>18.42302885561288</c:v>
                </c:pt>
                <c:pt idx="11">
                  <c:v>18.53199570432099</c:v>
                </c:pt>
                <c:pt idx="12">
                  <c:v>18.553017875856</c:v>
                </c:pt>
                <c:pt idx="13">
                  <c:v>18.70292844618181</c:v>
                </c:pt>
                <c:pt idx="14">
                  <c:v>18.846607015291</c:v>
                </c:pt>
                <c:pt idx="15">
                  <c:v>18.98661187961065</c:v>
                </c:pt>
                <c:pt idx="16">
                  <c:v>19.12689411799026</c:v>
                </c:pt>
                <c:pt idx="17">
                  <c:v>19.2255011299521</c:v>
                </c:pt>
                <c:pt idx="18">
                  <c:v>19.34533302755114</c:v>
                </c:pt>
                <c:pt idx="19">
                  <c:v>19.42021865056239</c:v>
                </c:pt>
                <c:pt idx="20">
                  <c:v>19.39801009102834</c:v>
                </c:pt>
                <c:pt idx="21">
                  <c:v>19.44832347062469</c:v>
                </c:pt>
                <c:pt idx="22">
                  <c:v>19.45138824716001</c:v>
                </c:pt>
                <c:pt idx="23">
                  <c:v>19.57830445864892</c:v>
                </c:pt>
                <c:pt idx="24">
                  <c:v>19.64679423956457</c:v>
                </c:pt>
                <c:pt idx="25">
                  <c:v>19.72992099513584</c:v>
                </c:pt>
                <c:pt idx="26">
                  <c:v>19.88842729859145</c:v>
                </c:pt>
                <c:pt idx="27">
                  <c:v>20.0628217700631</c:v>
                </c:pt>
                <c:pt idx="28">
                  <c:v>20.19367100283927</c:v>
                </c:pt>
                <c:pt idx="29">
                  <c:v>20.34651352855309</c:v>
                </c:pt>
                <c:pt idx="30">
                  <c:v>20.50616684509396</c:v>
                </c:pt>
                <c:pt idx="31">
                  <c:v>20.65938672604244</c:v>
                </c:pt>
                <c:pt idx="32">
                  <c:v>20.85750857954363</c:v>
                </c:pt>
                <c:pt idx="33">
                  <c:v>20.97478301822183</c:v>
                </c:pt>
                <c:pt idx="34">
                  <c:v>21.1154325654431</c:v>
                </c:pt>
                <c:pt idx="35">
                  <c:v>21.14815130119246</c:v>
                </c:pt>
                <c:pt idx="36">
                  <c:v>21.24015502129021</c:v>
                </c:pt>
                <c:pt idx="37">
                  <c:v>20.95953022166977</c:v>
                </c:pt>
                <c:pt idx="38">
                  <c:v>20.63872810405877</c:v>
                </c:pt>
                <c:pt idx="39">
                  <c:v>20.74756766101317</c:v>
                </c:pt>
                <c:pt idx="40">
                  <c:v>20.82373655213231</c:v>
                </c:pt>
                <c:pt idx="41">
                  <c:v>20.87948836887795</c:v>
                </c:pt>
                <c:pt idx="42">
                  <c:v>20.7485612388348</c:v>
                </c:pt>
                <c:pt idx="43">
                  <c:v>20.52284654553105</c:v>
                </c:pt>
                <c:pt idx="44">
                  <c:v>20.53839547946369</c:v>
                </c:pt>
                <c:pt idx="45">
                  <c:v>20.42831892422299</c:v>
                </c:pt>
                <c:pt idx="46">
                  <c:v>20.19841296623312</c:v>
                </c:pt>
                <c:pt idx="47">
                  <c:v>19.58806528435306</c:v>
                </c:pt>
                <c:pt idx="48">
                  <c:v>18.31746854857071</c:v>
                </c:pt>
                <c:pt idx="49">
                  <c:v>16.19754913007444</c:v>
                </c:pt>
                <c:pt idx="50">
                  <c:v>15.70445290118968</c:v>
                </c:pt>
                <c:pt idx="51">
                  <c:v>15.32092071890672</c:v>
                </c:pt>
                <c:pt idx="52">
                  <c:v>14.64596801793675</c:v>
                </c:pt>
                <c:pt idx="53">
                  <c:v>14.1537096357992</c:v>
                </c:pt>
                <c:pt idx="54">
                  <c:v>13.62260272769869</c:v>
                </c:pt>
                <c:pt idx="55">
                  <c:v>13.61419487891361</c:v>
                </c:pt>
                <c:pt idx="56">
                  <c:v>13.70174390570833</c:v>
                </c:pt>
                <c:pt idx="57">
                  <c:v>13.94418238487084</c:v>
                </c:pt>
                <c:pt idx="58">
                  <c:v>13.97780697256428</c:v>
                </c:pt>
                <c:pt idx="59">
                  <c:v>13.91659328521251</c:v>
                </c:pt>
                <c:pt idx="60">
                  <c:v>14.15086502650924</c:v>
                </c:pt>
                <c:pt idx="61">
                  <c:v>14.34645345433255</c:v>
                </c:pt>
                <c:pt idx="62">
                  <c:v>14.69573215505464</c:v>
                </c:pt>
                <c:pt idx="63">
                  <c:v>14.95340983606557</c:v>
                </c:pt>
              </c:numCache>
            </c:numRef>
          </c:val>
          <c:smooth val="0"/>
          <c:extLst xmlns:c16r2="http://schemas.microsoft.com/office/drawing/2015/06/chart">
            <c:ext xmlns:c16="http://schemas.microsoft.com/office/drawing/2014/chart" uri="{C3380CC4-5D6E-409C-BE32-E72D297353CC}">
              <c16:uniqueId val="{00000015-CDFF-4899-976C-7BFC8359F9E6}"/>
            </c:ext>
          </c:extLst>
        </c:ser>
        <c:dLbls>
          <c:showLegendKey val="0"/>
          <c:showVal val="0"/>
          <c:showCatName val="0"/>
          <c:showSerName val="0"/>
          <c:showPercent val="0"/>
          <c:showBubbleSize val="0"/>
        </c:dLbls>
        <c:smooth val="0"/>
        <c:axId val="-261053312"/>
        <c:axId val="-229691632"/>
      </c:lineChart>
      <c:catAx>
        <c:axId val="-261053312"/>
        <c:scaling>
          <c:orientation val="maxMin"/>
        </c:scaling>
        <c:delete val="0"/>
        <c:axPos val="b"/>
        <c:numFmt formatCode="General" sourceLinked="0"/>
        <c:majorTickMark val="none"/>
        <c:minorTickMark val="none"/>
        <c:tickLblPos val="low"/>
        <c:txPr>
          <a:bodyPr rot="-4440000"/>
          <a:lstStyle/>
          <a:p>
            <a:pPr>
              <a:defRPr/>
            </a:pPr>
            <a:endParaRPr lang="en-US"/>
          </a:p>
        </c:txPr>
        <c:crossAx val="-229691632"/>
        <c:crosses val="autoZero"/>
        <c:auto val="1"/>
        <c:lblAlgn val="ctr"/>
        <c:lblOffset val="100"/>
        <c:tickMarkSkip val="1"/>
        <c:noMultiLvlLbl val="0"/>
      </c:catAx>
      <c:valAx>
        <c:axId val="-229691632"/>
        <c:scaling>
          <c:orientation val="minMax"/>
          <c:min val="5.0"/>
        </c:scaling>
        <c:delete val="0"/>
        <c:axPos val="l"/>
        <c:majorGridlines>
          <c:spPr>
            <a:ln>
              <a:prstDash val="dash"/>
            </a:ln>
          </c:spPr>
        </c:majorGridlines>
        <c:numFmt formatCode="#,##0_);\(#,##0\)" sourceLinked="0"/>
        <c:majorTickMark val="out"/>
        <c:minorTickMark val="none"/>
        <c:tickLblPos val="nextTo"/>
        <c:spPr>
          <a:ln>
            <a:noFill/>
          </a:ln>
        </c:spPr>
        <c:crossAx val="-261053312"/>
        <c:crosses val="max"/>
        <c:crossBetween val="between"/>
      </c:valAx>
    </c:plotArea>
    <c:legend>
      <c:legendPos val="b"/>
      <c:layout>
        <c:manualLayout>
          <c:xMode val="edge"/>
          <c:yMode val="edge"/>
          <c:x val="0.0599010579585086"/>
          <c:y val="0.845741835053728"/>
          <c:w val="0.820266264876137"/>
          <c:h val="0.128666354325671"/>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236802</xdr:colOff>
      <xdr:row>181</xdr:row>
      <xdr:rowOff>0</xdr:rowOff>
    </xdr:from>
    <xdr:to>
      <xdr:col>3</xdr:col>
      <xdr:colOff>0</xdr:colOff>
      <xdr:row>181</xdr:row>
      <xdr:rowOff>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238</xdr:row>
      <xdr:rowOff>0</xdr:rowOff>
    </xdr:from>
    <xdr:to>
      <xdr:col>3</xdr:col>
      <xdr:colOff>0</xdr:colOff>
      <xdr:row>238</xdr:row>
      <xdr:rowOff>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285</xdr:row>
      <xdr:rowOff>0</xdr:rowOff>
    </xdr:from>
    <xdr:to>
      <xdr:col>3</xdr:col>
      <xdr:colOff>0</xdr:colOff>
      <xdr:row>285</xdr:row>
      <xdr:rowOff>0</xdr:rowOff>
    </xdr:to>
    <xdr:graphicFrame macro="">
      <xdr:nvGraphicFramePr>
        <xdr:cNvPr id="4" name="Chart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222</xdr:row>
      <xdr:rowOff>0</xdr:rowOff>
    </xdr:from>
    <xdr:to>
      <xdr:col>3</xdr:col>
      <xdr:colOff>0</xdr:colOff>
      <xdr:row>222</xdr:row>
      <xdr:rowOff>0</xdr:rowOff>
    </xdr:to>
    <xdr:graphicFrame macro="">
      <xdr:nvGraphicFramePr>
        <xdr:cNvPr id="6" name="Chart 5">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501015</xdr:colOff>
      <xdr:row>1</xdr:row>
      <xdr:rowOff>306705</xdr:rowOff>
    </xdr:from>
    <xdr:to>
      <xdr:col>35</xdr:col>
      <xdr:colOff>43815</xdr:colOff>
      <xdr:row>17</xdr:row>
      <xdr:rowOff>64770</xdr:rowOff>
    </xdr:to>
    <xdr:graphicFrame macro="">
      <xdr:nvGraphicFramePr>
        <xdr:cNvPr id="2" name="Chart 1">
          <a:extLst>
            <a:ext uri="{FF2B5EF4-FFF2-40B4-BE49-F238E27FC236}">
              <a16:creationId xmlns:a16="http://schemas.microsoft.com/office/drawing/2014/main" xmlns="" id="{622DA782-145C-4079-AD67-8E18B9326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381000</xdr:colOff>
      <xdr:row>20</xdr:row>
      <xdr:rowOff>106680</xdr:rowOff>
    </xdr:from>
    <xdr:to>
      <xdr:col>34</xdr:col>
      <xdr:colOff>533400</xdr:colOff>
      <xdr:row>36</xdr:row>
      <xdr:rowOff>173355</xdr:rowOff>
    </xdr:to>
    <xdr:graphicFrame macro="">
      <xdr:nvGraphicFramePr>
        <xdr:cNvPr id="3" name="Chart 2">
          <a:extLst>
            <a:ext uri="{FF2B5EF4-FFF2-40B4-BE49-F238E27FC236}">
              <a16:creationId xmlns:a16="http://schemas.microsoft.com/office/drawing/2014/main" xmlns="" id="{787C3F6E-2B9B-47A6-A1EE-4C019067C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457200</xdr:colOff>
      <xdr:row>37</xdr:row>
      <xdr:rowOff>99060</xdr:rowOff>
    </xdr:from>
    <xdr:to>
      <xdr:col>34</xdr:col>
      <xdr:colOff>609600</xdr:colOff>
      <xdr:row>53</xdr:row>
      <xdr:rowOff>150495</xdr:rowOff>
    </xdr:to>
    <xdr:graphicFrame macro="">
      <xdr:nvGraphicFramePr>
        <xdr:cNvPr id="4" name="Chart 3">
          <a:extLst>
            <a:ext uri="{FF2B5EF4-FFF2-40B4-BE49-F238E27FC236}">
              <a16:creationId xmlns:a16="http://schemas.microsoft.com/office/drawing/2014/main" xmlns="" id="{6E2294CF-B914-48D4-8618-8B4FD0CE4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di/Downloads/file_4_-_sbux_model__base-case__10-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di/Downloads/sbux_beta_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di/Downloads/erp_model__c101__10-7-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ocuments/Articles%20(11-30-2015)/Apple/Apple%20Model%2012-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arnings Model"/>
      <sheetName val="Recon of ASRs"/>
      <sheetName val="Charts"/>
      <sheetName val="Std Dev"/>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UX Beta ST"/>
      <sheetName val="SBUX Beta LT"/>
      <sheetName val="SBUX"/>
      <sheetName val="S&amp;P500"/>
    </sheetNames>
    <sheetDataSet>
      <sheetData sheetId="0" refreshError="1"/>
      <sheetData sheetId="1" refreshError="1"/>
      <sheetData sheetId="2">
        <row r="1">
          <cell r="A1" t="str">
            <v>Date</v>
          </cell>
          <cell r="B1" t="str">
            <v>SBUX</v>
          </cell>
        </row>
        <row r="2">
          <cell r="A2">
            <v>39451</v>
          </cell>
          <cell r="B2">
            <v>7.6040570000000001</v>
          </cell>
        </row>
        <row r="3">
          <cell r="A3">
            <v>39454</v>
          </cell>
          <cell r="B3">
            <v>7.7174250000000004</v>
          </cell>
        </row>
        <row r="4">
          <cell r="A4">
            <v>39455</v>
          </cell>
          <cell r="B4">
            <v>8.3388539999999995</v>
          </cell>
        </row>
        <row r="5">
          <cell r="A5">
            <v>39456</v>
          </cell>
          <cell r="B5">
            <v>8.1708970000000001</v>
          </cell>
        </row>
        <row r="6">
          <cell r="A6">
            <v>39457</v>
          </cell>
          <cell r="B6">
            <v>8.5277989999999999</v>
          </cell>
        </row>
        <row r="7">
          <cell r="A7">
            <v>39458</v>
          </cell>
          <cell r="B7">
            <v>8.3094610000000007</v>
          </cell>
        </row>
        <row r="8">
          <cell r="A8">
            <v>39461</v>
          </cell>
          <cell r="B8">
            <v>8.2086900000000007</v>
          </cell>
        </row>
        <row r="9">
          <cell r="A9">
            <v>39462</v>
          </cell>
          <cell r="B9">
            <v>7.910571</v>
          </cell>
        </row>
        <row r="10">
          <cell r="A10">
            <v>39463</v>
          </cell>
          <cell r="B10">
            <v>8.1037149999999993</v>
          </cell>
        </row>
        <row r="11">
          <cell r="A11">
            <v>39464</v>
          </cell>
          <cell r="B11">
            <v>7.9987450000000004</v>
          </cell>
        </row>
        <row r="12">
          <cell r="A12">
            <v>39465</v>
          </cell>
          <cell r="B12">
            <v>7.834994</v>
          </cell>
        </row>
        <row r="13">
          <cell r="A13">
            <v>39469</v>
          </cell>
          <cell r="B13">
            <v>7.8391890000000002</v>
          </cell>
        </row>
        <row r="14">
          <cell r="A14">
            <v>39470</v>
          </cell>
          <cell r="B14">
            <v>8.3850379999999998</v>
          </cell>
        </row>
        <row r="15">
          <cell r="A15">
            <v>39471</v>
          </cell>
          <cell r="B15">
            <v>8.5865790000000004</v>
          </cell>
        </row>
        <row r="16">
          <cell r="A16">
            <v>39472</v>
          </cell>
          <cell r="B16">
            <v>8.2548770000000005</v>
          </cell>
        </row>
        <row r="17">
          <cell r="A17">
            <v>39475</v>
          </cell>
          <cell r="B17">
            <v>8.2548770000000005</v>
          </cell>
        </row>
        <row r="18">
          <cell r="A18">
            <v>39476</v>
          </cell>
          <cell r="B18">
            <v>8.3850379999999998</v>
          </cell>
        </row>
        <row r="19">
          <cell r="A19">
            <v>39477</v>
          </cell>
          <cell r="B19">
            <v>8.0701250000000009</v>
          </cell>
        </row>
        <row r="20">
          <cell r="A20">
            <v>39478</v>
          </cell>
          <cell r="B20">
            <v>7.9399620000000004</v>
          </cell>
        </row>
        <row r="21">
          <cell r="A21">
            <v>39479</v>
          </cell>
          <cell r="B21">
            <v>8.0701250000000009</v>
          </cell>
        </row>
        <row r="22">
          <cell r="A22">
            <v>39482</v>
          </cell>
          <cell r="B22">
            <v>8.0575310000000009</v>
          </cell>
        </row>
        <row r="23">
          <cell r="A23">
            <v>39483</v>
          </cell>
          <cell r="B23">
            <v>7.7720089999999997</v>
          </cell>
        </row>
        <row r="24">
          <cell r="A24">
            <v>39484</v>
          </cell>
          <cell r="B24">
            <v>7.6208520000000002</v>
          </cell>
        </row>
        <row r="25">
          <cell r="A25">
            <v>39485</v>
          </cell>
          <cell r="B25">
            <v>7.7804060000000002</v>
          </cell>
        </row>
        <row r="26">
          <cell r="A26">
            <v>39486</v>
          </cell>
          <cell r="B26">
            <v>7.6670389999999999</v>
          </cell>
        </row>
        <row r="27">
          <cell r="A27">
            <v>39489</v>
          </cell>
          <cell r="B27">
            <v>7.7762079999999996</v>
          </cell>
        </row>
        <row r="28">
          <cell r="A28">
            <v>39490</v>
          </cell>
          <cell r="B28">
            <v>7.855988</v>
          </cell>
        </row>
        <row r="29">
          <cell r="A29">
            <v>39491</v>
          </cell>
          <cell r="B29">
            <v>7.9147720000000001</v>
          </cell>
        </row>
        <row r="30">
          <cell r="A30">
            <v>39492</v>
          </cell>
          <cell r="B30">
            <v>7.6334489999999997</v>
          </cell>
        </row>
        <row r="31">
          <cell r="A31">
            <v>39493</v>
          </cell>
          <cell r="B31">
            <v>7.6796369999999996</v>
          </cell>
        </row>
        <row r="32">
          <cell r="A32">
            <v>39497</v>
          </cell>
          <cell r="B32">
            <v>7.5998559999999999</v>
          </cell>
        </row>
        <row r="33">
          <cell r="A33">
            <v>39498</v>
          </cell>
          <cell r="B33">
            <v>7.6670389999999999</v>
          </cell>
        </row>
        <row r="34">
          <cell r="A34">
            <v>39499</v>
          </cell>
          <cell r="B34">
            <v>7.4864930000000003</v>
          </cell>
        </row>
        <row r="35">
          <cell r="A35">
            <v>39500</v>
          </cell>
          <cell r="B35">
            <v>7.6628410000000002</v>
          </cell>
        </row>
        <row r="36">
          <cell r="A36">
            <v>39503</v>
          </cell>
          <cell r="B36">
            <v>7.767811</v>
          </cell>
        </row>
        <row r="37">
          <cell r="A37">
            <v>39504</v>
          </cell>
          <cell r="B37">
            <v>8.0029459999999997</v>
          </cell>
        </row>
        <row r="38">
          <cell r="A38">
            <v>39505</v>
          </cell>
          <cell r="B38">
            <v>7.9945469999999998</v>
          </cell>
        </row>
        <row r="39">
          <cell r="A39">
            <v>39506</v>
          </cell>
          <cell r="B39">
            <v>7.7972020000000004</v>
          </cell>
        </row>
        <row r="40">
          <cell r="A40">
            <v>39507</v>
          </cell>
          <cell r="B40">
            <v>7.5494719999999997</v>
          </cell>
        </row>
        <row r="41">
          <cell r="A41">
            <v>39510</v>
          </cell>
          <cell r="B41">
            <v>7.4948899999999998</v>
          </cell>
        </row>
        <row r="42">
          <cell r="A42">
            <v>39511</v>
          </cell>
          <cell r="B42">
            <v>7.5158829999999996</v>
          </cell>
        </row>
        <row r="43">
          <cell r="A43">
            <v>39512</v>
          </cell>
          <cell r="B43">
            <v>7.6166539999999996</v>
          </cell>
        </row>
        <row r="44">
          <cell r="A44">
            <v>39513</v>
          </cell>
          <cell r="B44">
            <v>7.3899160000000004</v>
          </cell>
        </row>
        <row r="45">
          <cell r="A45">
            <v>39514</v>
          </cell>
          <cell r="B45">
            <v>7.1799780000000002</v>
          </cell>
        </row>
        <row r="46">
          <cell r="A46">
            <v>39517</v>
          </cell>
          <cell r="B46">
            <v>7.0540139999999996</v>
          </cell>
        </row>
        <row r="47">
          <cell r="A47">
            <v>39518</v>
          </cell>
          <cell r="B47">
            <v>7.4487019999999999</v>
          </cell>
        </row>
        <row r="48">
          <cell r="A48">
            <v>39519</v>
          </cell>
          <cell r="B48">
            <v>7.3941160000000004</v>
          </cell>
        </row>
        <row r="49">
          <cell r="A49">
            <v>39520</v>
          </cell>
          <cell r="B49">
            <v>7.4025119999999998</v>
          </cell>
        </row>
        <row r="50">
          <cell r="A50">
            <v>39521</v>
          </cell>
          <cell r="B50">
            <v>7.301742</v>
          </cell>
        </row>
        <row r="51">
          <cell r="A51">
            <v>39524</v>
          </cell>
          <cell r="B51">
            <v>7.2471579999999998</v>
          </cell>
        </row>
        <row r="52">
          <cell r="A52">
            <v>39525</v>
          </cell>
          <cell r="B52">
            <v>7.658639</v>
          </cell>
        </row>
        <row r="53">
          <cell r="A53">
            <v>39526</v>
          </cell>
          <cell r="B53">
            <v>7.347931</v>
          </cell>
        </row>
        <row r="54">
          <cell r="A54">
            <v>39527</v>
          </cell>
          <cell r="B54">
            <v>7.3605260000000001</v>
          </cell>
        </row>
        <row r="55">
          <cell r="A55">
            <v>39531</v>
          </cell>
          <cell r="B55">
            <v>7.5116839999999998</v>
          </cell>
        </row>
        <row r="56">
          <cell r="A56">
            <v>39532</v>
          </cell>
          <cell r="B56">
            <v>7.5536700000000003</v>
          </cell>
        </row>
        <row r="57">
          <cell r="A57">
            <v>39533</v>
          </cell>
          <cell r="B57">
            <v>7.4151100000000003</v>
          </cell>
        </row>
        <row r="58">
          <cell r="A58">
            <v>39534</v>
          </cell>
          <cell r="B58">
            <v>7.3983150000000002</v>
          </cell>
        </row>
        <row r="59">
          <cell r="A59">
            <v>39535</v>
          </cell>
          <cell r="B59">
            <v>7.1589850000000004</v>
          </cell>
        </row>
        <row r="60">
          <cell r="A60">
            <v>39538</v>
          </cell>
          <cell r="B60">
            <v>7.347931</v>
          </cell>
        </row>
        <row r="61">
          <cell r="A61">
            <v>39539</v>
          </cell>
          <cell r="B61">
            <v>7.767811</v>
          </cell>
        </row>
        <row r="62">
          <cell r="A62">
            <v>39540</v>
          </cell>
          <cell r="B62">
            <v>7.8097969999999997</v>
          </cell>
        </row>
        <row r="63">
          <cell r="A63">
            <v>39541</v>
          </cell>
          <cell r="B63">
            <v>7.7006319999999997</v>
          </cell>
        </row>
        <row r="64">
          <cell r="A64">
            <v>39542</v>
          </cell>
          <cell r="B64">
            <v>7.767811</v>
          </cell>
        </row>
        <row r="65">
          <cell r="A65">
            <v>39545</v>
          </cell>
          <cell r="B65">
            <v>7.6880319999999998</v>
          </cell>
        </row>
        <row r="66">
          <cell r="A66">
            <v>39546</v>
          </cell>
          <cell r="B66">
            <v>7.5494719999999997</v>
          </cell>
        </row>
        <row r="67">
          <cell r="A67">
            <v>39547</v>
          </cell>
          <cell r="B67">
            <v>7.3353339999999996</v>
          </cell>
        </row>
        <row r="68">
          <cell r="A68">
            <v>39548</v>
          </cell>
          <cell r="B68">
            <v>7.3689239999999998</v>
          </cell>
        </row>
        <row r="69">
          <cell r="A69">
            <v>39549</v>
          </cell>
          <cell r="B69">
            <v>7.2471579999999998</v>
          </cell>
        </row>
        <row r="70">
          <cell r="A70">
            <v>39552</v>
          </cell>
          <cell r="B70">
            <v>7.1253919999999997</v>
          </cell>
        </row>
        <row r="71">
          <cell r="A71">
            <v>39553</v>
          </cell>
          <cell r="B71">
            <v>7.2723490000000002</v>
          </cell>
        </row>
        <row r="72">
          <cell r="A72">
            <v>39554</v>
          </cell>
          <cell r="B72">
            <v>7.4235100000000003</v>
          </cell>
        </row>
        <row r="73">
          <cell r="A73">
            <v>39555</v>
          </cell>
          <cell r="B73">
            <v>7.4151100000000003</v>
          </cell>
        </row>
        <row r="74">
          <cell r="A74">
            <v>39556</v>
          </cell>
          <cell r="B74">
            <v>7.6754389999999999</v>
          </cell>
        </row>
        <row r="75">
          <cell r="A75">
            <v>39559</v>
          </cell>
          <cell r="B75">
            <v>7.5788650000000004</v>
          </cell>
        </row>
        <row r="76">
          <cell r="A76">
            <v>39560</v>
          </cell>
          <cell r="B76">
            <v>7.431908</v>
          </cell>
        </row>
        <row r="77">
          <cell r="A77">
            <v>39561</v>
          </cell>
          <cell r="B77">
            <v>7.4948899999999998</v>
          </cell>
        </row>
        <row r="78">
          <cell r="A78">
            <v>39562</v>
          </cell>
          <cell r="B78">
            <v>6.713908</v>
          </cell>
        </row>
        <row r="79">
          <cell r="A79">
            <v>39563</v>
          </cell>
          <cell r="B79">
            <v>6.6593229999999997</v>
          </cell>
        </row>
        <row r="80">
          <cell r="A80">
            <v>39566</v>
          </cell>
          <cell r="B80">
            <v>6.5753469999999998</v>
          </cell>
        </row>
        <row r="81">
          <cell r="A81">
            <v>39567</v>
          </cell>
          <cell r="B81">
            <v>6.8020849999999999</v>
          </cell>
        </row>
        <row r="82">
          <cell r="A82">
            <v>39568</v>
          </cell>
          <cell r="B82">
            <v>6.8146789999999999</v>
          </cell>
        </row>
        <row r="83">
          <cell r="A83">
            <v>39569</v>
          </cell>
          <cell r="B83">
            <v>6.9910310000000004</v>
          </cell>
        </row>
        <row r="84">
          <cell r="A84">
            <v>39570</v>
          </cell>
          <cell r="B84">
            <v>6.9112520000000002</v>
          </cell>
        </row>
        <row r="85">
          <cell r="A85">
            <v>39573</v>
          </cell>
          <cell r="B85">
            <v>6.8608669999999998</v>
          </cell>
        </row>
        <row r="86">
          <cell r="A86">
            <v>39574</v>
          </cell>
          <cell r="B86">
            <v>6.8692650000000004</v>
          </cell>
        </row>
        <row r="87">
          <cell r="A87">
            <v>39575</v>
          </cell>
          <cell r="B87">
            <v>6.6971129999999999</v>
          </cell>
        </row>
        <row r="88">
          <cell r="A88">
            <v>39576</v>
          </cell>
          <cell r="B88">
            <v>6.655125</v>
          </cell>
        </row>
        <row r="89">
          <cell r="A89">
            <v>39577</v>
          </cell>
          <cell r="B89">
            <v>6.6593229999999997</v>
          </cell>
        </row>
        <row r="90">
          <cell r="A90">
            <v>39580</v>
          </cell>
          <cell r="B90">
            <v>6.7349030000000001</v>
          </cell>
        </row>
        <row r="91">
          <cell r="A91">
            <v>39581</v>
          </cell>
          <cell r="B91">
            <v>6.6971129999999999</v>
          </cell>
        </row>
        <row r="92">
          <cell r="A92">
            <v>39582</v>
          </cell>
          <cell r="B92">
            <v>6.6845169999999996</v>
          </cell>
        </row>
        <row r="93">
          <cell r="A93">
            <v>39583</v>
          </cell>
          <cell r="B93">
            <v>6.7474990000000004</v>
          </cell>
        </row>
        <row r="94">
          <cell r="A94">
            <v>39584</v>
          </cell>
          <cell r="B94">
            <v>7.1589850000000004</v>
          </cell>
        </row>
        <row r="95">
          <cell r="A95">
            <v>39587</v>
          </cell>
          <cell r="B95">
            <v>7.1673799999999996</v>
          </cell>
        </row>
        <row r="96">
          <cell r="A96">
            <v>39588</v>
          </cell>
          <cell r="B96">
            <v>7.0708070000000003</v>
          </cell>
        </row>
        <row r="97">
          <cell r="A97">
            <v>39589</v>
          </cell>
          <cell r="B97">
            <v>7.003628</v>
          </cell>
        </row>
        <row r="98">
          <cell r="A98">
            <v>39590</v>
          </cell>
          <cell r="B98">
            <v>7.1757780000000002</v>
          </cell>
        </row>
        <row r="99">
          <cell r="A99">
            <v>39591</v>
          </cell>
          <cell r="B99">
            <v>7.1169929999999999</v>
          </cell>
        </row>
        <row r="100">
          <cell r="A100">
            <v>39595</v>
          </cell>
          <cell r="B100">
            <v>7.3521280000000004</v>
          </cell>
        </row>
        <row r="101">
          <cell r="A101">
            <v>39596</v>
          </cell>
          <cell r="B101">
            <v>7.4864930000000003</v>
          </cell>
        </row>
        <row r="102">
          <cell r="A102">
            <v>39597</v>
          </cell>
          <cell r="B102">
            <v>7.6964300000000003</v>
          </cell>
        </row>
        <row r="103">
          <cell r="A103">
            <v>39598</v>
          </cell>
          <cell r="B103">
            <v>7.6376470000000003</v>
          </cell>
        </row>
        <row r="104">
          <cell r="A104">
            <v>39601</v>
          </cell>
          <cell r="B104">
            <v>7.5284789999999999</v>
          </cell>
        </row>
        <row r="105">
          <cell r="A105">
            <v>39602</v>
          </cell>
          <cell r="B105">
            <v>7.4528999999999996</v>
          </cell>
        </row>
        <row r="106">
          <cell r="A106">
            <v>39603</v>
          </cell>
          <cell r="B106">
            <v>7.608257</v>
          </cell>
        </row>
        <row r="107">
          <cell r="A107">
            <v>39604</v>
          </cell>
          <cell r="B107">
            <v>7.7762079999999996</v>
          </cell>
        </row>
        <row r="108">
          <cell r="A108">
            <v>39605</v>
          </cell>
          <cell r="B108">
            <v>7.4193090000000002</v>
          </cell>
        </row>
        <row r="109">
          <cell r="A109">
            <v>39608</v>
          </cell>
          <cell r="B109">
            <v>7.3563280000000004</v>
          </cell>
        </row>
        <row r="110">
          <cell r="A110">
            <v>39609</v>
          </cell>
          <cell r="B110">
            <v>7.490691</v>
          </cell>
        </row>
        <row r="111">
          <cell r="A111">
            <v>39610</v>
          </cell>
          <cell r="B111">
            <v>7.3773200000000001</v>
          </cell>
        </row>
        <row r="112">
          <cell r="A112">
            <v>39611</v>
          </cell>
          <cell r="B112">
            <v>7.4822930000000003</v>
          </cell>
        </row>
        <row r="113">
          <cell r="A113">
            <v>39612</v>
          </cell>
          <cell r="B113">
            <v>7.6292520000000001</v>
          </cell>
        </row>
        <row r="114">
          <cell r="A114">
            <v>39615</v>
          </cell>
          <cell r="B114">
            <v>7.7048259999999997</v>
          </cell>
        </row>
        <row r="115">
          <cell r="A115">
            <v>39616</v>
          </cell>
          <cell r="B115">
            <v>7.608257</v>
          </cell>
        </row>
        <row r="116">
          <cell r="A116">
            <v>39617</v>
          </cell>
          <cell r="B116">
            <v>7.4613009999999997</v>
          </cell>
        </row>
        <row r="117">
          <cell r="A117">
            <v>39618</v>
          </cell>
          <cell r="B117">
            <v>7.5536700000000003</v>
          </cell>
        </row>
        <row r="118">
          <cell r="A118">
            <v>39619</v>
          </cell>
          <cell r="B118">
            <v>7.2345600000000001</v>
          </cell>
        </row>
        <row r="119">
          <cell r="A119">
            <v>39622</v>
          </cell>
          <cell r="B119">
            <v>6.8440729999999999</v>
          </cell>
        </row>
        <row r="120">
          <cell r="A120">
            <v>39623</v>
          </cell>
          <cell r="B120">
            <v>6.9574400000000001</v>
          </cell>
        </row>
        <row r="121">
          <cell r="A121">
            <v>39624</v>
          </cell>
          <cell r="B121">
            <v>7.1841780000000002</v>
          </cell>
        </row>
        <row r="122">
          <cell r="A122">
            <v>39625</v>
          </cell>
          <cell r="B122">
            <v>6.8356760000000003</v>
          </cell>
        </row>
        <row r="123">
          <cell r="A123">
            <v>39626</v>
          </cell>
          <cell r="B123">
            <v>6.8650669999999998</v>
          </cell>
        </row>
        <row r="124">
          <cell r="A124">
            <v>39629</v>
          </cell>
          <cell r="B124">
            <v>6.6089390000000003</v>
          </cell>
        </row>
        <row r="125">
          <cell r="A125">
            <v>39630</v>
          </cell>
          <cell r="B125">
            <v>6.5585529999999999</v>
          </cell>
        </row>
        <row r="126">
          <cell r="A126">
            <v>39631</v>
          </cell>
          <cell r="B126">
            <v>6.5837459999999997</v>
          </cell>
        </row>
        <row r="127">
          <cell r="A127">
            <v>39632</v>
          </cell>
          <cell r="B127">
            <v>6.5333600000000001</v>
          </cell>
        </row>
        <row r="128">
          <cell r="A128">
            <v>39636</v>
          </cell>
          <cell r="B128">
            <v>6.2772309999999996</v>
          </cell>
        </row>
        <row r="129">
          <cell r="A129">
            <v>39637</v>
          </cell>
          <cell r="B129">
            <v>6.4409859999999997</v>
          </cell>
        </row>
        <row r="130">
          <cell r="A130">
            <v>39638</v>
          </cell>
          <cell r="B130">
            <v>6.1806599999999996</v>
          </cell>
        </row>
        <row r="131">
          <cell r="A131">
            <v>39639</v>
          </cell>
          <cell r="B131">
            <v>6.0336990000000004</v>
          </cell>
        </row>
        <row r="132">
          <cell r="A132">
            <v>39640</v>
          </cell>
          <cell r="B132">
            <v>5.9035359999999999</v>
          </cell>
        </row>
        <row r="133">
          <cell r="A133">
            <v>39643</v>
          </cell>
          <cell r="B133">
            <v>5.8783450000000004</v>
          </cell>
        </row>
        <row r="134">
          <cell r="A134">
            <v>39644</v>
          </cell>
          <cell r="B134">
            <v>5.701994</v>
          </cell>
        </row>
        <row r="135">
          <cell r="A135">
            <v>39645</v>
          </cell>
          <cell r="B135">
            <v>6.0211040000000002</v>
          </cell>
        </row>
        <row r="136">
          <cell r="A136">
            <v>39646</v>
          </cell>
          <cell r="B136">
            <v>6.0420980000000002</v>
          </cell>
        </row>
        <row r="137">
          <cell r="A137">
            <v>39647</v>
          </cell>
          <cell r="B137">
            <v>6.0211040000000002</v>
          </cell>
        </row>
        <row r="138">
          <cell r="A138">
            <v>39650</v>
          </cell>
          <cell r="B138">
            <v>5.9161320000000002</v>
          </cell>
        </row>
        <row r="139">
          <cell r="A139">
            <v>39651</v>
          </cell>
          <cell r="B139">
            <v>6.3528099999999998</v>
          </cell>
        </row>
        <row r="140">
          <cell r="A140">
            <v>39652</v>
          </cell>
          <cell r="B140">
            <v>6.4745759999999999</v>
          </cell>
        </row>
        <row r="141">
          <cell r="A141">
            <v>39653</v>
          </cell>
          <cell r="B141">
            <v>6.1050800000000001</v>
          </cell>
        </row>
        <row r="142">
          <cell r="A142">
            <v>39654</v>
          </cell>
          <cell r="B142">
            <v>6.0546949999999997</v>
          </cell>
        </row>
        <row r="143">
          <cell r="A143">
            <v>39657</v>
          </cell>
          <cell r="B143">
            <v>5.9749169999999996</v>
          </cell>
        </row>
        <row r="144">
          <cell r="A144">
            <v>39658</v>
          </cell>
          <cell r="B144">
            <v>6.2940259999999997</v>
          </cell>
        </row>
        <row r="145">
          <cell r="A145">
            <v>39659</v>
          </cell>
          <cell r="B145">
            <v>6.1596640000000003</v>
          </cell>
        </row>
        <row r="146">
          <cell r="A146">
            <v>39660</v>
          </cell>
          <cell r="B146">
            <v>6.1680640000000002</v>
          </cell>
        </row>
        <row r="147">
          <cell r="A147">
            <v>39661</v>
          </cell>
          <cell r="B147">
            <v>6.0546949999999997</v>
          </cell>
        </row>
        <row r="148">
          <cell r="A148">
            <v>39664</v>
          </cell>
          <cell r="B148">
            <v>5.9035359999999999</v>
          </cell>
        </row>
        <row r="149">
          <cell r="A149">
            <v>39665</v>
          </cell>
          <cell r="B149">
            <v>6.0966839999999998</v>
          </cell>
        </row>
        <row r="150">
          <cell r="A150">
            <v>39666</v>
          </cell>
          <cell r="B150">
            <v>6.2730329999999999</v>
          </cell>
        </row>
        <row r="151">
          <cell r="A151">
            <v>39667</v>
          </cell>
          <cell r="B151">
            <v>6.0966839999999998</v>
          </cell>
        </row>
        <row r="152">
          <cell r="A152">
            <v>39668</v>
          </cell>
          <cell r="B152">
            <v>6.3486120000000001</v>
          </cell>
        </row>
        <row r="153">
          <cell r="A153">
            <v>39671</v>
          </cell>
          <cell r="B153">
            <v>6.8440729999999999</v>
          </cell>
        </row>
        <row r="154">
          <cell r="A154">
            <v>39672</v>
          </cell>
          <cell r="B154">
            <v>6.8692650000000004</v>
          </cell>
        </row>
        <row r="155">
          <cell r="A155">
            <v>39673</v>
          </cell>
          <cell r="B155">
            <v>6.8440729999999999</v>
          </cell>
        </row>
        <row r="156">
          <cell r="A156">
            <v>39674</v>
          </cell>
          <cell r="B156">
            <v>7.1043979999999998</v>
          </cell>
        </row>
        <row r="157">
          <cell r="A157">
            <v>39675</v>
          </cell>
          <cell r="B157">
            <v>7.0078259999999997</v>
          </cell>
        </row>
        <row r="158">
          <cell r="A158">
            <v>39678</v>
          </cell>
          <cell r="B158">
            <v>6.9322470000000003</v>
          </cell>
        </row>
        <row r="159">
          <cell r="A159">
            <v>39679</v>
          </cell>
          <cell r="B159">
            <v>6.6971129999999999</v>
          </cell>
        </row>
        <row r="160">
          <cell r="A160">
            <v>39680</v>
          </cell>
          <cell r="B160">
            <v>6.6215339999999996</v>
          </cell>
        </row>
        <row r="161">
          <cell r="A161">
            <v>39681</v>
          </cell>
          <cell r="B161">
            <v>6.5837459999999997</v>
          </cell>
        </row>
        <row r="162">
          <cell r="A162">
            <v>39682</v>
          </cell>
          <cell r="B162">
            <v>6.7349030000000001</v>
          </cell>
        </row>
        <row r="163">
          <cell r="A163">
            <v>39685</v>
          </cell>
          <cell r="B163">
            <v>6.5165660000000001</v>
          </cell>
        </row>
        <row r="164">
          <cell r="A164">
            <v>39686</v>
          </cell>
          <cell r="B164">
            <v>6.512365</v>
          </cell>
        </row>
        <row r="165">
          <cell r="A165">
            <v>39687</v>
          </cell>
          <cell r="B165">
            <v>6.5459550000000002</v>
          </cell>
        </row>
        <row r="166">
          <cell r="A166">
            <v>39688</v>
          </cell>
          <cell r="B166">
            <v>6.7097100000000003</v>
          </cell>
        </row>
        <row r="167">
          <cell r="A167">
            <v>39689</v>
          </cell>
          <cell r="B167">
            <v>6.5333600000000001</v>
          </cell>
        </row>
        <row r="168">
          <cell r="A168">
            <v>39693</v>
          </cell>
          <cell r="B168">
            <v>6.6089390000000003</v>
          </cell>
        </row>
        <row r="169">
          <cell r="A169">
            <v>39694</v>
          </cell>
          <cell r="B169">
            <v>6.6887160000000003</v>
          </cell>
        </row>
        <row r="170">
          <cell r="A170">
            <v>39695</v>
          </cell>
          <cell r="B170">
            <v>6.331817</v>
          </cell>
        </row>
        <row r="171">
          <cell r="A171">
            <v>39696</v>
          </cell>
          <cell r="B171">
            <v>6.3738060000000001</v>
          </cell>
        </row>
        <row r="172">
          <cell r="A172">
            <v>39699</v>
          </cell>
          <cell r="B172">
            <v>6.5249620000000004</v>
          </cell>
        </row>
        <row r="173">
          <cell r="A173">
            <v>39700</v>
          </cell>
          <cell r="B173">
            <v>6.3150209999999998</v>
          </cell>
        </row>
        <row r="174">
          <cell r="A174">
            <v>39701</v>
          </cell>
          <cell r="B174">
            <v>6.3234180000000002</v>
          </cell>
        </row>
        <row r="175">
          <cell r="A175">
            <v>39702</v>
          </cell>
          <cell r="B175">
            <v>6.5627500000000003</v>
          </cell>
        </row>
        <row r="176">
          <cell r="A176">
            <v>39703</v>
          </cell>
          <cell r="B176">
            <v>6.4367890000000001</v>
          </cell>
        </row>
        <row r="177">
          <cell r="A177">
            <v>39706</v>
          </cell>
          <cell r="B177">
            <v>6.331817</v>
          </cell>
        </row>
        <row r="178">
          <cell r="A178">
            <v>39707</v>
          </cell>
          <cell r="B178">
            <v>6.7307040000000002</v>
          </cell>
        </row>
        <row r="179">
          <cell r="A179">
            <v>39708</v>
          </cell>
          <cell r="B179">
            <v>6.5417579999999997</v>
          </cell>
        </row>
        <row r="180">
          <cell r="A180">
            <v>39709</v>
          </cell>
          <cell r="B180">
            <v>6.7307040000000002</v>
          </cell>
        </row>
        <row r="181">
          <cell r="A181">
            <v>39710</v>
          </cell>
          <cell r="B181">
            <v>6.7768899999999999</v>
          </cell>
        </row>
        <row r="182">
          <cell r="A182">
            <v>39713</v>
          </cell>
          <cell r="B182">
            <v>6.4073950000000002</v>
          </cell>
        </row>
        <row r="183">
          <cell r="A183">
            <v>39714</v>
          </cell>
          <cell r="B183">
            <v>6.3234180000000002</v>
          </cell>
        </row>
        <row r="184">
          <cell r="A184">
            <v>39715</v>
          </cell>
          <cell r="B184">
            <v>6.2520389999999999</v>
          </cell>
        </row>
        <row r="185">
          <cell r="A185">
            <v>39716</v>
          </cell>
          <cell r="B185">
            <v>6.2688350000000002</v>
          </cell>
        </row>
        <row r="186">
          <cell r="A186">
            <v>39717</v>
          </cell>
          <cell r="B186">
            <v>6.2814329999999998</v>
          </cell>
        </row>
        <row r="187">
          <cell r="A187">
            <v>39720</v>
          </cell>
          <cell r="B187">
            <v>5.9497249999999999</v>
          </cell>
        </row>
        <row r="188">
          <cell r="A188">
            <v>39721</v>
          </cell>
          <cell r="B188">
            <v>6.2436410000000002</v>
          </cell>
        </row>
        <row r="189">
          <cell r="A189">
            <v>39722</v>
          </cell>
          <cell r="B189">
            <v>6.2142499999999998</v>
          </cell>
        </row>
        <row r="190">
          <cell r="A190">
            <v>39723</v>
          </cell>
          <cell r="B190">
            <v>5.9497249999999999</v>
          </cell>
        </row>
        <row r="191">
          <cell r="A191">
            <v>39724</v>
          </cell>
          <cell r="B191">
            <v>5.7355850000000004</v>
          </cell>
        </row>
        <row r="192">
          <cell r="A192">
            <v>39727</v>
          </cell>
          <cell r="B192">
            <v>5.4458659999999997</v>
          </cell>
        </row>
        <row r="193">
          <cell r="A193">
            <v>39728</v>
          </cell>
          <cell r="B193">
            <v>5.1561469999999998</v>
          </cell>
        </row>
        <row r="194">
          <cell r="A194">
            <v>39729</v>
          </cell>
          <cell r="B194">
            <v>4.8412360000000003</v>
          </cell>
        </row>
        <row r="195">
          <cell r="A195">
            <v>39730</v>
          </cell>
          <cell r="B195">
            <v>4.6228980000000002</v>
          </cell>
        </row>
        <row r="196">
          <cell r="A196">
            <v>39731</v>
          </cell>
          <cell r="B196">
            <v>4.6522889999999997</v>
          </cell>
        </row>
        <row r="197">
          <cell r="A197">
            <v>39734</v>
          </cell>
          <cell r="B197">
            <v>4.929411</v>
          </cell>
        </row>
        <row r="198">
          <cell r="A198">
            <v>39735</v>
          </cell>
          <cell r="B198">
            <v>4.7446640000000002</v>
          </cell>
        </row>
        <row r="199">
          <cell r="A199">
            <v>39736</v>
          </cell>
          <cell r="B199">
            <v>4.2492029999999996</v>
          </cell>
        </row>
        <row r="200">
          <cell r="A200">
            <v>39737</v>
          </cell>
          <cell r="B200">
            <v>4.4339510000000004</v>
          </cell>
        </row>
        <row r="201">
          <cell r="A201">
            <v>39738</v>
          </cell>
          <cell r="B201">
            <v>4.3877639999999998</v>
          </cell>
        </row>
        <row r="202">
          <cell r="A202">
            <v>39741</v>
          </cell>
          <cell r="B202">
            <v>4.6732839999999998</v>
          </cell>
        </row>
        <row r="203">
          <cell r="A203">
            <v>39742</v>
          </cell>
          <cell r="B203">
            <v>4.4129550000000002</v>
          </cell>
        </row>
        <row r="204">
          <cell r="A204">
            <v>39743</v>
          </cell>
          <cell r="B204">
            <v>4.1946180000000002</v>
          </cell>
        </row>
        <row r="205">
          <cell r="A205">
            <v>39744</v>
          </cell>
          <cell r="B205">
            <v>4.3079859999999996</v>
          </cell>
        </row>
        <row r="206">
          <cell r="A206">
            <v>39745</v>
          </cell>
          <cell r="B206">
            <v>4.0644539999999996</v>
          </cell>
        </row>
        <row r="207">
          <cell r="A207">
            <v>39748</v>
          </cell>
          <cell r="B207">
            <v>4.0266659999999996</v>
          </cell>
        </row>
        <row r="208">
          <cell r="A208">
            <v>39749</v>
          </cell>
          <cell r="B208">
            <v>4.5599129999999999</v>
          </cell>
        </row>
        <row r="209">
          <cell r="A209">
            <v>39750</v>
          </cell>
          <cell r="B209">
            <v>4.7572590000000003</v>
          </cell>
        </row>
        <row r="210">
          <cell r="A210">
            <v>39751</v>
          </cell>
          <cell r="B210">
            <v>5.2989059999999997</v>
          </cell>
        </row>
        <row r="211">
          <cell r="A211">
            <v>39752</v>
          </cell>
          <cell r="B211">
            <v>5.5130470000000003</v>
          </cell>
        </row>
        <row r="212">
          <cell r="A212">
            <v>39755</v>
          </cell>
          <cell r="B212">
            <v>5.2611179999999997</v>
          </cell>
        </row>
        <row r="213">
          <cell r="A213">
            <v>39756</v>
          </cell>
          <cell r="B213">
            <v>5.2233280000000004</v>
          </cell>
        </row>
        <row r="214">
          <cell r="A214">
            <v>39757</v>
          </cell>
          <cell r="B214">
            <v>4.9000180000000002</v>
          </cell>
        </row>
        <row r="215">
          <cell r="A215">
            <v>39758</v>
          </cell>
          <cell r="B215">
            <v>4.6564870000000003</v>
          </cell>
        </row>
        <row r="216">
          <cell r="A216">
            <v>39759</v>
          </cell>
          <cell r="B216">
            <v>4.4297529999999998</v>
          </cell>
        </row>
        <row r="217">
          <cell r="A217">
            <v>39762</v>
          </cell>
          <cell r="B217">
            <v>4.2827929999999999</v>
          </cell>
        </row>
        <row r="218">
          <cell r="A218">
            <v>39763</v>
          </cell>
          <cell r="B218">
            <v>4.1946180000000002</v>
          </cell>
        </row>
        <row r="219">
          <cell r="A219">
            <v>39764</v>
          </cell>
          <cell r="B219">
            <v>3.917497</v>
          </cell>
        </row>
        <row r="220">
          <cell r="A220">
            <v>39765</v>
          </cell>
          <cell r="B220">
            <v>3.9090989999999999</v>
          </cell>
        </row>
        <row r="221">
          <cell r="A221">
            <v>39766</v>
          </cell>
          <cell r="B221">
            <v>3.6151810000000002</v>
          </cell>
        </row>
        <row r="222">
          <cell r="A222">
            <v>39769</v>
          </cell>
          <cell r="B222">
            <v>3.6277780000000002</v>
          </cell>
        </row>
        <row r="223">
          <cell r="A223">
            <v>39770</v>
          </cell>
          <cell r="B223">
            <v>3.5186090000000001</v>
          </cell>
        </row>
        <row r="224">
          <cell r="A224">
            <v>39771</v>
          </cell>
          <cell r="B224">
            <v>3.346457</v>
          </cell>
        </row>
        <row r="225">
          <cell r="A225">
            <v>39772</v>
          </cell>
          <cell r="B225">
            <v>3.0105520000000001</v>
          </cell>
        </row>
        <row r="226">
          <cell r="A226">
            <v>39773</v>
          </cell>
          <cell r="B226">
            <v>3.287674</v>
          </cell>
        </row>
        <row r="227">
          <cell r="A227">
            <v>39776</v>
          </cell>
          <cell r="B227">
            <v>3.5480010000000002</v>
          </cell>
        </row>
        <row r="228">
          <cell r="A228">
            <v>39777</v>
          </cell>
          <cell r="B228">
            <v>3.4472299999999998</v>
          </cell>
        </row>
        <row r="229">
          <cell r="A229">
            <v>39778</v>
          </cell>
          <cell r="B229">
            <v>3.6865610000000002</v>
          </cell>
        </row>
        <row r="230">
          <cell r="A230">
            <v>39780</v>
          </cell>
          <cell r="B230">
            <v>3.7495430000000001</v>
          </cell>
        </row>
        <row r="231">
          <cell r="A231">
            <v>39783</v>
          </cell>
          <cell r="B231">
            <v>3.33806</v>
          </cell>
        </row>
        <row r="232">
          <cell r="A232">
            <v>39784</v>
          </cell>
          <cell r="B232">
            <v>3.581591</v>
          </cell>
        </row>
        <row r="233">
          <cell r="A233">
            <v>39785</v>
          </cell>
          <cell r="B233">
            <v>3.6277780000000002</v>
          </cell>
        </row>
        <row r="234">
          <cell r="A234">
            <v>39786</v>
          </cell>
          <cell r="B234">
            <v>3.6151810000000002</v>
          </cell>
        </row>
        <row r="235">
          <cell r="A235">
            <v>39787</v>
          </cell>
          <cell r="B235">
            <v>3.8293200000000001</v>
          </cell>
        </row>
        <row r="236">
          <cell r="A236">
            <v>39790</v>
          </cell>
          <cell r="B236">
            <v>4.0308650000000004</v>
          </cell>
        </row>
        <row r="237">
          <cell r="A237">
            <v>39791</v>
          </cell>
          <cell r="B237">
            <v>3.8923030000000001</v>
          </cell>
        </row>
        <row r="238">
          <cell r="A238">
            <v>39792</v>
          </cell>
          <cell r="B238">
            <v>4.0014729999999998</v>
          </cell>
        </row>
        <row r="239">
          <cell r="A239">
            <v>39793</v>
          </cell>
          <cell r="B239">
            <v>3.7663380000000002</v>
          </cell>
        </row>
        <row r="240">
          <cell r="A240">
            <v>39794</v>
          </cell>
          <cell r="B240">
            <v>3.9216950000000002</v>
          </cell>
        </row>
        <row r="241">
          <cell r="A241">
            <v>39797</v>
          </cell>
          <cell r="B241">
            <v>3.778934</v>
          </cell>
        </row>
        <row r="242">
          <cell r="A242">
            <v>39798</v>
          </cell>
          <cell r="B242">
            <v>4.0812499999999998</v>
          </cell>
        </row>
        <row r="243">
          <cell r="A243">
            <v>39799</v>
          </cell>
          <cell r="B243">
            <v>4.1274389999999999</v>
          </cell>
        </row>
        <row r="244">
          <cell r="A244">
            <v>39800</v>
          </cell>
          <cell r="B244">
            <v>4.0266659999999996</v>
          </cell>
        </row>
        <row r="245">
          <cell r="A245">
            <v>39801</v>
          </cell>
          <cell r="B245">
            <v>4.1484319999999997</v>
          </cell>
        </row>
        <row r="246">
          <cell r="A246">
            <v>39804</v>
          </cell>
          <cell r="B246">
            <v>3.9300929999999998</v>
          </cell>
        </row>
        <row r="247">
          <cell r="A247">
            <v>39805</v>
          </cell>
          <cell r="B247">
            <v>3.8587129999999998</v>
          </cell>
        </row>
        <row r="248">
          <cell r="A248">
            <v>39806</v>
          </cell>
          <cell r="B248">
            <v>3.9216950000000002</v>
          </cell>
        </row>
        <row r="249">
          <cell r="A249">
            <v>39808</v>
          </cell>
          <cell r="B249">
            <v>3.925894</v>
          </cell>
        </row>
        <row r="250">
          <cell r="A250">
            <v>39811</v>
          </cell>
          <cell r="B250">
            <v>3.791531</v>
          </cell>
        </row>
        <row r="251">
          <cell r="A251">
            <v>39812</v>
          </cell>
          <cell r="B251">
            <v>3.9300929999999998</v>
          </cell>
        </row>
        <row r="252">
          <cell r="A252">
            <v>39813</v>
          </cell>
          <cell r="B252">
            <v>3.9720810000000002</v>
          </cell>
        </row>
        <row r="253">
          <cell r="A253">
            <v>39815</v>
          </cell>
          <cell r="B253">
            <v>4.1316369999999996</v>
          </cell>
        </row>
        <row r="254">
          <cell r="A254">
            <v>39818</v>
          </cell>
          <cell r="B254">
            <v>4.1652269999999998</v>
          </cell>
        </row>
        <row r="255">
          <cell r="A255">
            <v>39819</v>
          </cell>
          <cell r="B255">
            <v>4.2911910000000004</v>
          </cell>
        </row>
        <row r="256">
          <cell r="A256">
            <v>39820</v>
          </cell>
          <cell r="B256">
            <v>4.1946180000000002</v>
          </cell>
        </row>
        <row r="257">
          <cell r="A257">
            <v>39821</v>
          </cell>
          <cell r="B257">
            <v>4.2576000000000001</v>
          </cell>
        </row>
        <row r="258">
          <cell r="A258">
            <v>39822</v>
          </cell>
          <cell r="B258">
            <v>4.1022460000000001</v>
          </cell>
        </row>
        <row r="259">
          <cell r="A259">
            <v>39825</v>
          </cell>
          <cell r="B259">
            <v>4.0266659999999996</v>
          </cell>
        </row>
        <row r="260">
          <cell r="A260">
            <v>39826</v>
          </cell>
          <cell r="B260">
            <v>3.9342920000000001</v>
          </cell>
        </row>
        <row r="261">
          <cell r="A261">
            <v>39827</v>
          </cell>
          <cell r="B261">
            <v>3.7957299999999998</v>
          </cell>
        </row>
        <row r="262">
          <cell r="A262">
            <v>39828</v>
          </cell>
          <cell r="B262">
            <v>3.8965000000000001</v>
          </cell>
        </row>
        <row r="263">
          <cell r="A263">
            <v>39829</v>
          </cell>
          <cell r="B263">
            <v>3.9720810000000002</v>
          </cell>
        </row>
        <row r="264">
          <cell r="A264">
            <v>39833</v>
          </cell>
          <cell r="B264">
            <v>3.732748</v>
          </cell>
        </row>
        <row r="265">
          <cell r="A265">
            <v>39834</v>
          </cell>
          <cell r="B265">
            <v>3.799928</v>
          </cell>
        </row>
        <row r="266">
          <cell r="A266">
            <v>39835</v>
          </cell>
          <cell r="B266">
            <v>3.8293200000000001</v>
          </cell>
        </row>
        <row r="267">
          <cell r="A267">
            <v>39836</v>
          </cell>
          <cell r="B267">
            <v>3.8125260000000001</v>
          </cell>
        </row>
        <row r="268">
          <cell r="A268">
            <v>39839</v>
          </cell>
          <cell r="B268">
            <v>3.778934</v>
          </cell>
        </row>
        <row r="269">
          <cell r="A269">
            <v>39840</v>
          </cell>
          <cell r="B269">
            <v>3.841917</v>
          </cell>
        </row>
        <row r="270">
          <cell r="A270">
            <v>39841</v>
          </cell>
          <cell r="B270">
            <v>4.051857</v>
          </cell>
        </row>
        <row r="271">
          <cell r="A271">
            <v>39842</v>
          </cell>
          <cell r="B271">
            <v>4.051857</v>
          </cell>
        </row>
        <row r="272">
          <cell r="A272">
            <v>39843</v>
          </cell>
          <cell r="B272">
            <v>3.9636830000000001</v>
          </cell>
        </row>
        <row r="273">
          <cell r="A273">
            <v>39846</v>
          </cell>
          <cell r="B273">
            <v>3.9636830000000001</v>
          </cell>
        </row>
        <row r="274">
          <cell r="A274">
            <v>39847</v>
          </cell>
          <cell r="B274">
            <v>4.1274389999999999</v>
          </cell>
        </row>
        <row r="275">
          <cell r="A275">
            <v>39848</v>
          </cell>
          <cell r="B275">
            <v>4.1022460000000001</v>
          </cell>
        </row>
        <row r="276">
          <cell r="A276">
            <v>39849</v>
          </cell>
          <cell r="B276">
            <v>4.2534010000000002</v>
          </cell>
        </row>
        <row r="277">
          <cell r="A277">
            <v>39850</v>
          </cell>
          <cell r="B277">
            <v>4.4255519999999997</v>
          </cell>
        </row>
        <row r="278">
          <cell r="A278">
            <v>39853</v>
          </cell>
          <cell r="B278">
            <v>4.5011330000000003</v>
          </cell>
        </row>
        <row r="279">
          <cell r="A279">
            <v>39854</v>
          </cell>
          <cell r="B279">
            <v>4.1568310000000004</v>
          </cell>
        </row>
        <row r="280">
          <cell r="A280">
            <v>39855</v>
          </cell>
          <cell r="B280">
            <v>4.1946180000000002</v>
          </cell>
        </row>
        <row r="281">
          <cell r="A281">
            <v>39856</v>
          </cell>
          <cell r="B281">
            <v>4.2743950000000002</v>
          </cell>
        </row>
        <row r="282">
          <cell r="A282">
            <v>39857</v>
          </cell>
          <cell r="B282">
            <v>4.2534010000000002</v>
          </cell>
        </row>
        <row r="283">
          <cell r="A283">
            <v>39861</v>
          </cell>
          <cell r="B283">
            <v>4.051857</v>
          </cell>
        </row>
        <row r="284">
          <cell r="A284">
            <v>39862</v>
          </cell>
          <cell r="B284">
            <v>4.051857</v>
          </cell>
        </row>
        <row r="285">
          <cell r="A285">
            <v>39863</v>
          </cell>
          <cell r="B285">
            <v>3.9972729999999999</v>
          </cell>
        </row>
        <row r="286">
          <cell r="A286">
            <v>39864</v>
          </cell>
          <cell r="B286">
            <v>4.0224669999999998</v>
          </cell>
        </row>
        <row r="287">
          <cell r="A287">
            <v>39867</v>
          </cell>
          <cell r="B287">
            <v>3.846117</v>
          </cell>
        </row>
        <row r="288">
          <cell r="A288">
            <v>39868</v>
          </cell>
          <cell r="B288">
            <v>4.0014729999999998</v>
          </cell>
        </row>
        <row r="289">
          <cell r="A289">
            <v>39869</v>
          </cell>
          <cell r="B289">
            <v>3.9552860000000001</v>
          </cell>
        </row>
        <row r="290">
          <cell r="A290">
            <v>39870</v>
          </cell>
          <cell r="B290">
            <v>3.787334</v>
          </cell>
        </row>
        <row r="291">
          <cell r="A291">
            <v>39871</v>
          </cell>
          <cell r="B291">
            <v>3.841917</v>
          </cell>
        </row>
        <row r="292">
          <cell r="A292">
            <v>39874</v>
          </cell>
          <cell r="B292">
            <v>3.6823630000000001</v>
          </cell>
        </row>
        <row r="293">
          <cell r="A293">
            <v>39875</v>
          </cell>
          <cell r="B293">
            <v>3.6025839999999998</v>
          </cell>
        </row>
        <row r="294">
          <cell r="A294">
            <v>39876</v>
          </cell>
          <cell r="B294">
            <v>3.7075550000000002</v>
          </cell>
        </row>
        <row r="295">
          <cell r="A295">
            <v>39877</v>
          </cell>
          <cell r="B295">
            <v>3.5941879999999999</v>
          </cell>
        </row>
        <row r="296">
          <cell r="A296">
            <v>39878</v>
          </cell>
          <cell r="B296">
            <v>3.510211</v>
          </cell>
        </row>
        <row r="297">
          <cell r="A297">
            <v>39881</v>
          </cell>
          <cell r="B297">
            <v>3.4724219999999999</v>
          </cell>
        </row>
        <row r="298">
          <cell r="A298">
            <v>39882</v>
          </cell>
          <cell r="B298">
            <v>3.83352</v>
          </cell>
        </row>
        <row r="299">
          <cell r="A299">
            <v>39883</v>
          </cell>
          <cell r="B299">
            <v>3.871308</v>
          </cell>
        </row>
        <row r="300">
          <cell r="A300">
            <v>39884</v>
          </cell>
          <cell r="B300">
            <v>4.2282070000000003</v>
          </cell>
        </row>
        <row r="301">
          <cell r="A301">
            <v>39885</v>
          </cell>
          <cell r="B301">
            <v>4.4339510000000004</v>
          </cell>
        </row>
        <row r="302">
          <cell r="A302">
            <v>39888</v>
          </cell>
          <cell r="B302">
            <v>4.5263249999999999</v>
          </cell>
        </row>
        <row r="303">
          <cell r="A303">
            <v>39889</v>
          </cell>
          <cell r="B303">
            <v>4.6774820000000004</v>
          </cell>
        </row>
        <row r="304">
          <cell r="A304">
            <v>39890</v>
          </cell>
          <cell r="B304">
            <v>4.8286379999999998</v>
          </cell>
        </row>
        <row r="305">
          <cell r="A305">
            <v>39891</v>
          </cell>
          <cell r="B305">
            <v>4.8664300000000003</v>
          </cell>
        </row>
        <row r="306">
          <cell r="A306">
            <v>39892</v>
          </cell>
          <cell r="B306">
            <v>4.6858810000000002</v>
          </cell>
        </row>
        <row r="307">
          <cell r="A307">
            <v>39895</v>
          </cell>
          <cell r="B307">
            <v>5.0637740000000004</v>
          </cell>
        </row>
        <row r="308">
          <cell r="A308">
            <v>39896</v>
          </cell>
          <cell r="B308">
            <v>4.7530590000000004</v>
          </cell>
        </row>
        <row r="309">
          <cell r="A309">
            <v>39897</v>
          </cell>
          <cell r="B309">
            <v>4.6858810000000002</v>
          </cell>
        </row>
        <row r="310">
          <cell r="A310">
            <v>39898</v>
          </cell>
          <cell r="B310">
            <v>5.2023339999999996</v>
          </cell>
        </row>
        <row r="311">
          <cell r="A311">
            <v>39899</v>
          </cell>
          <cell r="B311">
            <v>4.9420080000000004</v>
          </cell>
        </row>
        <row r="312">
          <cell r="A312">
            <v>39902</v>
          </cell>
          <cell r="B312">
            <v>4.7278690000000001</v>
          </cell>
        </row>
        <row r="313">
          <cell r="A313">
            <v>39903</v>
          </cell>
          <cell r="B313">
            <v>4.6648839999999998</v>
          </cell>
        </row>
        <row r="314">
          <cell r="A314">
            <v>39904</v>
          </cell>
          <cell r="B314">
            <v>4.6900769999999996</v>
          </cell>
        </row>
        <row r="315">
          <cell r="A315">
            <v>39905</v>
          </cell>
          <cell r="B315">
            <v>4.9630000000000001</v>
          </cell>
        </row>
        <row r="316">
          <cell r="A316">
            <v>39906</v>
          </cell>
          <cell r="B316">
            <v>4.908417</v>
          </cell>
        </row>
        <row r="317">
          <cell r="A317">
            <v>39909</v>
          </cell>
          <cell r="B317">
            <v>4.7950480000000004</v>
          </cell>
        </row>
        <row r="318">
          <cell r="A318">
            <v>39910</v>
          </cell>
          <cell r="B318">
            <v>4.6984760000000003</v>
          </cell>
        </row>
        <row r="319">
          <cell r="A319">
            <v>39911</v>
          </cell>
          <cell r="B319">
            <v>4.8244400000000001</v>
          </cell>
        </row>
        <row r="320">
          <cell r="A320">
            <v>39912</v>
          </cell>
          <cell r="B320">
            <v>5.0385790000000004</v>
          </cell>
        </row>
        <row r="321">
          <cell r="A321">
            <v>39916</v>
          </cell>
          <cell r="B321">
            <v>5.0427799999999996</v>
          </cell>
        </row>
        <row r="322">
          <cell r="A322">
            <v>39917</v>
          </cell>
          <cell r="B322">
            <v>4.9839979999999997</v>
          </cell>
        </row>
        <row r="323">
          <cell r="A323">
            <v>39918</v>
          </cell>
          <cell r="B323">
            <v>4.8958209999999998</v>
          </cell>
        </row>
        <row r="324">
          <cell r="A324">
            <v>39919</v>
          </cell>
          <cell r="B324">
            <v>4.8748250000000004</v>
          </cell>
        </row>
        <row r="325">
          <cell r="A325">
            <v>39920</v>
          </cell>
          <cell r="B325">
            <v>5.0637740000000004</v>
          </cell>
        </row>
        <row r="326">
          <cell r="A326">
            <v>39923</v>
          </cell>
          <cell r="B326">
            <v>4.7740549999999997</v>
          </cell>
        </row>
        <row r="327">
          <cell r="A327">
            <v>39924</v>
          </cell>
          <cell r="B327">
            <v>4.9588039999999998</v>
          </cell>
        </row>
        <row r="328">
          <cell r="A328">
            <v>39925</v>
          </cell>
          <cell r="B328">
            <v>5.277914</v>
          </cell>
        </row>
        <row r="329">
          <cell r="A329">
            <v>39926</v>
          </cell>
          <cell r="B329">
            <v>5.6096190000000004</v>
          </cell>
        </row>
        <row r="330">
          <cell r="A330">
            <v>39927</v>
          </cell>
          <cell r="B330">
            <v>5.6726010000000002</v>
          </cell>
        </row>
        <row r="331">
          <cell r="A331">
            <v>39930</v>
          </cell>
          <cell r="B331">
            <v>5.5424389999999999</v>
          </cell>
        </row>
        <row r="332">
          <cell r="A332">
            <v>39931</v>
          </cell>
          <cell r="B332">
            <v>5.6684039999999998</v>
          </cell>
        </row>
        <row r="333">
          <cell r="A333">
            <v>39932</v>
          </cell>
          <cell r="B333">
            <v>5.7481809999999998</v>
          </cell>
        </row>
        <row r="334">
          <cell r="A334">
            <v>39933</v>
          </cell>
          <cell r="B334">
            <v>6.071491</v>
          </cell>
        </row>
        <row r="335">
          <cell r="A335">
            <v>39934</v>
          </cell>
          <cell r="B335">
            <v>5.7943670000000003</v>
          </cell>
        </row>
        <row r="336">
          <cell r="A336">
            <v>39937</v>
          </cell>
          <cell r="B336">
            <v>5.9791150000000002</v>
          </cell>
        </row>
        <row r="337">
          <cell r="A337">
            <v>39938</v>
          </cell>
          <cell r="B337">
            <v>5.9707189999999999</v>
          </cell>
        </row>
        <row r="338">
          <cell r="A338">
            <v>39939</v>
          </cell>
          <cell r="B338">
            <v>5.8867409999999998</v>
          </cell>
        </row>
        <row r="339">
          <cell r="A339">
            <v>39940</v>
          </cell>
          <cell r="B339">
            <v>5.8825440000000002</v>
          </cell>
        </row>
        <row r="340">
          <cell r="A340">
            <v>39941</v>
          </cell>
          <cell r="B340">
            <v>5.7355850000000004</v>
          </cell>
        </row>
        <row r="341">
          <cell r="A341">
            <v>39944</v>
          </cell>
          <cell r="B341">
            <v>5.6474080000000004</v>
          </cell>
        </row>
        <row r="342">
          <cell r="A342">
            <v>39945</v>
          </cell>
          <cell r="B342">
            <v>5.5340410000000002</v>
          </cell>
        </row>
        <row r="343">
          <cell r="A343">
            <v>39946</v>
          </cell>
          <cell r="B343">
            <v>5.3534920000000001</v>
          </cell>
        </row>
        <row r="344">
          <cell r="A344">
            <v>39947</v>
          </cell>
          <cell r="B344">
            <v>5.3450949999999997</v>
          </cell>
        </row>
        <row r="345">
          <cell r="A345">
            <v>39948</v>
          </cell>
          <cell r="B345">
            <v>5.4332690000000001</v>
          </cell>
        </row>
        <row r="346">
          <cell r="A346">
            <v>39951</v>
          </cell>
          <cell r="B346">
            <v>5.6222159999999999</v>
          </cell>
        </row>
        <row r="347">
          <cell r="A347">
            <v>39952</v>
          </cell>
          <cell r="B347">
            <v>5.6348120000000002</v>
          </cell>
        </row>
        <row r="348">
          <cell r="A348">
            <v>39953</v>
          </cell>
          <cell r="B348">
            <v>5.6893969999999996</v>
          </cell>
        </row>
        <row r="349">
          <cell r="A349">
            <v>39954</v>
          </cell>
          <cell r="B349">
            <v>5.6390120000000001</v>
          </cell>
        </row>
        <row r="350">
          <cell r="A350">
            <v>39955</v>
          </cell>
          <cell r="B350">
            <v>5.4584619999999999</v>
          </cell>
        </row>
        <row r="351">
          <cell r="A351">
            <v>39959</v>
          </cell>
          <cell r="B351">
            <v>5.6684039999999998</v>
          </cell>
        </row>
        <row r="352">
          <cell r="A352">
            <v>39960</v>
          </cell>
          <cell r="B352">
            <v>5.6264139999999996</v>
          </cell>
        </row>
        <row r="353">
          <cell r="A353">
            <v>39961</v>
          </cell>
          <cell r="B353">
            <v>5.7565770000000001</v>
          </cell>
        </row>
        <row r="354">
          <cell r="A354">
            <v>39962</v>
          </cell>
          <cell r="B354">
            <v>6.0420980000000002</v>
          </cell>
        </row>
        <row r="355">
          <cell r="A355">
            <v>39965</v>
          </cell>
          <cell r="B355">
            <v>6.2646360000000003</v>
          </cell>
        </row>
        <row r="356">
          <cell r="A356">
            <v>39966</v>
          </cell>
          <cell r="B356">
            <v>6.2226460000000001</v>
          </cell>
        </row>
        <row r="357">
          <cell r="A357">
            <v>39967</v>
          </cell>
          <cell r="B357">
            <v>6.4241910000000004</v>
          </cell>
        </row>
        <row r="358">
          <cell r="A358">
            <v>39968</v>
          </cell>
          <cell r="B358">
            <v>6.3696060000000001</v>
          </cell>
        </row>
        <row r="359">
          <cell r="A359">
            <v>39969</v>
          </cell>
          <cell r="B359">
            <v>6.3360139999999996</v>
          </cell>
        </row>
        <row r="360">
          <cell r="A360">
            <v>39972</v>
          </cell>
          <cell r="B360">
            <v>6.2856290000000001</v>
          </cell>
        </row>
        <row r="361">
          <cell r="A361">
            <v>39973</v>
          </cell>
          <cell r="B361">
            <v>6.3822010000000002</v>
          </cell>
        </row>
        <row r="362">
          <cell r="A362">
            <v>39974</v>
          </cell>
          <cell r="B362">
            <v>6.2562379999999997</v>
          </cell>
        </row>
        <row r="363">
          <cell r="A363">
            <v>39975</v>
          </cell>
          <cell r="B363">
            <v>5.987514</v>
          </cell>
        </row>
        <row r="364">
          <cell r="A364">
            <v>39976</v>
          </cell>
          <cell r="B364">
            <v>6.1092779999999998</v>
          </cell>
        </row>
        <row r="365">
          <cell r="A365">
            <v>39979</v>
          </cell>
          <cell r="B365">
            <v>5.9287299999999998</v>
          </cell>
        </row>
        <row r="366">
          <cell r="A366">
            <v>39980</v>
          </cell>
          <cell r="B366">
            <v>5.8783450000000004</v>
          </cell>
        </row>
        <row r="367">
          <cell r="A367">
            <v>39981</v>
          </cell>
          <cell r="B367">
            <v>6.0043090000000001</v>
          </cell>
        </row>
        <row r="368">
          <cell r="A368">
            <v>39982</v>
          </cell>
          <cell r="B368">
            <v>5.924531</v>
          </cell>
        </row>
        <row r="369">
          <cell r="A369">
            <v>39983</v>
          </cell>
          <cell r="B369">
            <v>5.9791150000000002</v>
          </cell>
        </row>
        <row r="370">
          <cell r="A370">
            <v>39986</v>
          </cell>
          <cell r="B370">
            <v>5.7565770000000001</v>
          </cell>
        </row>
        <row r="371">
          <cell r="A371">
            <v>39987</v>
          </cell>
          <cell r="B371">
            <v>5.9455249999999999</v>
          </cell>
        </row>
        <row r="372">
          <cell r="A372">
            <v>39988</v>
          </cell>
          <cell r="B372">
            <v>5.96652</v>
          </cell>
        </row>
        <row r="373">
          <cell r="A373">
            <v>39989</v>
          </cell>
          <cell r="B373">
            <v>6.2310460000000001</v>
          </cell>
        </row>
        <row r="374">
          <cell r="A374">
            <v>39990</v>
          </cell>
          <cell r="B374">
            <v>6.1008800000000001</v>
          </cell>
        </row>
        <row r="375">
          <cell r="A375">
            <v>39993</v>
          </cell>
          <cell r="B375">
            <v>6.1470690000000001</v>
          </cell>
        </row>
        <row r="376">
          <cell r="A376">
            <v>39994</v>
          </cell>
          <cell r="B376">
            <v>5.8321579999999997</v>
          </cell>
        </row>
        <row r="377">
          <cell r="A377">
            <v>39995</v>
          </cell>
          <cell r="B377">
            <v>5.8783450000000004</v>
          </cell>
        </row>
        <row r="378">
          <cell r="A378">
            <v>39996</v>
          </cell>
          <cell r="B378">
            <v>5.6222159999999999</v>
          </cell>
        </row>
        <row r="379">
          <cell r="A379">
            <v>40000</v>
          </cell>
          <cell r="B379">
            <v>5.6264139999999996</v>
          </cell>
        </row>
        <row r="380">
          <cell r="A380">
            <v>40001</v>
          </cell>
          <cell r="B380">
            <v>5.4458659999999997</v>
          </cell>
        </row>
        <row r="381">
          <cell r="A381">
            <v>40002</v>
          </cell>
          <cell r="B381">
            <v>5.475257</v>
          </cell>
        </row>
        <row r="382">
          <cell r="A382">
            <v>40003</v>
          </cell>
          <cell r="B382">
            <v>5.7271859999999997</v>
          </cell>
        </row>
        <row r="383">
          <cell r="A383">
            <v>40004</v>
          </cell>
          <cell r="B383">
            <v>5.6474080000000004</v>
          </cell>
        </row>
        <row r="384">
          <cell r="A384">
            <v>40007</v>
          </cell>
          <cell r="B384">
            <v>5.8993380000000002</v>
          </cell>
        </row>
        <row r="385">
          <cell r="A385">
            <v>40008</v>
          </cell>
          <cell r="B385">
            <v>5.924531</v>
          </cell>
        </row>
        <row r="386">
          <cell r="A386">
            <v>40009</v>
          </cell>
          <cell r="B386">
            <v>6.0546949999999997</v>
          </cell>
        </row>
        <row r="387">
          <cell r="A387">
            <v>40010</v>
          </cell>
          <cell r="B387">
            <v>6.0504939999999996</v>
          </cell>
        </row>
        <row r="388">
          <cell r="A388">
            <v>40011</v>
          </cell>
          <cell r="B388">
            <v>6.0630930000000003</v>
          </cell>
        </row>
        <row r="389">
          <cell r="A389">
            <v>40014</v>
          </cell>
          <cell r="B389">
            <v>6.2646360000000003</v>
          </cell>
        </row>
        <row r="390">
          <cell r="A390">
            <v>40015</v>
          </cell>
          <cell r="B390">
            <v>6.1680640000000002</v>
          </cell>
        </row>
        <row r="391">
          <cell r="A391">
            <v>40016</v>
          </cell>
          <cell r="B391">
            <v>7.301742</v>
          </cell>
        </row>
        <row r="392">
          <cell r="A392">
            <v>40017</v>
          </cell>
          <cell r="B392">
            <v>7.2471579999999998</v>
          </cell>
        </row>
        <row r="393">
          <cell r="A393">
            <v>40018</v>
          </cell>
          <cell r="B393">
            <v>7.2303620000000004</v>
          </cell>
        </row>
        <row r="394">
          <cell r="A394">
            <v>40021</v>
          </cell>
          <cell r="B394">
            <v>7.263954</v>
          </cell>
        </row>
        <row r="395">
          <cell r="A395">
            <v>40022</v>
          </cell>
          <cell r="B395">
            <v>7.2891469999999998</v>
          </cell>
        </row>
        <row r="396">
          <cell r="A396">
            <v>40023</v>
          </cell>
          <cell r="B396">
            <v>7.2051679999999996</v>
          </cell>
        </row>
        <row r="397">
          <cell r="A397">
            <v>40024</v>
          </cell>
          <cell r="B397">
            <v>7.4025119999999998</v>
          </cell>
        </row>
        <row r="398">
          <cell r="A398">
            <v>40025</v>
          </cell>
          <cell r="B398">
            <v>7.431908</v>
          </cell>
        </row>
        <row r="399">
          <cell r="A399">
            <v>40028</v>
          </cell>
          <cell r="B399">
            <v>7.6712379999999998</v>
          </cell>
        </row>
        <row r="400">
          <cell r="A400">
            <v>40029</v>
          </cell>
          <cell r="B400">
            <v>7.851788</v>
          </cell>
        </row>
        <row r="401">
          <cell r="A401">
            <v>40030</v>
          </cell>
          <cell r="B401">
            <v>7.767811</v>
          </cell>
        </row>
        <row r="402">
          <cell r="A402">
            <v>40031</v>
          </cell>
          <cell r="B402">
            <v>7.6838329999999999</v>
          </cell>
        </row>
        <row r="403">
          <cell r="A403">
            <v>40032</v>
          </cell>
          <cell r="B403">
            <v>7.9903469999999999</v>
          </cell>
        </row>
        <row r="404">
          <cell r="A404">
            <v>40035</v>
          </cell>
          <cell r="B404">
            <v>8.0617300000000007</v>
          </cell>
        </row>
        <row r="405">
          <cell r="A405">
            <v>40036</v>
          </cell>
          <cell r="B405">
            <v>7.9189689999999997</v>
          </cell>
        </row>
        <row r="406">
          <cell r="A406">
            <v>40037</v>
          </cell>
          <cell r="B406">
            <v>8.074325</v>
          </cell>
        </row>
        <row r="407">
          <cell r="A407">
            <v>40038</v>
          </cell>
          <cell r="B407">
            <v>8.2464779999999998</v>
          </cell>
        </row>
        <row r="408">
          <cell r="A408">
            <v>40039</v>
          </cell>
          <cell r="B408">
            <v>8.0281380000000002</v>
          </cell>
        </row>
        <row r="409">
          <cell r="A409">
            <v>40042</v>
          </cell>
          <cell r="B409">
            <v>7.8181989999999999</v>
          </cell>
        </row>
        <row r="410">
          <cell r="A410">
            <v>40043</v>
          </cell>
          <cell r="B410">
            <v>7.9819500000000003</v>
          </cell>
        </row>
        <row r="411">
          <cell r="A411">
            <v>40044</v>
          </cell>
          <cell r="B411">
            <v>8.0281380000000002</v>
          </cell>
        </row>
        <row r="412">
          <cell r="A412">
            <v>40045</v>
          </cell>
          <cell r="B412">
            <v>8.0701250000000009</v>
          </cell>
        </row>
        <row r="413">
          <cell r="A413">
            <v>40046</v>
          </cell>
          <cell r="B413">
            <v>8.2758669999999999</v>
          </cell>
        </row>
        <row r="414">
          <cell r="A414">
            <v>40049</v>
          </cell>
          <cell r="B414">
            <v>8.0785230000000006</v>
          </cell>
        </row>
        <row r="415">
          <cell r="A415">
            <v>40050</v>
          </cell>
          <cell r="B415">
            <v>8.1876940000000005</v>
          </cell>
        </row>
        <row r="416">
          <cell r="A416">
            <v>40051</v>
          </cell>
          <cell r="B416">
            <v>8.1247109999999996</v>
          </cell>
        </row>
        <row r="417">
          <cell r="A417">
            <v>40052</v>
          </cell>
          <cell r="B417">
            <v>8.1624999999999996</v>
          </cell>
        </row>
        <row r="418">
          <cell r="A418">
            <v>40053</v>
          </cell>
          <cell r="B418">
            <v>8.1163139999999991</v>
          </cell>
        </row>
        <row r="419">
          <cell r="A419">
            <v>40056</v>
          </cell>
          <cell r="B419">
            <v>7.9735490000000002</v>
          </cell>
        </row>
        <row r="420">
          <cell r="A420">
            <v>40057</v>
          </cell>
          <cell r="B420">
            <v>7.7930010000000003</v>
          </cell>
        </row>
        <row r="421">
          <cell r="A421">
            <v>40058</v>
          </cell>
          <cell r="B421">
            <v>7.7930010000000003</v>
          </cell>
        </row>
        <row r="422">
          <cell r="A422">
            <v>40059</v>
          </cell>
          <cell r="B422">
            <v>7.847588</v>
          </cell>
        </row>
        <row r="423">
          <cell r="A423">
            <v>40060</v>
          </cell>
          <cell r="B423">
            <v>7.9861449999999996</v>
          </cell>
        </row>
        <row r="424">
          <cell r="A424">
            <v>40064</v>
          </cell>
          <cell r="B424">
            <v>8.0617300000000007</v>
          </cell>
        </row>
        <row r="425">
          <cell r="A425">
            <v>40065</v>
          </cell>
          <cell r="B425">
            <v>8.4354200000000006</v>
          </cell>
        </row>
        <row r="426">
          <cell r="A426">
            <v>40066</v>
          </cell>
          <cell r="B426">
            <v>8.3850379999999998</v>
          </cell>
        </row>
        <row r="427">
          <cell r="A427">
            <v>40067</v>
          </cell>
          <cell r="B427">
            <v>8.3514479999999995</v>
          </cell>
        </row>
        <row r="428">
          <cell r="A428">
            <v>40070</v>
          </cell>
          <cell r="B428">
            <v>8.4312229999999992</v>
          </cell>
        </row>
        <row r="429">
          <cell r="A429">
            <v>40071</v>
          </cell>
          <cell r="B429">
            <v>8.3094610000000007</v>
          </cell>
        </row>
        <row r="430">
          <cell r="A430">
            <v>40072</v>
          </cell>
          <cell r="B430">
            <v>8.3346529999999994</v>
          </cell>
        </row>
        <row r="431">
          <cell r="A431">
            <v>40073</v>
          </cell>
          <cell r="B431">
            <v>8.4312229999999992</v>
          </cell>
        </row>
        <row r="432">
          <cell r="A432">
            <v>40074</v>
          </cell>
          <cell r="B432">
            <v>8.7167429999999992</v>
          </cell>
        </row>
        <row r="433">
          <cell r="A433">
            <v>40077</v>
          </cell>
          <cell r="B433">
            <v>8.6789550000000002</v>
          </cell>
        </row>
        <row r="434">
          <cell r="A434">
            <v>40078</v>
          </cell>
          <cell r="B434">
            <v>8.5949810000000006</v>
          </cell>
        </row>
        <row r="435">
          <cell r="A435">
            <v>40079</v>
          </cell>
          <cell r="B435">
            <v>8.2674719999999997</v>
          </cell>
        </row>
        <row r="436">
          <cell r="A436">
            <v>40080</v>
          </cell>
          <cell r="B436">
            <v>8.0491290000000006</v>
          </cell>
        </row>
        <row r="437">
          <cell r="A437">
            <v>40081</v>
          </cell>
          <cell r="B437">
            <v>8.3262549999999997</v>
          </cell>
        </row>
        <row r="438">
          <cell r="A438">
            <v>40084</v>
          </cell>
          <cell r="B438">
            <v>8.6579599999999992</v>
          </cell>
        </row>
        <row r="439">
          <cell r="A439">
            <v>40085</v>
          </cell>
          <cell r="B439">
            <v>8.5571870000000008</v>
          </cell>
        </row>
        <row r="440">
          <cell r="A440">
            <v>40086</v>
          </cell>
          <cell r="B440">
            <v>8.6705579999999998</v>
          </cell>
        </row>
        <row r="441">
          <cell r="A441">
            <v>40087</v>
          </cell>
          <cell r="B441">
            <v>8.3850379999999998</v>
          </cell>
        </row>
        <row r="442">
          <cell r="A442">
            <v>40088</v>
          </cell>
          <cell r="B442">
            <v>8.2884650000000004</v>
          </cell>
        </row>
        <row r="443">
          <cell r="A443">
            <v>40091</v>
          </cell>
          <cell r="B443">
            <v>8.4228290000000001</v>
          </cell>
        </row>
        <row r="444">
          <cell r="A444">
            <v>40092</v>
          </cell>
          <cell r="B444">
            <v>8.6201740000000004</v>
          </cell>
        </row>
        <row r="445">
          <cell r="A445">
            <v>40093</v>
          </cell>
          <cell r="B445">
            <v>8.5655850000000004</v>
          </cell>
        </row>
        <row r="446">
          <cell r="A446">
            <v>40094</v>
          </cell>
          <cell r="B446">
            <v>8.5949810000000006</v>
          </cell>
        </row>
        <row r="447">
          <cell r="A447">
            <v>40095</v>
          </cell>
          <cell r="B447">
            <v>8.4984059999999992</v>
          </cell>
        </row>
        <row r="448">
          <cell r="A448">
            <v>40098</v>
          </cell>
          <cell r="B448">
            <v>8.5487900000000003</v>
          </cell>
        </row>
        <row r="449">
          <cell r="A449">
            <v>40099</v>
          </cell>
          <cell r="B449">
            <v>8.4774130000000003</v>
          </cell>
        </row>
        <row r="450">
          <cell r="A450">
            <v>40100</v>
          </cell>
          <cell r="B450">
            <v>8.624371</v>
          </cell>
        </row>
        <row r="451">
          <cell r="A451">
            <v>40101</v>
          </cell>
          <cell r="B451">
            <v>8.6999469999999999</v>
          </cell>
        </row>
        <row r="452">
          <cell r="A452">
            <v>40102</v>
          </cell>
          <cell r="B452">
            <v>8.6663589999999999</v>
          </cell>
        </row>
        <row r="453">
          <cell r="A453">
            <v>40105</v>
          </cell>
          <cell r="B453">
            <v>8.7923240000000007</v>
          </cell>
        </row>
        <row r="454">
          <cell r="A454">
            <v>40106</v>
          </cell>
          <cell r="B454">
            <v>8.6201740000000004</v>
          </cell>
        </row>
        <row r="455">
          <cell r="A455">
            <v>40107</v>
          </cell>
          <cell r="B455">
            <v>8.5403929999999999</v>
          </cell>
        </row>
        <row r="456">
          <cell r="A456">
            <v>40108</v>
          </cell>
          <cell r="B456">
            <v>8.6747540000000001</v>
          </cell>
        </row>
        <row r="457">
          <cell r="A457">
            <v>40109</v>
          </cell>
          <cell r="B457">
            <v>8.5110030000000005</v>
          </cell>
        </row>
        <row r="458">
          <cell r="A458">
            <v>40112</v>
          </cell>
          <cell r="B458">
            <v>8.418628</v>
          </cell>
        </row>
        <row r="459">
          <cell r="A459">
            <v>40113</v>
          </cell>
          <cell r="B459">
            <v>8.0155419999999999</v>
          </cell>
        </row>
        <row r="460">
          <cell r="A460">
            <v>40114</v>
          </cell>
          <cell r="B460">
            <v>7.8685830000000001</v>
          </cell>
        </row>
        <row r="461">
          <cell r="A461">
            <v>40115</v>
          </cell>
          <cell r="B461">
            <v>8.1960909999999991</v>
          </cell>
        </row>
        <row r="462">
          <cell r="A462">
            <v>40116</v>
          </cell>
          <cell r="B462">
            <v>7.9693529999999999</v>
          </cell>
        </row>
        <row r="463">
          <cell r="A463">
            <v>40119</v>
          </cell>
          <cell r="B463">
            <v>8.1373069999999998</v>
          </cell>
        </row>
        <row r="464">
          <cell r="A464">
            <v>40120</v>
          </cell>
          <cell r="B464">
            <v>8.154102</v>
          </cell>
        </row>
        <row r="465">
          <cell r="A465">
            <v>40121</v>
          </cell>
          <cell r="B465">
            <v>8.0659259999999993</v>
          </cell>
        </row>
        <row r="466">
          <cell r="A466">
            <v>40122</v>
          </cell>
          <cell r="B466">
            <v>8.2716709999999996</v>
          </cell>
        </row>
        <row r="467">
          <cell r="A467">
            <v>40123</v>
          </cell>
          <cell r="B467">
            <v>8.8679030000000001</v>
          </cell>
        </row>
        <row r="468">
          <cell r="A468">
            <v>40126</v>
          </cell>
          <cell r="B468">
            <v>8.8595070000000007</v>
          </cell>
        </row>
        <row r="469">
          <cell r="A469">
            <v>40127</v>
          </cell>
          <cell r="B469">
            <v>8.989668</v>
          </cell>
        </row>
        <row r="470">
          <cell r="A470">
            <v>40128</v>
          </cell>
          <cell r="B470">
            <v>9.1156310000000005</v>
          </cell>
        </row>
        <row r="471">
          <cell r="A471">
            <v>40129</v>
          </cell>
          <cell r="B471">
            <v>9.1030329999999999</v>
          </cell>
        </row>
        <row r="472">
          <cell r="A472">
            <v>40130</v>
          </cell>
          <cell r="B472">
            <v>9.1450209999999998</v>
          </cell>
        </row>
        <row r="473">
          <cell r="A473">
            <v>40133</v>
          </cell>
          <cell r="B473">
            <v>9.2625879999999992</v>
          </cell>
        </row>
        <row r="474">
          <cell r="A474">
            <v>40134</v>
          </cell>
          <cell r="B474">
            <v>9.2331970000000005</v>
          </cell>
        </row>
        <row r="475">
          <cell r="A475">
            <v>40135</v>
          </cell>
          <cell r="B475">
            <v>9.1198259999999998</v>
          </cell>
        </row>
        <row r="476">
          <cell r="A476">
            <v>40136</v>
          </cell>
          <cell r="B476">
            <v>9.0400519999999993</v>
          </cell>
        </row>
        <row r="477">
          <cell r="A477">
            <v>40137</v>
          </cell>
          <cell r="B477">
            <v>8.989668</v>
          </cell>
        </row>
        <row r="478">
          <cell r="A478">
            <v>40140</v>
          </cell>
          <cell r="B478">
            <v>9.0736460000000001</v>
          </cell>
        </row>
        <row r="479">
          <cell r="A479">
            <v>40141</v>
          </cell>
          <cell r="B479">
            <v>8.9560770000000005</v>
          </cell>
        </row>
        <row r="480">
          <cell r="A480">
            <v>40142</v>
          </cell>
          <cell r="B480">
            <v>9.1618189999999995</v>
          </cell>
        </row>
        <row r="481">
          <cell r="A481">
            <v>40144</v>
          </cell>
          <cell r="B481">
            <v>8.9980639999999994</v>
          </cell>
        </row>
        <row r="482">
          <cell r="A482">
            <v>40147</v>
          </cell>
          <cell r="B482">
            <v>9.1954089999999997</v>
          </cell>
        </row>
        <row r="483">
          <cell r="A483">
            <v>40148</v>
          </cell>
          <cell r="B483">
            <v>9.1240269999999999</v>
          </cell>
        </row>
        <row r="484">
          <cell r="A484">
            <v>40149</v>
          </cell>
          <cell r="B484">
            <v>9.1030329999999999</v>
          </cell>
        </row>
        <row r="485">
          <cell r="A485">
            <v>40150</v>
          </cell>
          <cell r="B485">
            <v>8.8679030000000001</v>
          </cell>
        </row>
        <row r="486">
          <cell r="A486">
            <v>40151</v>
          </cell>
          <cell r="B486">
            <v>9.069445</v>
          </cell>
        </row>
        <row r="487">
          <cell r="A487">
            <v>40154</v>
          </cell>
          <cell r="B487">
            <v>8.9854690000000002</v>
          </cell>
        </row>
        <row r="488">
          <cell r="A488">
            <v>40155</v>
          </cell>
          <cell r="B488">
            <v>8.9098900000000008</v>
          </cell>
        </row>
        <row r="489">
          <cell r="A489">
            <v>40156</v>
          </cell>
          <cell r="B489">
            <v>8.9434799999999992</v>
          </cell>
        </row>
        <row r="490">
          <cell r="A490">
            <v>40157</v>
          </cell>
          <cell r="B490">
            <v>9.3675639999999998</v>
          </cell>
        </row>
        <row r="491">
          <cell r="A491">
            <v>40158</v>
          </cell>
          <cell r="B491">
            <v>9.405348</v>
          </cell>
        </row>
        <row r="492">
          <cell r="A492">
            <v>40161</v>
          </cell>
          <cell r="B492">
            <v>9.5900960000000008</v>
          </cell>
        </row>
        <row r="493">
          <cell r="A493">
            <v>40162</v>
          </cell>
          <cell r="B493">
            <v>9.5439109999999996</v>
          </cell>
        </row>
        <row r="494">
          <cell r="A494">
            <v>40163</v>
          </cell>
          <cell r="B494">
            <v>9.4221470000000007</v>
          </cell>
        </row>
        <row r="495">
          <cell r="A495">
            <v>40164</v>
          </cell>
          <cell r="B495">
            <v>9.3423689999999997</v>
          </cell>
        </row>
        <row r="496">
          <cell r="A496">
            <v>40165</v>
          </cell>
          <cell r="B496">
            <v>9.9428009999999993</v>
          </cell>
        </row>
        <row r="497">
          <cell r="A497">
            <v>40168</v>
          </cell>
          <cell r="B497">
            <v>9.7160609999999998</v>
          </cell>
        </row>
        <row r="498">
          <cell r="A498">
            <v>40169</v>
          </cell>
          <cell r="B498">
            <v>9.9595950000000002</v>
          </cell>
        </row>
        <row r="499">
          <cell r="A499">
            <v>40170</v>
          </cell>
          <cell r="B499">
            <v>9.9679959999999994</v>
          </cell>
        </row>
        <row r="500">
          <cell r="A500">
            <v>40171</v>
          </cell>
          <cell r="B500">
            <v>9.9344020000000004</v>
          </cell>
        </row>
        <row r="501">
          <cell r="A501">
            <v>40175</v>
          </cell>
          <cell r="B501">
            <v>9.9973790000000005</v>
          </cell>
        </row>
        <row r="502">
          <cell r="A502">
            <v>40176</v>
          </cell>
          <cell r="B502">
            <v>9.8714189999999995</v>
          </cell>
        </row>
        <row r="503">
          <cell r="A503">
            <v>40177</v>
          </cell>
          <cell r="B503">
            <v>9.7874420000000004</v>
          </cell>
        </row>
        <row r="504">
          <cell r="A504">
            <v>40178</v>
          </cell>
          <cell r="B504">
            <v>9.6824709999999996</v>
          </cell>
        </row>
        <row r="505">
          <cell r="A505">
            <v>40182</v>
          </cell>
          <cell r="B505">
            <v>9.678274</v>
          </cell>
        </row>
        <row r="506">
          <cell r="A506">
            <v>40183</v>
          </cell>
          <cell r="B506">
            <v>9.9050089999999997</v>
          </cell>
        </row>
        <row r="507">
          <cell r="A507">
            <v>40184</v>
          </cell>
          <cell r="B507">
            <v>9.8336310000000005</v>
          </cell>
        </row>
        <row r="508">
          <cell r="A508">
            <v>40185</v>
          </cell>
          <cell r="B508">
            <v>9.8084380000000007</v>
          </cell>
        </row>
        <row r="509">
          <cell r="A509">
            <v>40186</v>
          </cell>
          <cell r="B509">
            <v>9.7748460000000001</v>
          </cell>
        </row>
        <row r="510">
          <cell r="A510">
            <v>40189</v>
          </cell>
          <cell r="B510">
            <v>9.7454540000000005</v>
          </cell>
        </row>
        <row r="511">
          <cell r="A511">
            <v>40190</v>
          </cell>
          <cell r="B511">
            <v>9.5816999999999997</v>
          </cell>
        </row>
        <row r="512">
          <cell r="A512">
            <v>40191</v>
          </cell>
          <cell r="B512">
            <v>9.8168330000000008</v>
          </cell>
        </row>
        <row r="513">
          <cell r="A513">
            <v>40192</v>
          </cell>
          <cell r="B513">
            <v>9.8882139999999996</v>
          </cell>
        </row>
        <row r="514">
          <cell r="A514">
            <v>40193</v>
          </cell>
          <cell r="B514">
            <v>9.7706470000000003</v>
          </cell>
        </row>
        <row r="515">
          <cell r="A515">
            <v>40197</v>
          </cell>
          <cell r="B515">
            <v>9.9008079999999996</v>
          </cell>
        </row>
        <row r="516">
          <cell r="A516">
            <v>40198</v>
          </cell>
          <cell r="B516">
            <v>9.7790420000000005</v>
          </cell>
        </row>
        <row r="517">
          <cell r="A517">
            <v>40199</v>
          </cell>
          <cell r="B517">
            <v>9.9428009999999993</v>
          </cell>
        </row>
        <row r="518">
          <cell r="A518">
            <v>40200</v>
          </cell>
          <cell r="B518">
            <v>9.619491</v>
          </cell>
        </row>
        <row r="519">
          <cell r="A519">
            <v>40203</v>
          </cell>
          <cell r="B519">
            <v>9.405348</v>
          </cell>
        </row>
        <row r="520">
          <cell r="A520">
            <v>40204</v>
          </cell>
          <cell r="B520">
            <v>9.4641339999999996</v>
          </cell>
        </row>
        <row r="521">
          <cell r="A521">
            <v>40205</v>
          </cell>
          <cell r="B521">
            <v>9.4095479999999991</v>
          </cell>
        </row>
        <row r="522">
          <cell r="A522">
            <v>40206</v>
          </cell>
          <cell r="B522">
            <v>9.2709869999999999</v>
          </cell>
        </row>
        <row r="523">
          <cell r="A523">
            <v>40207</v>
          </cell>
          <cell r="B523">
            <v>9.1492229999999992</v>
          </cell>
        </row>
        <row r="524">
          <cell r="A524">
            <v>40210</v>
          </cell>
          <cell r="B524">
            <v>9.3339689999999997</v>
          </cell>
        </row>
        <row r="525">
          <cell r="A525">
            <v>40211</v>
          </cell>
          <cell r="B525">
            <v>9.4263469999999998</v>
          </cell>
        </row>
        <row r="526">
          <cell r="A526">
            <v>40212</v>
          </cell>
          <cell r="B526">
            <v>9.4179449999999996</v>
          </cell>
        </row>
        <row r="527">
          <cell r="A527">
            <v>40213</v>
          </cell>
          <cell r="B527">
            <v>9.1576179999999994</v>
          </cell>
        </row>
        <row r="528">
          <cell r="A528">
            <v>40214</v>
          </cell>
          <cell r="B528">
            <v>9.1114320000000006</v>
          </cell>
        </row>
        <row r="529">
          <cell r="A529">
            <v>40217</v>
          </cell>
          <cell r="B529">
            <v>9.1996070000000003</v>
          </cell>
        </row>
        <row r="530">
          <cell r="A530">
            <v>40218</v>
          </cell>
          <cell r="B530">
            <v>9.3171739999999996</v>
          </cell>
        </row>
        <row r="531">
          <cell r="A531">
            <v>40219</v>
          </cell>
          <cell r="B531">
            <v>9.3927519999999998</v>
          </cell>
        </row>
        <row r="532">
          <cell r="A532">
            <v>40220</v>
          </cell>
          <cell r="B532">
            <v>9.4725330000000003</v>
          </cell>
        </row>
        <row r="533">
          <cell r="A533">
            <v>40221</v>
          </cell>
          <cell r="B533">
            <v>9.4893269999999994</v>
          </cell>
        </row>
        <row r="534">
          <cell r="A534">
            <v>40225</v>
          </cell>
          <cell r="B534">
            <v>9.6068909999999992</v>
          </cell>
        </row>
        <row r="535">
          <cell r="A535">
            <v>40226</v>
          </cell>
          <cell r="B535">
            <v>9.7202599999999997</v>
          </cell>
        </row>
        <row r="536">
          <cell r="A536">
            <v>40227</v>
          </cell>
          <cell r="B536">
            <v>9.7664480000000005</v>
          </cell>
        </row>
        <row r="537">
          <cell r="A537">
            <v>40228</v>
          </cell>
          <cell r="B537">
            <v>9.8084380000000007</v>
          </cell>
        </row>
        <row r="538">
          <cell r="A538">
            <v>40231</v>
          </cell>
          <cell r="B538">
            <v>9.6152909999999991</v>
          </cell>
        </row>
        <row r="539">
          <cell r="A539">
            <v>40232</v>
          </cell>
          <cell r="B539">
            <v>9.5229160000000004</v>
          </cell>
        </row>
        <row r="540">
          <cell r="A540">
            <v>40233</v>
          </cell>
          <cell r="B540">
            <v>9.6908709999999996</v>
          </cell>
        </row>
        <row r="541">
          <cell r="A541">
            <v>40234</v>
          </cell>
          <cell r="B541">
            <v>9.6152909999999991</v>
          </cell>
        </row>
        <row r="542">
          <cell r="A542">
            <v>40235</v>
          </cell>
          <cell r="B542">
            <v>9.619491</v>
          </cell>
        </row>
        <row r="543">
          <cell r="A543">
            <v>40238</v>
          </cell>
          <cell r="B543">
            <v>9.7790420000000005</v>
          </cell>
        </row>
        <row r="544">
          <cell r="A544">
            <v>40239</v>
          </cell>
          <cell r="B544">
            <v>9.7958379999999998</v>
          </cell>
        </row>
        <row r="545">
          <cell r="A545">
            <v>40240</v>
          </cell>
          <cell r="B545">
            <v>9.6824709999999996</v>
          </cell>
        </row>
        <row r="546">
          <cell r="A546">
            <v>40241</v>
          </cell>
          <cell r="B546">
            <v>9.6236859999999993</v>
          </cell>
        </row>
        <row r="547">
          <cell r="A547">
            <v>40242</v>
          </cell>
          <cell r="B547">
            <v>9.8126339999999992</v>
          </cell>
        </row>
        <row r="548">
          <cell r="A548">
            <v>40245</v>
          </cell>
          <cell r="B548">
            <v>9.7916410000000003</v>
          </cell>
        </row>
        <row r="549">
          <cell r="A549">
            <v>40246</v>
          </cell>
          <cell r="B549">
            <v>9.9176070000000003</v>
          </cell>
        </row>
        <row r="550">
          <cell r="A550">
            <v>40247</v>
          </cell>
          <cell r="B550">
            <v>10.173736</v>
          </cell>
        </row>
        <row r="551">
          <cell r="A551">
            <v>40248</v>
          </cell>
          <cell r="B551">
            <v>10.190530000000001</v>
          </cell>
        </row>
        <row r="552">
          <cell r="A552">
            <v>40249</v>
          </cell>
          <cell r="B552">
            <v>10.194725</v>
          </cell>
        </row>
        <row r="553">
          <cell r="A553">
            <v>40252</v>
          </cell>
          <cell r="B553">
            <v>10.253513</v>
          </cell>
        </row>
        <row r="554">
          <cell r="A554">
            <v>40253</v>
          </cell>
          <cell r="B554">
            <v>10.61881</v>
          </cell>
        </row>
        <row r="555">
          <cell r="A555">
            <v>40254</v>
          </cell>
          <cell r="B555">
            <v>10.732176000000001</v>
          </cell>
        </row>
        <row r="556">
          <cell r="A556">
            <v>40255</v>
          </cell>
          <cell r="B556">
            <v>10.505444000000001</v>
          </cell>
        </row>
        <row r="557">
          <cell r="A557">
            <v>40256</v>
          </cell>
          <cell r="B557">
            <v>10.484442</v>
          </cell>
        </row>
        <row r="558">
          <cell r="A558">
            <v>40259</v>
          </cell>
          <cell r="B558">
            <v>10.597813</v>
          </cell>
        </row>
        <row r="559">
          <cell r="A559">
            <v>40260</v>
          </cell>
          <cell r="B559">
            <v>10.669195</v>
          </cell>
        </row>
        <row r="560">
          <cell r="A560">
            <v>40261</v>
          </cell>
          <cell r="B560">
            <v>10.61881</v>
          </cell>
        </row>
        <row r="561">
          <cell r="A561">
            <v>40262</v>
          </cell>
          <cell r="B561">
            <v>10.165338</v>
          </cell>
        </row>
        <row r="562">
          <cell r="A562">
            <v>40263</v>
          </cell>
          <cell r="B562">
            <v>10.324894</v>
          </cell>
        </row>
        <row r="563">
          <cell r="A563">
            <v>40266</v>
          </cell>
          <cell r="B563">
            <v>10.333288</v>
          </cell>
        </row>
        <row r="564">
          <cell r="A564">
            <v>40267</v>
          </cell>
          <cell r="B564">
            <v>10.312294</v>
          </cell>
        </row>
        <row r="565">
          <cell r="A565">
            <v>40268</v>
          </cell>
          <cell r="B565">
            <v>10.190530000000001</v>
          </cell>
        </row>
        <row r="566">
          <cell r="A566">
            <v>40269</v>
          </cell>
          <cell r="B566">
            <v>10.17793</v>
          </cell>
        </row>
        <row r="567">
          <cell r="A567">
            <v>40273</v>
          </cell>
          <cell r="B567">
            <v>10.376092999999999</v>
          </cell>
        </row>
        <row r="568">
          <cell r="A568">
            <v>40274</v>
          </cell>
          <cell r="B568">
            <v>10.371877</v>
          </cell>
        </row>
        <row r="569">
          <cell r="A569">
            <v>40275</v>
          </cell>
          <cell r="B569">
            <v>10.502583</v>
          </cell>
        </row>
        <row r="570">
          <cell r="A570">
            <v>40276</v>
          </cell>
          <cell r="B570">
            <v>10.468852</v>
          </cell>
        </row>
        <row r="571">
          <cell r="A571">
            <v>40277</v>
          </cell>
          <cell r="B571">
            <v>10.422472000000001</v>
          </cell>
        </row>
        <row r="572">
          <cell r="A572">
            <v>40280</v>
          </cell>
          <cell r="B572">
            <v>10.325499000000001</v>
          </cell>
        </row>
        <row r="573">
          <cell r="A573">
            <v>40281</v>
          </cell>
          <cell r="B573">
            <v>10.426685000000001</v>
          </cell>
        </row>
        <row r="574">
          <cell r="A574">
            <v>40282</v>
          </cell>
          <cell r="B574">
            <v>10.473068</v>
          </cell>
        </row>
        <row r="575">
          <cell r="A575">
            <v>40283</v>
          </cell>
          <cell r="B575">
            <v>10.595333999999999</v>
          </cell>
        </row>
        <row r="576">
          <cell r="A576">
            <v>40284</v>
          </cell>
          <cell r="B576">
            <v>10.52366</v>
          </cell>
        </row>
        <row r="577">
          <cell r="A577">
            <v>40287</v>
          </cell>
          <cell r="B577">
            <v>10.498364</v>
          </cell>
        </row>
        <row r="578">
          <cell r="A578">
            <v>40288</v>
          </cell>
          <cell r="B578">
            <v>10.650149000000001</v>
          </cell>
        </row>
        <row r="579">
          <cell r="A579">
            <v>40289</v>
          </cell>
          <cell r="B579">
            <v>10.70496</v>
          </cell>
        </row>
        <row r="580">
          <cell r="A580">
            <v>40290</v>
          </cell>
          <cell r="B580">
            <v>11.489174</v>
          </cell>
        </row>
        <row r="581">
          <cell r="A581">
            <v>40291</v>
          </cell>
          <cell r="B581">
            <v>11.493391000000001</v>
          </cell>
        </row>
        <row r="582">
          <cell r="A582">
            <v>40294</v>
          </cell>
          <cell r="B582">
            <v>11.548199</v>
          </cell>
        </row>
        <row r="583">
          <cell r="A583">
            <v>40295</v>
          </cell>
          <cell r="B583">
            <v>11.185608</v>
          </cell>
        </row>
        <row r="584">
          <cell r="A584">
            <v>40296</v>
          </cell>
          <cell r="B584">
            <v>11.054906000000001</v>
          </cell>
        </row>
        <row r="585">
          <cell r="A585">
            <v>40297</v>
          </cell>
          <cell r="B585">
            <v>11.215118</v>
          </cell>
        </row>
        <row r="586">
          <cell r="A586">
            <v>40298</v>
          </cell>
          <cell r="B586">
            <v>10.953713</v>
          </cell>
        </row>
        <row r="587">
          <cell r="A587">
            <v>40301</v>
          </cell>
          <cell r="B587">
            <v>11.459661000000001</v>
          </cell>
        </row>
        <row r="588">
          <cell r="A588">
            <v>40302</v>
          </cell>
          <cell r="B588">
            <v>10.974797000000001</v>
          </cell>
        </row>
        <row r="589">
          <cell r="A589">
            <v>40303</v>
          </cell>
          <cell r="B589">
            <v>11.054906000000001</v>
          </cell>
        </row>
        <row r="590">
          <cell r="A590">
            <v>40304</v>
          </cell>
          <cell r="B590">
            <v>10.797715999999999</v>
          </cell>
        </row>
        <row r="591">
          <cell r="A591">
            <v>40305</v>
          </cell>
          <cell r="B591">
            <v>10.730256000000001</v>
          </cell>
        </row>
        <row r="592">
          <cell r="A592">
            <v>40308</v>
          </cell>
          <cell r="B592">
            <v>11.400632</v>
          </cell>
        </row>
        <row r="593">
          <cell r="A593">
            <v>40309</v>
          </cell>
          <cell r="B593">
            <v>11.257277999999999</v>
          </cell>
        </row>
        <row r="594">
          <cell r="A594">
            <v>40310</v>
          </cell>
          <cell r="B594">
            <v>11.742146999999999</v>
          </cell>
        </row>
        <row r="595">
          <cell r="A595">
            <v>40311</v>
          </cell>
          <cell r="B595">
            <v>11.569281999999999</v>
          </cell>
        </row>
        <row r="596">
          <cell r="A596">
            <v>40312</v>
          </cell>
          <cell r="B596">
            <v>11.177175</v>
          </cell>
        </row>
        <row r="597">
          <cell r="A597">
            <v>40315</v>
          </cell>
          <cell r="B597">
            <v>11.34582</v>
          </cell>
        </row>
        <row r="598">
          <cell r="A598">
            <v>40316</v>
          </cell>
          <cell r="B598">
            <v>11.206687000000001</v>
          </cell>
        </row>
        <row r="599">
          <cell r="A599">
            <v>40317</v>
          </cell>
          <cell r="B599">
            <v>11.042255000000001</v>
          </cell>
        </row>
        <row r="600">
          <cell r="A600">
            <v>40318</v>
          </cell>
          <cell r="B600">
            <v>10.582694</v>
          </cell>
        </row>
        <row r="601">
          <cell r="A601">
            <v>40319</v>
          </cell>
          <cell r="B601">
            <v>10.662800000000001</v>
          </cell>
        </row>
        <row r="602">
          <cell r="A602">
            <v>40322</v>
          </cell>
          <cell r="B602">
            <v>10.570040000000001</v>
          </cell>
        </row>
        <row r="603">
          <cell r="A603">
            <v>40323</v>
          </cell>
          <cell r="B603">
            <v>10.506796</v>
          </cell>
        </row>
        <row r="604">
          <cell r="A604">
            <v>40324</v>
          </cell>
          <cell r="B604">
            <v>10.41826</v>
          </cell>
        </row>
        <row r="605">
          <cell r="A605">
            <v>40325</v>
          </cell>
          <cell r="B605">
            <v>10.97058</v>
          </cell>
        </row>
        <row r="606">
          <cell r="A606">
            <v>40326</v>
          </cell>
          <cell r="B606">
            <v>10.915766</v>
          </cell>
        </row>
        <row r="607">
          <cell r="A607">
            <v>40330</v>
          </cell>
          <cell r="B607">
            <v>10.835661</v>
          </cell>
        </row>
        <row r="608">
          <cell r="A608">
            <v>40331</v>
          </cell>
          <cell r="B608">
            <v>11.206687000000001</v>
          </cell>
        </row>
        <row r="609">
          <cell r="A609">
            <v>40332</v>
          </cell>
          <cell r="B609">
            <v>11.324743</v>
          </cell>
        </row>
        <row r="610">
          <cell r="A610">
            <v>40333</v>
          </cell>
          <cell r="B610">
            <v>11.025392</v>
          </cell>
        </row>
        <row r="611">
          <cell r="A611">
            <v>40336</v>
          </cell>
          <cell r="B611">
            <v>10.768204000000001</v>
          </cell>
        </row>
        <row r="612">
          <cell r="A612">
            <v>40337</v>
          </cell>
          <cell r="B612">
            <v>10.898904</v>
          </cell>
        </row>
        <row r="613">
          <cell r="A613">
            <v>40338</v>
          </cell>
          <cell r="B613">
            <v>11.092852000000001</v>
          </cell>
        </row>
        <row r="614">
          <cell r="A614">
            <v>40339</v>
          </cell>
          <cell r="B614">
            <v>11.375337999999999</v>
          </cell>
        </row>
        <row r="615">
          <cell r="A615">
            <v>40340</v>
          </cell>
          <cell r="B615">
            <v>11.447013</v>
          </cell>
        </row>
        <row r="616">
          <cell r="A616">
            <v>40343</v>
          </cell>
          <cell r="B616">
            <v>11.577716000000001</v>
          </cell>
        </row>
        <row r="617">
          <cell r="A617">
            <v>40344</v>
          </cell>
          <cell r="B617">
            <v>11.775876</v>
          </cell>
        </row>
        <row r="618">
          <cell r="A618">
            <v>40345</v>
          </cell>
          <cell r="B618">
            <v>11.801173</v>
          </cell>
        </row>
        <row r="619">
          <cell r="A619">
            <v>40346</v>
          </cell>
          <cell r="B619">
            <v>11.796958</v>
          </cell>
        </row>
        <row r="620">
          <cell r="A620">
            <v>40347</v>
          </cell>
          <cell r="B620">
            <v>11.843337999999999</v>
          </cell>
        </row>
        <row r="621">
          <cell r="A621">
            <v>40350</v>
          </cell>
          <cell r="B621">
            <v>11.813825</v>
          </cell>
        </row>
        <row r="622">
          <cell r="A622">
            <v>40351</v>
          </cell>
          <cell r="B622">
            <v>11.480740000000001</v>
          </cell>
        </row>
        <row r="623">
          <cell r="A623">
            <v>40352</v>
          </cell>
          <cell r="B623">
            <v>11.518687999999999</v>
          </cell>
        </row>
        <row r="624">
          <cell r="A624">
            <v>40353</v>
          </cell>
          <cell r="B624">
            <v>11.244631999999999</v>
          </cell>
        </row>
        <row r="625">
          <cell r="A625">
            <v>40354</v>
          </cell>
          <cell r="B625">
            <v>11.303660000000001</v>
          </cell>
        </row>
        <row r="626">
          <cell r="A626">
            <v>40357</v>
          </cell>
          <cell r="B626">
            <v>11.126580000000001</v>
          </cell>
        </row>
        <row r="627">
          <cell r="A627">
            <v>40358</v>
          </cell>
          <cell r="B627">
            <v>10.544741999999999</v>
          </cell>
        </row>
        <row r="628">
          <cell r="A628">
            <v>40359</v>
          </cell>
          <cell r="B628">
            <v>10.245391</v>
          </cell>
        </row>
        <row r="629">
          <cell r="A629">
            <v>40360</v>
          </cell>
          <cell r="B629">
            <v>10.397178</v>
          </cell>
        </row>
        <row r="630">
          <cell r="A630">
            <v>40361</v>
          </cell>
          <cell r="B630">
            <v>10.266473</v>
          </cell>
        </row>
        <row r="631">
          <cell r="A631">
            <v>40365</v>
          </cell>
          <cell r="B631">
            <v>9.9544730000000001</v>
          </cell>
        </row>
        <row r="632">
          <cell r="A632">
            <v>40366</v>
          </cell>
          <cell r="B632">
            <v>10.287554</v>
          </cell>
        </row>
        <row r="633">
          <cell r="A633">
            <v>40367</v>
          </cell>
          <cell r="B633">
            <v>10.473068</v>
          </cell>
        </row>
        <row r="634">
          <cell r="A634">
            <v>40368</v>
          </cell>
          <cell r="B634">
            <v>10.667013000000001</v>
          </cell>
        </row>
        <row r="635">
          <cell r="A635">
            <v>40371</v>
          </cell>
          <cell r="B635">
            <v>10.654365</v>
          </cell>
        </row>
        <row r="636">
          <cell r="A636">
            <v>40372</v>
          </cell>
          <cell r="B636">
            <v>10.936851000000001</v>
          </cell>
        </row>
        <row r="637">
          <cell r="A637">
            <v>40373</v>
          </cell>
          <cell r="B637">
            <v>10.962147</v>
          </cell>
        </row>
        <row r="638">
          <cell r="A638">
            <v>40374</v>
          </cell>
          <cell r="B638">
            <v>11.016959</v>
          </cell>
        </row>
        <row r="639">
          <cell r="A639">
            <v>40375</v>
          </cell>
          <cell r="B639">
            <v>10.688091999999999</v>
          </cell>
        </row>
        <row r="640">
          <cell r="A640">
            <v>40378</v>
          </cell>
          <cell r="B640">
            <v>10.747121999999999</v>
          </cell>
        </row>
        <row r="641">
          <cell r="A641">
            <v>40379</v>
          </cell>
          <cell r="B641">
            <v>10.865173</v>
          </cell>
        </row>
        <row r="642">
          <cell r="A642">
            <v>40380</v>
          </cell>
          <cell r="B642">
            <v>10.612202999999999</v>
          </cell>
        </row>
        <row r="643">
          <cell r="A643">
            <v>40381</v>
          </cell>
          <cell r="B643">
            <v>10.603769</v>
          </cell>
        </row>
        <row r="644">
          <cell r="A644">
            <v>40382</v>
          </cell>
          <cell r="B644">
            <v>10.700741000000001</v>
          </cell>
        </row>
        <row r="645">
          <cell r="A645">
            <v>40385</v>
          </cell>
          <cell r="B645">
            <v>10.70496</v>
          </cell>
        </row>
        <row r="646">
          <cell r="A646">
            <v>40386</v>
          </cell>
          <cell r="B646">
            <v>10.616419</v>
          </cell>
        </row>
        <row r="647">
          <cell r="A647">
            <v>40387</v>
          </cell>
          <cell r="B647">
            <v>10.536308999999999</v>
          </cell>
        </row>
        <row r="648">
          <cell r="A648">
            <v>40388</v>
          </cell>
          <cell r="B648">
            <v>10.464634</v>
          </cell>
        </row>
        <row r="649">
          <cell r="A649">
            <v>40389</v>
          </cell>
          <cell r="B649">
            <v>10.477283999999999</v>
          </cell>
        </row>
        <row r="650">
          <cell r="A650">
            <v>40392</v>
          </cell>
          <cell r="B650">
            <v>10.460331</v>
          </cell>
        </row>
        <row r="651">
          <cell r="A651">
            <v>40393</v>
          </cell>
          <cell r="B651">
            <v>10.477283</v>
          </cell>
        </row>
        <row r="652">
          <cell r="A652">
            <v>40394</v>
          </cell>
          <cell r="B652">
            <v>10.672250999999999</v>
          </cell>
        </row>
        <row r="653">
          <cell r="A653">
            <v>40395</v>
          </cell>
          <cell r="B653">
            <v>10.672250999999999</v>
          </cell>
        </row>
        <row r="654">
          <cell r="A654">
            <v>40396</v>
          </cell>
          <cell r="B654">
            <v>10.735825999999999</v>
          </cell>
        </row>
        <row r="655">
          <cell r="A655">
            <v>40399</v>
          </cell>
          <cell r="B655">
            <v>10.875688999999999</v>
          </cell>
        </row>
        <row r="656">
          <cell r="A656">
            <v>40400</v>
          </cell>
          <cell r="B656">
            <v>10.765495</v>
          </cell>
        </row>
        <row r="657">
          <cell r="A657">
            <v>40401</v>
          </cell>
          <cell r="B657">
            <v>10.451855</v>
          </cell>
        </row>
        <row r="658">
          <cell r="A658">
            <v>40402</v>
          </cell>
          <cell r="B658">
            <v>10.367087</v>
          </cell>
        </row>
        <row r="659">
          <cell r="A659">
            <v>40403</v>
          </cell>
          <cell r="B659">
            <v>10.167885</v>
          </cell>
        </row>
        <row r="660">
          <cell r="A660">
            <v>40406</v>
          </cell>
          <cell r="B660">
            <v>10.095829</v>
          </cell>
        </row>
        <row r="661">
          <cell r="A661">
            <v>40407</v>
          </cell>
          <cell r="B661">
            <v>10.299272</v>
          </cell>
        </row>
        <row r="662">
          <cell r="A662">
            <v>40408</v>
          </cell>
          <cell r="B662">
            <v>10.384038</v>
          </cell>
        </row>
        <row r="663">
          <cell r="A663">
            <v>40409</v>
          </cell>
          <cell r="B663">
            <v>10.189074</v>
          </cell>
        </row>
        <row r="664">
          <cell r="A664">
            <v>40410</v>
          </cell>
          <cell r="B664">
            <v>10.193314000000001</v>
          </cell>
        </row>
        <row r="665">
          <cell r="A665">
            <v>40413</v>
          </cell>
          <cell r="B665">
            <v>10.036491</v>
          </cell>
        </row>
        <row r="666">
          <cell r="A666">
            <v>40414</v>
          </cell>
          <cell r="B666">
            <v>9.6719899999999992</v>
          </cell>
        </row>
        <row r="667">
          <cell r="A667">
            <v>40415</v>
          </cell>
          <cell r="B667">
            <v>9.9008649999999996</v>
          </cell>
        </row>
        <row r="668">
          <cell r="A668">
            <v>40416</v>
          </cell>
          <cell r="B668">
            <v>9.8627179999999992</v>
          </cell>
        </row>
        <row r="669">
          <cell r="A669">
            <v>40417</v>
          </cell>
          <cell r="B669">
            <v>9.9474850000000004</v>
          </cell>
        </row>
        <row r="670">
          <cell r="A670">
            <v>40420</v>
          </cell>
          <cell r="B670">
            <v>9.9305310000000002</v>
          </cell>
        </row>
        <row r="671">
          <cell r="A671">
            <v>40421</v>
          </cell>
          <cell r="B671">
            <v>9.7398030000000002</v>
          </cell>
        </row>
        <row r="672">
          <cell r="A672">
            <v>40422</v>
          </cell>
          <cell r="B672">
            <v>10.036491</v>
          </cell>
        </row>
        <row r="673">
          <cell r="A673">
            <v>40423</v>
          </cell>
          <cell r="B673">
            <v>10.451855</v>
          </cell>
        </row>
        <row r="674">
          <cell r="A674">
            <v>40424</v>
          </cell>
          <cell r="B674">
            <v>10.625626</v>
          </cell>
        </row>
        <row r="675">
          <cell r="A675">
            <v>40428</v>
          </cell>
          <cell r="B675">
            <v>10.54086</v>
          </cell>
        </row>
        <row r="676">
          <cell r="A676">
            <v>40429</v>
          </cell>
          <cell r="B676">
            <v>10.502717000000001</v>
          </cell>
        </row>
        <row r="677">
          <cell r="A677">
            <v>40430</v>
          </cell>
          <cell r="B677">
            <v>10.523904999999999</v>
          </cell>
        </row>
        <row r="678">
          <cell r="A678">
            <v>40431</v>
          </cell>
          <cell r="B678">
            <v>10.765495</v>
          </cell>
        </row>
        <row r="679">
          <cell r="A679">
            <v>40434</v>
          </cell>
          <cell r="B679">
            <v>10.913836</v>
          </cell>
        </row>
        <row r="680">
          <cell r="A680">
            <v>40435</v>
          </cell>
          <cell r="B680">
            <v>10.926553</v>
          </cell>
        </row>
        <row r="681">
          <cell r="A681">
            <v>40436</v>
          </cell>
          <cell r="B681">
            <v>10.913836</v>
          </cell>
        </row>
        <row r="682">
          <cell r="A682">
            <v>40437</v>
          </cell>
          <cell r="B682">
            <v>10.905358</v>
          </cell>
        </row>
        <row r="683">
          <cell r="A683">
            <v>40438</v>
          </cell>
          <cell r="B683">
            <v>10.820592</v>
          </cell>
        </row>
        <row r="684">
          <cell r="A684">
            <v>40441</v>
          </cell>
          <cell r="B684">
            <v>11.138472</v>
          </cell>
        </row>
        <row r="685">
          <cell r="A685">
            <v>40442</v>
          </cell>
          <cell r="B685">
            <v>11.087609</v>
          </cell>
        </row>
        <row r="686">
          <cell r="A686">
            <v>40443</v>
          </cell>
          <cell r="B686">
            <v>10.990128</v>
          </cell>
        </row>
        <row r="687">
          <cell r="A687">
            <v>40444</v>
          </cell>
          <cell r="B687">
            <v>10.786687000000001</v>
          </cell>
        </row>
        <row r="688">
          <cell r="A688">
            <v>40445</v>
          </cell>
          <cell r="B688">
            <v>11.074895</v>
          </cell>
        </row>
        <row r="689">
          <cell r="A689">
            <v>40448</v>
          </cell>
          <cell r="B689">
            <v>11.08337</v>
          </cell>
        </row>
        <row r="690">
          <cell r="A690">
            <v>40449</v>
          </cell>
          <cell r="B690">
            <v>11.079134</v>
          </cell>
        </row>
        <row r="691">
          <cell r="A691">
            <v>40450</v>
          </cell>
          <cell r="B691">
            <v>10.935029999999999</v>
          </cell>
        </row>
        <row r="692">
          <cell r="A692">
            <v>40451</v>
          </cell>
          <cell r="B692">
            <v>10.82907</v>
          </cell>
        </row>
        <row r="693">
          <cell r="A693">
            <v>40452</v>
          </cell>
          <cell r="B693">
            <v>10.994365</v>
          </cell>
        </row>
        <row r="694">
          <cell r="A694">
            <v>40455</v>
          </cell>
          <cell r="B694">
            <v>10.888404</v>
          </cell>
        </row>
        <row r="695">
          <cell r="A695">
            <v>40456</v>
          </cell>
          <cell r="B695">
            <v>11.125757</v>
          </cell>
        </row>
        <row r="696">
          <cell r="A696">
            <v>40457</v>
          </cell>
          <cell r="B696">
            <v>11.06218</v>
          </cell>
        </row>
        <row r="697">
          <cell r="A697">
            <v>40458</v>
          </cell>
          <cell r="B697">
            <v>11.049465</v>
          </cell>
        </row>
        <row r="698">
          <cell r="A698">
            <v>40459</v>
          </cell>
          <cell r="B698">
            <v>11.049465</v>
          </cell>
        </row>
        <row r="699">
          <cell r="A699">
            <v>40462</v>
          </cell>
          <cell r="B699">
            <v>11.015559</v>
          </cell>
        </row>
        <row r="700">
          <cell r="A700">
            <v>40463</v>
          </cell>
          <cell r="B700">
            <v>11.502969999999999</v>
          </cell>
        </row>
        <row r="701">
          <cell r="A701">
            <v>40464</v>
          </cell>
          <cell r="B701">
            <v>11.553832</v>
          </cell>
        </row>
        <row r="702">
          <cell r="A702">
            <v>40465</v>
          </cell>
          <cell r="B702">
            <v>11.625888</v>
          </cell>
        </row>
        <row r="703">
          <cell r="A703">
            <v>40466</v>
          </cell>
          <cell r="B703">
            <v>11.672507</v>
          </cell>
        </row>
        <row r="704">
          <cell r="A704">
            <v>40469</v>
          </cell>
          <cell r="B704">
            <v>11.591976000000001</v>
          </cell>
        </row>
        <row r="705">
          <cell r="A705">
            <v>40470</v>
          </cell>
          <cell r="B705">
            <v>11.477542</v>
          </cell>
        </row>
        <row r="706">
          <cell r="A706">
            <v>40471</v>
          </cell>
          <cell r="B706">
            <v>11.634363</v>
          </cell>
        </row>
        <row r="707">
          <cell r="A707">
            <v>40472</v>
          </cell>
          <cell r="B707">
            <v>11.566547999999999</v>
          </cell>
        </row>
        <row r="708">
          <cell r="A708">
            <v>40473</v>
          </cell>
          <cell r="B708">
            <v>12.075155000000001</v>
          </cell>
        </row>
        <row r="709">
          <cell r="A709">
            <v>40476</v>
          </cell>
          <cell r="B709">
            <v>12.032769</v>
          </cell>
        </row>
        <row r="710">
          <cell r="A710">
            <v>40477</v>
          </cell>
          <cell r="B710">
            <v>12.09211</v>
          </cell>
        </row>
        <row r="711">
          <cell r="A711">
            <v>40478</v>
          </cell>
          <cell r="B711">
            <v>11.977674</v>
          </cell>
        </row>
        <row r="712">
          <cell r="A712">
            <v>40479</v>
          </cell>
          <cell r="B712">
            <v>11.964956000000001</v>
          </cell>
        </row>
        <row r="713">
          <cell r="A713">
            <v>40480</v>
          </cell>
          <cell r="B713">
            <v>12.104825</v>
          </cell>
        </row>
        <row r="714">
          <cell r="A714">
            <v>40483</v>
          </cell>
          <cell r="B714">
            <v>12.210779</v>
          </cell>
        </row>
        <row r="715">
          <cell r="A715">
            <v>40484</v>
          </cell>
          <cell r="B715">
            <v>12.240451999999999</v>
          </cell>
        </row>
        <row r="716">
          <cell r="A716">
            <v>40485</v>
          </cell>
          <cell r="B716">
            <v>12.333695000000001</v>
          </cell>
        </row>
        <row r="717">
          <cell r="A717">
            <v>40486</v>
          </cell>
          <cell r="B717">
            <v>12.609190999999999</v>
          </cell>
        </row>
        <row r="718">
          <cell r="A718">
            <v>40487</v>
          </cell>
          <cell r="B718">
            <v>13.083886</v>
          </cell>
        </row>
        <row r="719">
          <cell r="A719">
            <v>40490</v>
          </cell>
          <cell r="B719">
            <v>12.98217</v>
          </cell>
        </row>
        <row r="720">
          <cell r="A720">
            <v>40491</v>
          </cell>
          <cell r="B720">
            <v>12.787205</v>
          </cell>
        </row>
        <row r="721">
          <cell r="A721">
            <v>40492</v>
          </cell>
          <cell r="B721">
            <v>12.914351</v>
          </cell>
        </row>
        <row r="722">
          <cell r="A722">
            <v>40493</v>
          </cell>
          <cell r="B722">
            <v>13.028788</v>
          </cell>
        </row>
        <row r="723">
          <cell r="A723">
            <v>40494</v>
          </cell>
          <cell r="B723">
            <v>12.795678000000001</v>
          </cell>
        </row>
        <row r="724">
          <cell r="A724">
            <v>40497</v>
          </cell>
          <cell r="B724">
            <v>13.049981000000001</v>
          </cell>
        </row>
        <row r="725">
          <cell r="A725">
            <v>40498</v>
          </cell>
          <cell r="B725">
            <v>12.700962000000001</v>
          </cell>
        </row>
        <row r="726">
          <cell r="A726">
            <v>40499</v>
          </cell>
          <cell r="B726">
            <v>12.764806999999999</v>
          </cell>
        </row>
        <row r="727">
          <cell r="A727">
            <v>40500</v>
          </cell>
          <cell r="B727">
            <v>13.015929</v>
          </cell>
        </row>
        <row r="728">
          <cell r="A728">
            <v>40501</v>
          </cell>
          <cell r="B728">
            <v>13.092544999999999</v>
          </cell>
        </row>
        <row r="729">
          <cell r="A729">
            <v>40504</v>
          </cell>
          <cell r="B729">
            <v>13.139362999999999</v>
          </cell>
        </row>
        <row r="730">
          <cell r="A730">
            <v>40505</v>
          </cell>
          <cell r="B730">
            <v>12.939316</v>
          </cell>
        </row>
        <row r="731">
          <cell r="A731">
            <v>40506</v>
          </cell>
          <cell r="B731">
            <v>13.399005000000001</v>
          </cell>
        </row>
        <row r="732">
          <cell r="A732">
            <v>40508</v>
          </cell>
          <cell r="B732">
            <v>13.254286</v>
          </cell>
        </row>
        <row r="733">
          <cell r="A733">
            <v>40511</v>
          </cell>
          <cell r="B733">
            <v>13.105314</v>
          </cell>
        </row>
        <row r="734">
          <cell r="A734">
            <v>40512</v>
          </cell>
          <cell r="B734">
            <v>13.024448</v>
          </cell>
        </row>
        <row r="735">
          <cell r="A735">
            <v>40513</v>
          </cell>
          <cell r="B735">
            <v>13.492644</v>
          </cell>
        </row>
        <row r="736">
          <cell r="A736">
            <v>40514</v>
          </cell>
          <cell r="B736">
            <v>13.943815000000001</v>
          </cell>
        </row>
        <row r="737">
          <cell r="A737">
            <v>40515</v>
          </cell>
          <cell r="B737">
            <v>13.926791</v>
          </cell>
        </row>
        <row r="738">
          <cell r="A738">
            <v>40518</v>
          </cell>
          <cell r="B738">
            <v>13.926791</v>
          </cell>
        </row>
        <row r="739">
          <cell r="A739">
            <v>40519</v>
          </cell>
          <cell r="B739">
            <v>13.952327</v>
          </cell>
        </row>
        <row r="740">
          <cell r="A740">
            <v>40520</v>
          </cell>
          <cell r="B740">
            <v>13.867205999999999</v>
          </cell>
        </row>
        <row r="741">
          <cell r="A741">
            <v>40521</v>
          </cell>
          <cell r="B741">
            <v>13.790590999999999</v>
          </cell>
        </row>
        <row r="742">
          <cell r="A742">
            <v>40522</v>
          </cell>
          <cell r="B742">
            <v>13.871461</v>
          </cell>
        </row>
        <row r="743">
          <cell r="A743">
            <v>40525</v>
          </cell>
          <cell r="B743">
            <v>13.616078999999999</v>
          </cell>
        </row>
        <row r="744">
          <cell r="A744">
            <v>40526</v>
          </cell>
          <cell r="B744">
            <v>13.667152</v>
          </cell>
        </row>
        <row r="745">
          <cell r="A745">
            <v>40527</v>
          </cell>
          <cell r="B745">
            <v>13.565001000000001</v>
          </cell>
        </row>
        <row r="746">
          <cell r="A746">
            <v>40528</v>
          </cell>
          <cell r="B746">
            <v>13.871461</v>
          </cell>
        </row>
        <row r="747">
          <cell r="A747">
            <v>40529</v>
          </cell>
          <cell r="B747">
            <v>13.956587000000001</v>
          </cell>
        </row>
        <row r="748">
          <cell r="A748">
            <v>40532</v>
          </cell>
          <cell r="B748">
            <v>14.016173</v>
          </cell>
        </row>
        <row r="749">
          <cell r="A749">
            <v>40533</v>
          </cell>
          <cell r="B749">
            <v>13.986381</v>
          </cell>
        </row>
        <row r="750">
          <cell r="A750">
            <v>40534</v>
          </cell>
          <cell r="B750">
            <v>14.016173</v>
          </cell>
        </row>
        <row r="751">
          <cell r="A751">
            <v>40535</v>
          </cell>
          <cell r="B751">
            <v>13.888484</v>
          </cell>
        </row>
        <row r="752">
          <cell r="A752">
            <v>40539</v>
          </cell>
          <cell r="B752">
            <v>13.820384000000001</v>
          </cell>
        </row>
        <row r="753">
          <cell r="A753">
            <v>40540</v>
          </cell>
          <cell r="B753">
            <v>13.786333000000001</v>
          </cell>
        </row>
        <row r="754">
          <cell r="A754">
            <v>40541</v>
          </cell>
          <cell r="B754">
            <v>13.837406</v>
          </cell>
        </row>
        <row r="755">
          <cell r="A755">
            <v>40542</v>
          </cell>
          <cell r="B755">
            <v>13.794841999999999</v>
          </cell>
        </row>
        <row r="756">
          <cell r="A756">
            <v>40543</v>
          </cell>
          <cell r="B756">
            <v>13.675666</v>
          </cell>
        </row>
        <row r="757">
          <cell r="A757">
            <v>40546</v>
          </cell>
          <cell r="B757">
            <v>14.152379</v>
          </cell>
        </row>
        <row r="758">
          <cell r="A758">
            <v>40547</v>
          </cell>
          <cell r="B758">
            <v>13.824636</v>
          </cell>
        </row>
        <row r="759">
          <cell r="A759">
            <v>40548</v>
          </cell>
          <cell r="B759">
            <v>13.769307</v>
          </cell>
        </row>
        <row r="760">
          <cell r="A760">
            <v>40549</v>
          </cell>
          <cell r="B760">
            <v>13.603306999999999</v>
          </cell>
        </row>
        <row r="761">
          <cell r="A761">
            <v>40550</v>
          </cell>
          <cell r="B761">
            <v>13.952327</v>
          </cell>
        </row>
        <row r="762">
          <cell r="A762">
            <v>40553</v>
          </cell>
          <cell r="B762">
            <v>13.948073000000001</v>
          </cell>
        </row>
        <row r="763">
          <cell r="A763">
            <v>40554</v>
          </cell>
          <cell r="B763">
            <v>13.730998</v>
          </cell>
        </row>
        <row r="764">
          <cell r="A764">
            <v>40555</v>
          </cell>
          <cell r="B764">
            <v>13.705463999999999</v>
          </cell>
        </row>
        <row r="765">
          <cell r="A765">
            <v>40556</v>
          </cell>
          <cell r="B765">
            <v>13.794841999999999</v>
          </cell>
        </row>
        <row r="766">
          <cell r="A766">
            <v>40557</v>
          </cell>
          <cell r="B766">
            <v>13.918283000000001</v>
          </cell>
        </row>
        <row r="767">
          <cell r="A767">
            <v>40561</v>
          </cell>
          <cell r="B767">
            <v>14.045968</v>
          </cell>
        </row>
        <row r="768">
          <cell r="A768">
            <v>40562</v>
          </cell>
          <cell r="B768">
            <v>14.050222</v>
          </cell>
        </row>
        <row r="769">
          <cell r="A769">
            <v>40563</v>
          </cell>
          <cell r="B769">
            <v>14.122584</v>
          </cell>
        </row>
        <row r="770">
          <cell r="A770">
            <v>40564</v>
          </cell>
          <cell r="B770">
            <v>14.131093</v>
          </cell>
        </row>
        <row r="771">
          <cell r="A771">
            <v>40567</v>
          </cell>
          <cell r="B771">
            <v>14.254531</v>
          </cell>
        </row>
        <row r="772">
          <cell r="A772">
            <v>40568</v>
          </cell>
          <cell r="B772">
            <v>14.322630999999999</v>
          </cell>
        </row>
        <row r="773">
          <cell r="A773">
            <v>40569</v>
          </cell>
          <cell r="B773">
            <v>14.075766</v>
          </cell>
        </row>
        <row r="774">
          <cell r="A774">
            <v>40570</v>
          </cell>
          <cell r="B774">
            <v>14.058736</v>
          </cell>
        </row>
        <row r="775">
          <cell r="A775">
            <v>40571</v>
          </cell>
          <cell r="B775">
            <v>13.505414</v>
          </cell>
        </row>
        <row r="776">
          <cell r="A776">
            <v>40574</v>
          </cell>
          <cell r="B776">
            <v>13.420284000000001</v>
          </cell>
        </row>
        <row r="777">
          <cell r="A777">
            <v>40575</v>
          </cell>
          <cell r="B777">
            <v>13.726741000000001</v>
          </cell>
        </row>
        <row r="778">
          <cell r="A778">
            <v>40576</v>
          </cell>
          <cell r="B778">
            <v>13.705463999999999</v>
          </cell>
        </row>
        <row r="779">
          <cell r="A779">
            <v>40577</v>
          </cell>
          <cell r="B779">
            <v>13.773562999999999</v>
          </cell>
        </row>
        <row r="780">
          <cell r="A780">
            <v>40578</v>
          </cell>
          <cell r="B780">
            <v>13.867205999999999</v>
          </cell>
        </row>
        <row r="781">
          <cell r="A781">
            <v>40581</v>
          </cell>
          <cell r="B781">
            <v>13.824467</v>
          </cell>
        </row>
        <row r="782">
          <cell r="A782">
            <v>40582</v>
          </cell>
          <cell r="B782">
            <v>14.153522000000001</v>
          </cell>
        </row>
        <row r="783">
          <cell r="A783">
            <v>40583</v>
          </cell>
          <cell r="B783">
            <v>14.097968</v>
          </cell>
        </row>
        <row r="784">
          <cell r="A784">
            <v>40584</v>
          </cell>
          <cell r="B784">
            <v>14.170609000000001</v>
          </cell>
        </row>
        <row r="785">
          <cell r="A785">
            <v>40585</v>
          </cell>
          <cell r="B785">
            <v>14.251806</v>
          </cell>
        </row>
        <row r="786">
          <cell r="A786">
            <v>40588</v>
          </cell>
          <cell r="B786">
            <v>14.350097999999999</v>
          </cell>
        </row>
        <row r="787">
          <cell r="A787">
            <v>40589</v>
          </cell>
          <cell r="B787">
            <v>14.17916</v>
          </cell>
        </row>
        <row r="788">
          <cell r="A788">
            <v>40590</v>
          </cell>
          <cell r="B788">
            <v>14.345824</v>
          </cell>
        </row>
        <row r="789">
          <cell r="A789">
            <v>40591</v>
          </cell>
          <cell r="B789">
            <v>14.315913999999999</v>
          </cell>
        </row>
        <row r="790">
          <cell r="A790">
            <v>40592</v>
          </cell>
          <cell r="B790">
            <v>14.529581</v>
          </cell>
        </row>
        <row r="791">
          <cell r="A791">
            <v>40596</v>
          </cell>
          <cell r="B791">
            <v>14.003952</v>
          </cell>
        </row>
        <row r="792">
          <cell r="A792">
            <v>40597</v>
          </cell>
          <cell r="B792">
            <v>13.636437000000001</v>
          </cell>
        </row>
        <row r="793">
          <cell r="A793">
            <v>40598</v>
          </cell>
          <cell r="B793">
            <v>13.636437000000001</v>
          </cell>
        </row>
        <row r="794">
          <cell r="A794">
            <v>40599</v>
          </cell>
          <cell r="B794">
            <v>13.888567</v>
          </cell>
        </row>
        <row r="795">
          <cell r="A795">
            <v>40602</v>
          </cell>
          <cell r="B795">
            <v>14.093691</v>
          </cell>
        </row>
        <row r="796">
          <cell r="A796">
            <v>40603</v>
          </cell>
          <cell r="B796">
            <v>13.841563000000001</v>
          </cell>
        </row>
        <row r="797">
          <cell r="A797">
            <v>40604</v>
          </cell>
          <cell r="B797">
            <v>13.768914000000001</v>
          </cell>
        </row>
        <row r="798">
          <cell r="A798">
            <v>40605</v>
          </cell>
          <cell r="B798">
            <v>14.106509000000001</v>
          </cell>
        </row>
        <row r="799">
          <cell r="A799">
            <v>40606</v>
          </cell>
          <cell r="B799">
            <v>14.153522000000001</v>
          </cell>
        </row>
        <row r="800">
          <cell r="A800">
            <v>40609</v>
          </cell>
          <cell r="B800">
            <v>14.358646</v>
          </cell>
        </row>
        <row r="801">
          <cell r="A801">
            <v>40610</v>
          </cell>
          <cell r="B801">
            <v>14.533851</v>
          </cell>
        </row>
        <row r="802">
          <cell r="A802">
            <v>40611</v>
          </cell>
          <cell r="B802">
            <v>14.760342</v>
          </cell>
        </row>
        <row r="803">
          <cell r="A803">
            <v>40612</v>
          </cell>
          <cell r="B803">
            <v>16.226126000000001</v>
          </cell>
        </row>
        <row r="804">
          <cell r="A804">
            <v>40613</v>
          </cell>
          <cell r="B804">
            <v>15.623571</v>
          </cell>
        </row>
        <row r="805">
          <cell r="A805">
            <v>40616</v>
          </cell>
          <cell r="B805">
            <v>15.268882</v>
          </cell>
        </row>
        <row r="806">
          <cell r="A806">
            <v>40617</v>
          </cell>
          <cell r="B806">
            <v>15.264606000000001</v>
          </cell>
        </row>
        <row r="807">
          <cell r="A807">
            <v>40618</v>
          </cell>
          <cell r="B807">
            <v>14.956923</v>
          </cell>
        </row>
        <row r="808">
          <cell r="A808">
            <v>40619</v>
          </cell>
          <cell r="B808">
            <v>14.995376</v>
          </cell>
        </row>
        <row r="809">
          <cell r="A809">
            <v>40620</v>
          </cell>
          <cell r="B809">
            <v>14.939826</v>
          </cell>
        </row>
        <row r="810">
          <cell r="A810">
            <v>40623</v>
          </cell>
          <cell r="B810">
            <v>15.089401000000001</v>
          </cell>
        </row>
        <row r="811">
          <cell r="A811">
            <v>40624</v>
          </cell>
          <cell r="B811">
            <v>14.935555000000001</v>
          </cell>
        </row>
        <row r="812">
          <cell r="A812">
            <v>40625</v>
          </cell>
          <cell r="B812">
            <v>15.679119999999999</v>
          </cell>
        </row>
        <row r="813">
          <cell r="A813">
            <v>40626</v>
          </cell>
          <cell r="B813">
            <v>16.059460000000001</v>
          </cell>
        </row>
        <row r="814">
          <cell r="A814">
            <v>40627</v>
          </cell>
          <cell r="B814">
            <v>15.768871000000001</v>
          </cell>
        </row>
        <row r="815">
          <cell r="A815">
            <v>40630</v>
          </cell>
          <cell r="B815">
            <v>15.760320999999999</v>
          </cell>
        </row>
        <row r="816">
          <cell r="A816">
            <v>40631</v>
          </cell>
          <cell r="B816">
            <v>15.751773999999999</v>
          </cell>
        </row>
        <row r="817">
          <cell r="A817">
            <v>40632</v>
          </cell>
          <cell r="B817">
            <v>15.691947000000001</v>
          </cell>
        </row>
        <row r="818">
          <cell r="A818">
            <v>40633</v>
          </cell>
          <cell r="B818">
            <v>15.790234</v>
          </cell>
        </row>
        <row r="819">
          <cell r="A819">
            <v>40634</v>
          </cell>
          <cell r="B819">
            <v>15.918442000000001</v>
          </cell>
        </row>
        <row r="820">
          <cell r="A820">
            <v>40637</v>
          </cell>
          <cell r="B820">
            <v>15.696221</v>
          </cell>
        </row>
        <row r="821">
          <cell r="A821">
            <v>40638</v>
          </cell>
          <cell r="B821">
            <v>15.555198000000001</v>
          </cell>
        </row>
        <row r="822">
          <cell r="A822">
            <v>40639</v>
          </cell>
          <cell r="B822">
            <v>15.55092</v>
          </cell>
        </row>
        <row r="823">
          <cell r="A823">
            <v>40640</v>
          </cell>
          <cell r="B823">
            <v>15.341528</v>
          </cell>
        </row>
        <row r="824">
          <cell r="A824">
            <v>40641</v>
          </cell>
          <cell r="B824">
            <v>15.285975000000001</v>
          </cell>
        </row>
        <row r="825">
          <cell r="A825">
            <v>40644</v>
          </cell>
          <cell r="B825">
            <v>15.166312</v>
          </cell>
        </row>
        <row r="826">
          <cell r="A826">
            <v>40645</v>
          </cell>
          <cell r="B826">
            <v>15.285975000000001</v>
          </cell>
        </row>
        <row r="827">
          <cell r="A827">
            <v>40646</v>
          </cell>
          <cell r="B827">
            <v>15.303075</v>
          </cell>
        </row>
        <row r="828">
          <cell r="A828">
            <v>40647</v>
          </cell>
          <cell r="B828">
            <v>15.371445</v>
          </cell>
        </row>
        <row r="829">
          <cell r="A829">
            <v>40648</v>
          </cell>
          <cell r="B829">
            <v>15.54665</v>
          </cell>
        </row>
        <row r="830">
          <cell r="A830">
            <v>40651</v>
          </cell>
          <cell r="B830">
            <v>15.303075</v>
          </cell>
        </row>
        <row r="831">
          <cell r="A831">
            <v>40652</v>
          </cell>
          <cell r="B831">
            <v>15.452636999999999</v>
          </cell>
        </row>
        <row r="832">
          <cell r="A832">
            <v>40653</v>
          </cell>
          <cell r="B832">
            <v>15.764595</v>
          </cell>
        </row>
        <row r="833">
          <cell r="A833">
            <v>40654</v>
          </cell>
          <cell r="B833">
            <v>15.811604000000001</v>
          </cell>
        </row>
        <row r="834">
          <cell r="A834">
            <v>40658</v>
          </cell>
          <cell r="B834">
            <v>15.75605</v>
          </cell>
        </row>
        <row r="835">
          <cell r="A835">
            <v>40659</v>
          </cell>
          <cell r="B835">
            <v>15.640665</v>
          </cell>
        </row>
        <row r="836">
          <cell r="A836">
            <v>40660</v>
          </cell>
          <cell r="B836">
            <v>15.892794</v>
          </cell>
        </row>
        <row r="837">
          <cell r="A837">
            <v>40661</v>
          </cell>
          <cell r="B837">
            <v>15.760320999999999</v>
          </cell>
        </row>
        <row r="838">
          <cell r="A838">
            <v>40662</v>
          </cell>
          <cell r="B838">
            <v>15.469727000000001</v>
          </cell>
        </row>
        <row r="839">
          <cell r="A839">
            <v>40665</v>
          </cell>
          <cell r="B839">
            <v>15.674855000000001</v>
          </cell>
        </row>
        <row r="840">
          <cell r="A840">
            <v>40666</v>
          </cell>
          <cell r="B840">
            <v>15.512466</v>
          </cell>
        </row>
        <row r="841">
          <cell r="A841">
            <v>40667</v>
          </cell>
          <cell r="B841">
            <v>15.627845000000001</v>
          </cell>
        </row>
        <row r="842">
          <cell r="A842">
            <v>40668</v>
          </cell>
          <cell r="B842">
            <v>15.597931000000001</v>
          </cell>
        </row>
        <row r="843">
          <cell r="A843">
            <v>40669</v>
          </cell>
          <cell r="B843">
            <v>15.610749999999999</v>
          </cell>
        </row>
        <row r="844">
          <cell r="A844">
            <v>40672</v>
          </cell>
          <cell r="B844">
            <v>15.490664000000001</v>
          </cell>
        </row>
        <row r="845">
          <cell r="A845">
            <v>40673</v>
          </cell>
          <cell r="B845">
            <v>15.537843000000001</v>
          </cell>
        </row>
        <row r="846">
          <cell r="A846">
            <v>40674</v>
          </cell>
          <cell r="B846">
            <v>15.34914</v>
          </cell>
        </row>
        <row r="847">
          <cell r="A847">
            <v>40675</v>
          </cell>
          <cell r="B847">
            <v>15.632194</v>
          </cell>
        </row>
        <row r="848">
          <cell r="A848">
            <v>40676</v>
          </cell>
          <cell r="B848">
            <v>15.503531000000001</v>
          </cell>
        </row>
        <row r="849">
          <cell r="A849">
            <v>40679</v>
          </cell>
          <cell r="B849">
            <v>15.078955000000001</v>
          </cell>
        </row>
        <row r="850">
          <cell r="A850">
            <v>40680</v>
          </cell>
          <cell r="B850">
            <v>15.139001</v>
          </cell>
        </row>
        <row r="851">
          <cell r="A851">
            <v>40681</v>
          </cell>
          <cell r="B851">
            <v>15.700813999999999</v>
          </cell>
        </row>
        <row r="852">
          <cell r="A852">
            <v>40682</v>
          </cell>
          <cell r="B852">
            <v>15.92811</v>
          </cell>
        </row>
        <row r="853">
          <cell r="A853">
            <v>40683</v>
          </cell>
          <cell r="B853">
            <v>15.700813999999999</v>
          </cell>
        </row>
        <row r="854">
          <cell r="A854">
            <v>40686</v>
          </cell>
          <cell r="B854">
            <v>15.627912</v>
          </cell>
        </row>
        <row r="855">
          <cell r="A855">
            <v>40687</v>
          </cell>
          <cell r="B855">
            <v>15.56358</v>
          </cell>
        </row>
        <row r="856">
          <cell r="A856">
            <v>40688</v>
          </cell>
          <cell r="B856">
            <v>15.490664000000001</v>
          </cell>
        </row>
        <row r="857">
          <cell r="A857">
            <v>40689</v>
          </cell>
          <cell r="B857">
            <v>15.627912</v>
          </cell>
        </row>
        <row r="858">
          <cell r="A858">
            <v>40690</v>
          </cell>
          <cell r="B858">
            <v>15.636480000000001</v>
          </cell>
        </row>
        <row r="859">
          <cell r="A859">
            <v>40694</v>
          </cell>
          <cell r="B859">
            <v>15.778012</v>
          </cell>
        </row>
        <row r="860">
          <cell r="A860">
            <v>40695</v>
          </cell>
          <cell r="B860">
            <v>15.430628</v>
          </cell>
        </row>
        <row r="861">
          <cell r="A861">
            <v>40696</v>
          </cell>
          <cell r="B861">
            <v>15.404894000000001</v>
          </cell>
        </row>
        <row r="862">
          <cell r="A862">
            <v>40697</v>
          </cell>
          <cell r="B862">
            <v>15.078955000000001</v>
          </cell>
        </row>
        <row r="863">
          <cell r="A863">
            <v>40700</v>
          </cell>
          <cell r="B863">
            <v>15.327703</v>
          </cell>
        </row>
        <row r="864">
          <cell r="A864">
            <v>40701</v>
          </cell>
          <cell r="B864">
            <v>15.409184</v>
          </cell>
        </row>
        <row r="865">
          <cell r="A865">
            <v>40702</v>
          </cell>
          <cell r="B865">
            <v>15.327703</v>
          </cell>
        </row>
        <row r="866">
          <cell r="A866">
            <v>40703</v>
          </cell>
          <cell r="B866">
            <v>15.237638</v>
          </cell>
        </row>
        <row r="867">
          <cell r="A867">
            <v>40704</v>
          </cell>
          <cell r="B867">
            <v>15.061801000000001</v>
          </cell>
        </row>
        <row r="868">
          <cell r="A868">
            <v>40707</v>
          </cell>
          <cell r="B868">
            <v>14.967454999999999</v>
          </cell>
        </row>
        <row r="869">
          <cell r="A869">
            <v>40708</v>
          </cell>
          <cell r="B869">
            <v>15.126125999999999</v>
          </cell>
        </row>
        <row r="870">
          <cell r="A870">
            <v>40709</v>
          </cell>
          <cell r="B870">
            <v>14.950296</v>
          </cell>
        </row>
        <row r="871">
          <cell r="A871">
            <v>40710</v>
          </cell>
          <cell r="B871">
            <v>15.07038</v>
          </cell>
        </row>
        <row r="872">
          <cell r="A872">
            <v>40711</v>
          </cell>
          <cell r="B872">
            <v>15.199042</v>
          </cell>
        </row>
        <row r="873">
          <cell r="A873">
            <v>40714</v>
          </cell>
          <cell r="B873">
            <v>15.366301999999999</v>
          </cell>
        </row>
        <row r="874">
          <cell r="A874">
            <v>40715</v>
          </cell>
          <cell r="B874">
            <v>15.752276999999999</v>
          </cell>
        </row>
        <row r="875">
          <cell r="A875">
            <v>40716</v>
          </cell>
          <cell r="B875">
            <v>15.988155000000001</v>
          </cell>
        </row>
        <row r="876">
          <cell r="A876">
            <v>40717</v>
          </cell>
          <cell r="B876">
            <v>16.181137</v>
          </cell>
        </row>
        <row r="877">
          <cell r="A877">
            <v>40718</v>
          </cell>
          <cell r="B877">
            <v>16.018173000000001</v>
          </cell>
        </row>
        <row r="878">
          <cell r="A878">
            <v>40721</v>
          </cell>
          <cell r="B878">
            <v>16.292652</v>
          </cell>
        </row>
        <row r="879">
          <cell r="A879">
            <v>40722</v>
          </cell>
          <cell r="B879">
            <v>16.833024999999999</v>
          </cell>
        </row>
        <row r="880">
          <cell r="A880">
            <v>40723</v>
          </cell>
          <cell r="B880">
            <v>16.910215000000001</v>
          </cell>
        </row>
        <row r="881">
          <cell r="A881">
            <v>40724</v>
          </cell>
          <cell r="B881">
            <v>16.935949000000001</v>
          </cell>
        </row>
        <row r="882">
          <cell r="A882">
            <v>40725</v>
          </cell>
          <cell r="B882">
            <v>17.236153000000002</v>
          </cell>
        </row>
        <row r="883">
          <cell r="A883">
            <v>40729</v>
          </cell>
          <cell r="B883">
            <v>17.562096</v>
          </cell>
        </row>
        <row r="884">
          <cell r="A884">
            <v>40730</v>
          </cell>
          <cell r="B884">
            <v>17.334793000000001</v>
          </cell>
        </row>
        <row r="885">
          <cell r="A885">
            <v>40731</v>
          </cell>
          <cell r="B885">
            <v>17.291913999999998</v>
          </cell>
        </row>
        <row r="886">
          <cell r="A886">
            <v>40732</v>
          </cell>
          <cell r="B886">
            <v>17.304777000000001</v>
          </cell>
        </row>
        <row r="887">
          <cell r="A887">
            <v>40735</v>
          </cell>
          <cell r="B887">
            <v>17.043171000000001</v>
          </cell>
        </row>
        <row r="888">
          <cell r="A888">
            <v>40736</v>
          </cell>
          <cell r="B888">
            <v>16.970261000000001</v>
          </cell>
        </row>
        <row r="889">
          <cell r="A889">
            <v>40737</v>
          </cell>
          <cell r="B889">
            <v>16.974546</v>
          </cell>
        </row>
        <row r="890">
          <cell r="A890">
            <v>40738</v>
          </cell>
          <cell r="B890">
            <v>16.781555000000001</v>
          </cell>
        </row>
        <row r="891">
          <cell r="A891">
            <v>40739</v>
          </cell>
          <cell r="B891">
            <v>17.068897</v>
          </cell>
        </row>
        <row r="892">
          <cell r="A892">
            <v>40742</v>
          </cell>
          <cell r="B892">
            <v>16.897354</v>
          </cell>
        </row>
        <row r="893">
          <cell r="A893">
            <v>40743</v>
          </cell>
          <cell r="B893">
            <v>17.291913999999998</v>
          </cell>
        </row>
        <row r="894">
          <cell r="A894">
            <v>40744</v>
          </cell>
          <cell r="B894">
            <v>17.081755000000001</v>
          </cell>
        </row>
        <row r="895">
          <cell r="A895">
            <v>40745</v>
          </cell>
          <cell r="B895">
            <v>17.317640000000001</v>
          </cell>
        </row>
        <row r="896">
          <cell r="A896">
            <v>40746</v>
          </cell>
          <cell r="B896">
            <v>17.304777000000001</v>
          </cell>
        </row>
        <row r="897">
          <cell r="A897">
            <v>40749</v>
          </cell>
          <cell r="B897">
            <v>17.326218000000001</v>
          </cell>
        </row>
        <row r="898">
          <cell r="A898">
            <v>40750</v>
          </cell>
          <cell r="B898">
            <v>17.231863000000001</v>
          </cell>
        </row>
        <row r="899">
          <cell r="A899">
            <v>40751</v>
          </cell>
          <cell r="B899">
            <v>16.712938000000001</v>
          </cell>
        </row>
        <row r="900">
          <cell r="A900">
            <v>40752</v>
          </cell>
          <cell r="B900">
            <v>17.146093</v>
          </cell>
        </row>
        <row r="901">
          <cell r="A901">
            <v>40753</v>
          </cell>
          <cell r="B901">
            <v>17.193273999999999</v>
          </cell>
        </row>
        <row r="902">
          <cell r="A902">
            <v>40756</v>
          </cell>
          <cell r="B902">
            <v>17.068897</v>
          </cell>
        </row>
        <row r="903">
          <cell r="A903">
            <v>40757</v>
          </cell>
          <cell r="B903">
            <v>16.558544000000001</v>
          </cell>
        </row>
        <row r="904">
          <cell r="A904">
            <v>40758</v>
          </cell>
          <cell r="B904">
            <v>16.845879</v>
          </cell>
        </row>
        <row r="905">
          <cell r="A905">
            <v>40759</v>
          </cell>
          <cell r="B905">
            <v>15.825179</v>
          </cell>
        </row>
        <row r="906">
          <cell r="A906">
            <v>40760</v>
          </cell>
          <cell r="B906">
            <v>15.747985</v>
          </cell>
        </row>
        <row r="907">
          <cell r="A907">
            <v>40763</v>
          </cell>
          <cell r="B907">
            <v>14.654794000000001</v>
          </cell>
        </row>
        <row r="908">
          <cell r="A908">
            <v>40764</v>
          </cell>
          <cell r="B908">
            <v>15.511271000000001</v>
          </cell>
        </row>
        <row r="909">
          <cell r="A909">
            <v>40765</v>
          </cell>
          <cell r="B909">
            <v>14.960374</v>
          </cell>
        </row>
        <row r="910">
          <cell r="A910">
            <v>40766</v>
          </cell>
          <cell r="B910">
            <v>15.971787000000001</v>
          </cell>
        </row>
        <row r="911">
          <cell r="A911">
            <v>40767</v>
          </cell>
          <cell r="B911">
            <v>16.079388000000002</v>
          </cell>
        </row>
        <row r="912">
          <cell r="A912">
            <v>40770</v>
          </cell>
          <cell r="B912">
            <v>16.535601</v>
          </cell>
        </row>
        <row r="913">
          <cell r="A913">
            <v>40771</v>
          </cell>
          <cell r="B913">
            <v>16.737883</v>
          </cell>
        </row>
        <row r="914">
          <cell r="A914">
            <v>40772</v>
          </cell>
          <cell r="B914">
            <v>16.656113000000001</v>
          </cell>
        </row>
        <row r="915">
          <cell r="A915">
            <v>40773</v>
          </cell>
          <cell r="B915">
            <v>14.956071</v>
          </cell>
        </row>
        <row r="916">
          <cell r="A916">
            <v>40774</v>
          </cell>
          <cell r="B916">
            <v>15.106706000000001</v>
          </cell>
        </row>
        <row r="917">
          <cell r="A917">
            <v>40777</v>
          </cell>
          <cell r="B917">
            <v>15.016328</v>
          </cell>
        </row>
        <row r="918">
          <cell r="A918">
            <v>40778</v>
          </cell>
          <cell r="B918">
            <v>15.808242999999999</v>
          </cell>
        </row>
        <row r="919">
          <cell r="A919">
            <v>40779</v>
          </cell>
          <cell r="B919">
            <v>16.083693</v>
          </cell>
        </row>
        <row r="920">
          <cell r="A920">
            <v>40780</v>
          </cell>
          <cell r="B920">
            <v>15.674815000000001</v>
          </cell>
        </row>
        <row r="921">
          <cell r="A921">
            <v>40781</v>
          </cell>
          <cell r="B921">
            <v>16.092299000000001</v>
          </cell>
        </row>
        <row r="922">
          <cell r="A922">
            <v>40784</v>
          </cell>
          <cell r="B922">
            <v>16.376353999999999</v>
          </cell>
        </row>
        <row r="923">
          <cell r="A923">
            <v>40785</v>
          </cell>
          <cell r="B923">
            <v>16.570028000000001</v>
          </cell>
        </row>
        <row r="924">
          <cell r="A924">
            <v>40786</v>
          </cell>
          <cell r="B924">
            <v>16.621684999999999</v>
          </cell>
        </row>
        <row r="925">
          <cell r="A925">
            <v>40787</v>
          </cell>
          <cell r="B925">
            <v>16.436606999999999</v>
          </cell>
        </row>
        <row r="926">
          <cell r="A926">
            <v>40788</v>
          </cell>
          <cell r="B926">
            <v>16.135342000000001</v>
          </cell>
        </row>
        <row r="927">
          <cell r="A927">
            <v>40792</v>
          </cell>
          <cell r="B927">
            <v>16.247237999999999</v>
          </cell>
        </row>
        <row r="928">
          <cell r="A928">
            <v>40793</v>
          </cell>
          <cell r="B928">
            <v>16.8627</v>
          </cell>
        </row>
        <row r="929">
          <cell r="A929">
            <v>40794</v>
          </cell>
          <cell r="B929">
            <v>16.750795</v>
          </cell>
        </row>
        <row r="930">
          <cell r="A930">
            <v>40795</v>
          </cell>
          <cell r="B930">
            <v>16.057865</v>
          </cell>
        </row>
        <row r="931">
          <cell r="A931">
            <v>40798</v>
          </cell>
          <cell r="B931">
            <v>16.204201000000001</v>
          </cell>
        </row>
        <row r="932">
          <cell r="A932">
            <v>40799</v>
          </cell>
          <cell r="B932">
            <v>16.436606999999999</v>
          </cell>
        </row>
        <row r="933">
          <cell r="A933">
            <v>40800</v>
          </cell>
          <cell r="B933">
            <v>16.591555</v>
          </cell>
        </row>
        <row r="934">
          <cell r="A934">
            <v>40801</v>
          </cell>
          <cell r="B934">
            <v>16.815359000000001</v>
          </cell>
        </row>
        <row r="935">
          <cell r="A935">
            <v>40802</v>
          </cell>
          <cell r="B935">
            <v>16.871307000000002</v>
          </cell>
        </row>
        <row r="936">
          <cell r="A936">
            <v>40805</v>
          </cell>
          <cell r="B936">
            <v>17.714872</v>
          </cell>
        </row>
        <row r="937">
          <cell r="A937">
            <v>40806</v>
          </cell>
          <cell r="B937">
            <v>17.680447000000001</v>
          </cell>
        </row>
        <row r="938">
          <cell r="A938">
            <v>40807</v>
          </cell>
          <cell r="B938">
            <v>17.172577</v>
          </cell>
        </row>
        <row r="939">
          <cell r="A939">
            <v>40808</v>
          </cell>
          <cell r="B939">
            <v>16.617376</v>
          </cell>
        </row>
        <row r="940">
          <cell r="A940">
            <v>40809</v>
          </cell>
          <cell r="B940">
            <v>16.660416000000001</v>
          </cell>
        </row>
        <row r="941">
          <cell r="A941">
            <v>40812</v>
          </cell>
          <cell r="B941">
            <v>16.996120000000001</v>
          </cell>
        </row>
        <row r="942">
          <cell r="A942">
            <v>40813</v>
          </cell>
          <cell r="B942">
            <v>17.151062</v>
          </cell>
        </row>
        <row r="943">
          <cell r="A943">
            <v>40814</v>
          </cell>
          <cell r="B943">
            <v>16.970293000000002</v>
          </cell>
        </row>
        <row r="944">
          <cell r="A944">
            <v>40815</v>
          </cell>
          <cell r="B944">
            <v>16.428004999999999</v>
          </cell>
        </row>
        <row r="945">
          <cell r="A945">
            <v>40816</v>
          </cell>
          <cell r="B945">
            <v>16.049261000000001</v>
          </cell>
        </row>
        <row r="946">
          <cell r="A946">
            <v>40819</v>
          </cell>
          <cell r="B946">
            <v>15.580136</v>
          </cell>
        </row>
        <row r="947">
          <cell r="A947">
            <v>40820</v>
          </cell>
          <cell r="B947">
            <v>16.032045</v>
          </cell>
        </row>
        <row r="948">
          <cell r="A948">
            <v>40821</v>
          </cell>
          <cell r="B948">
            <v>16.376353999999999</v>
          </cell>
        </row>
        <row r="949">
          <cell r="A949">
            <v>40822</v>
          </cell>
          <cell r="B949">
            <v>16.570028000000001</v>
          </cell>
        </row>
        <row r="950">
          <cell r="A950">
            <v>40823</v>
          </cell>
          <cell r="B950">
            <v>16.897129</v>
          </cell>
        </row>
        <row r="951">
          <cell r="A951">
            <v>40826</v>
          </cell>
          <cell r="B951">
            <v>17.611581999999999</v>
          </cell>
        </row>
        <row r="952">
          <cell r="A952">
            <v>40827</v>
          </cell>
          <cell r="B952">
            <v>17.788036000000002</v>
          </cell>
        </row>
        <row r="953">
          <cell r="A953">
            <v>40828</v>
          </cell>
          <cell r="B953">
            <v>17.865503</v>
          </cell>
        </row>
        <row r="954">
          <cell r="A954">
            <v>40829</v>
          </cell>
          <cell r="B954">
            <v>17.684746000000001</v>
          </cell>
        </row>
        <row r="955">
          <cell r="A955">
            <v>40830</v>
          </cell>
          <cell r="B955">
            <v>18.171082999999999</v>
          </cell>
        </row>
        <row r="956">
          <cell r="A956">
            <v>40833</v>
          </cell>
          <cell r="B956">
            <v>17.714872</v>
          </cell>
        </row>
        <row r="957">
          <cell r="A957">
            <v>40834</v>
          </cell>
          <cell r="B957">
            <v>18.270081999999999</v>
          </cell>
        </row>
        <row r="958">
          <cell r="A958">
            <v>40835</v>
          </cell>
          <cell r="B958">
            <v>17.611581999999999</v>
          </cell>
        </row>
        <row r="959">
          <cell r="A959">
            <v>40836</v>
          </cell>
          <cell r="B959">
            <v>17.641705999999999</v>
          </cell>
        </row>
        <row r="960">
          <cell r="A960">
            <v>40837</v>
          </cell>
          <cell r="B960">
            <v>18.115138999999999</v>
          </cell>
        </row>
        <row r="961">
          <cell r="A961">
            <v>40840</v>
          </cell>
          <cell r="B961">
            <v>18.308814999999999</v>
          </cell>
        </row>
        <row r="962">
          <cell r="A962">
            <v>40841</v>
          </cell>
          <cell r="B962">
            <v>17.766518000000001</v>
          </cell>
        </row>
        <row r="963">
          <cell r="A963">
            <v>40842</v>
          </cell>
          <cell r="B963">
            <v>17.818162999999998</v>
          </cell>
        </row>
        <row r="964">
          <cell r="A964">
            <v>40843</v>
          </cell>
          <cell r="B964">
            <v>18.536912999999998</v>
          </cell>
        </row>
        <row r="965">
          <cell r="A965">
            <v>40844</v>
          </cell>
          <cell r="B965">
            <v>18.291596999999999</v>
          </cell>
        </row>
        <row r="966">
          <cell r="A966">
            <v>40847</v>
          </cell>
          <cell r="B966">
            <v>18.231342000000001</v>
          </cell>
        </row>
        <row r="967">
          <cell r="A967">
            <v>40848</v>
          </cell>
          <cell r="B967">
            <v>17.745000999999998</v>
          </cell>
        </row>
        <row r="968">
          <cell r="A968">
            <v>40849</v>
          </cell>
          <cell r="B968">
            <v>17.723482000000001</v>
          </cell>
        </row>
        <row r="969">
          <cell r="A969">
            <v>40850</v>
          </cell>
          <cell r="B969">
            <v>17.818162999999998</v>
          </cell>
        </row>
        <row r="970">
          <cell r="A970">
            <v>40851</v>
          </cell>
          <cell r="B970">
            <v>19.018953</v>
          </cell>
        </row>
        <row r="971">
          <cell r="A971">
            <v>40854</v>
          </cell>
          <cell r="B971">
            <v>19.036169000000001</v>
          </cell>
        </row>
        <row r="972">
          <cell r="A972">
            <v>40855</v>
          </cell>
          <cell r="B972">
            <v>19.092120999999999</v>
          </cell>
        </row>
        <row r="973">
          <cell r="A973">
            <v>40856</v>
          </cell>
          <cell r="B973">
            <v>18.485268000000001</v>
          </cell>
        </row>
        <row r="974">
          <cell r="A974">
            <v>40857</v>
          </cell>
          <cell r="B974">
            <v>18.730592999999999</v>
          </cell>
        </row>
        <row r="975">
          <cell r="A975">
            <v>40858</v>
          </cell>
          <cell r="B975">
            <v>19.083514999999998</v>
          </cell>
        </row>
        <row r="976">
          <cell r="A976">
            <v>40861</v>
          </cell>
          <cell r="B976">
            <v>18.782243999999999</v>
          </cell>
        </row>
        <row r="977">
          <cell r="A977">
            <v>40862</v>
          </cell>
          <cell r="B977">
            <v>19.024206</v>
          </cell>
        </row>
        <row r="978">
          <cell r="A978">
            <v>40863</v>
          </cell>
          <cell r="B978">
            <v>18.587810999999999</v>
          </cell>
        </row>
        <row r="979">
          <cell r="A979">
            <v>40864</v>
          </cell>
          <cell r="B979">
            <v>18.160055</v>
          </cell>
        </row>
        <row r="980">
          <cell r="A980">
            <v>40865</v>
          </cell>
          <cell r="B980">
            <v>18.155730999999999</v>
          </cell>
        </row>
        <row r="981">
          <cell r="A981">
            <v>40868</v>
          </cell>
          <cell r="B981">
            <v>18.008831000000001</v>
          </cell>
        </row>
        <row r="982">
          <cell r="A982">
            <v>40869</v>
          </cell>
          <cell r="B982">
            <v>18.268073999999999</v>
          </cell>
        </row>
        <row r="983">
          <cell r="A983">
            <v>40870</v>
          </cell>
          <cell r="B983">
            <v>17.823035999999998</v>
          </cell>
        </row>
        <row r="984">
          <cell r="A984">
            <v>40872</v>
          </cell>
          <cell r="B984">
            <v>17.645885</v>
          </cell>
        </row>
        <row r="985">
          <cell r="A985">
            <v>40875</v>
          </cell>
          <cell r="B985">
            <v>18.082279</v>
          </cell>
        </row>
        <row r="986">
          <cell r="A986">
            <v>40876</v>
          </cell>
          <cell r="B986">
            <v>18.237829000000001</v>
          </cell>
        </row>
        <row r="987">
          <cell r="A987">
            <v>40877</v>
          </cell>
          <cell r="B987">
            <v>18.786563999999998</v>
          </cell>
        </row>
        <row r="988">
          <cell r="A988">
            <v>40878</v>
          </cell>
          <cell r="B988">
            <v>18.834085000000002</v>
          </cell>
        </row>
        <row r="989">
          <cell r="A989">
            <v>40879</v>
          </cell>
          <cell r="B989">
            <v>18.972349000000001</v>
          </cell>
        </row>
        <row r="990">
          <cell r="A990">
            <v>40882</v>
          </cell>
          <cell r="B990">
            <v>19.097652</v>
          </cell>
        </row>
        <row r="991">
          <cell r="A991">
            <v>40883</v>
          </cell>
          <cell r="B991">
            <v>18.894583000000001</v>
          </cell>
        </row>
        <row r="992">
          <cell r="A992">
            <v>40884</v>
          </cell>
          <cell r="B992">
            <v>18.959394</v>
          </cell>
        </row>
        <row r="993">
          <cell r="A993">
            <v>40885</v>
          </cell>
          <cell r="B993">
            <v>18.518675000000002</v>
          </cell>
        </row>
        <row r="994">
          <cell r="A994">
            <v>40886</v>
          </cell>
          <cell r="B994">
            <v>18.993957999999999</v>
          </cell>
        </row>
        <row r="995">
          <cell r="A995">
            <v>40889</v>
          </cell>
          <cell r="B995">
            <v>19.011232</v>
          </cell>
        </row>
        <row r="996">
          <cell r="A996">
            <v>40890</v>
          </cell>
          <cell r="B996">
            <v>18.842728000000001</v>
          </cell>
        </row>
        <row r="997">
          <cell r="A997">
            <v>40891</v>
          </cell>
          <cell r="B997">
            <v>18.618053</v>
          </cell>
        </row>
        <row r="998">
          <cell r="A998">
            <v>40892</v>
          </cell>
          <cell r="B998">
            <v>18.751995000000001</v>
          </cell>
        </row>
        <row r="999">
          <cell r="A999">
            <v>40893</v>
          </cell>
          <cell r="B999">
            <v>18.786563999999998</v>
          </cell>
        </row>
        <row r="1000">
          <cell r="A1000">
            <v>40896</v>
          </cell>
          <cell r="B1000">
            <v>18.847048000000001</v>
          </cell>
        </row>
        <row r="1001">
          <cell r="A1001">
            <v>40897</v>
          </cell>
          <cell r="B1001">
            <v>19.469242000000001</v>
          </cell>
        </row>
        <row r="1002">
          <cell r="A1002">
            <v>40898</v>
          </cell>
          <cell r="B1002">
            <v>19.547007000000001</v>
          </cell>
        </row>
        <row r="1003">
          <cell r="A1003">
            <v>40899</v>
          </cell>
          <cell r="B1003">
            <v>19.44331</v>
          </cell>
        </row>
        <row r="1004">
          <cell r="A1004">
            <v>40900</v>
          </cell>
          <cell r="B1004">
            <v>19.637744999999999</v>
          </cell>
        </row>
        <row r="1005">
          <cell r="A1005">
            <v>40904</v>
          </cell>
          <cell r="B1005">
            <v>19.849463</v>
          </cell>
        </row>
        <row r="1006">
          <cell r="A1006">
            <v>40905</v>
          </cell>
          <cell r="B1006">
            <v>19.780331</v>
          </cell>
        </row>
        <row r="1007">
          <cell r="A1007">
            <v>40906</v>
          </cell>
          <cell r="B1007">
            <v>20.069818000000001</v>
          </cell>
        </row>
        <row r="1008">
          <cell r="A1008">
            <v>40907</v>
          </cell>
          <cell r="B1008">
            <v>19.879708999999998</v>
          </cell>
        </row>
        <row r="1009">
          <cell r="A1009">
            <v>40911</v>
          </cell>
          <cell r="B1009">
            <v>19.568617</v>
          </cell>
        </row>
        <row r="1010">
          <cell r="A1010">
            <v>40912</v>
          </cell>
          <cell r="B1010">
            <v>19.948843</v>
          </cell>
        </row>
        <row r="1011">
          <cell r="A1011">
            <v>40913</v>
          </cell>
          <cell r="B1011">
            <v>20.030930999999999</v>
          </cell>
        </row>
        <row r="1012">
          <cell r="A1012">
            <v>40914</v>
          </cell>
          <cell r="B1012">
            <v>20.18648</v>
          </cell>
        </row>
        <row r="1013">
          <cell r="A1013">
            <v>40917</v>
          </cell>
          <cell r="B1013">
            <v>20.130310000000001</v>
          </cell>
        </row>
        <row r="1014">
          <cell r="A1014">
            <v>40918</v>
          </cell>
          <cell r="B1014">
            <v>20.229689</v>
          </cell>
        </row>
        <row r="1015">
          <cell r="A1015">
            <v>40919</v>
          </cell>
          <cell r="B1015">
            <v>20.359311999999999</v>
          </cell>
        </row>
        <row r="1016">
          <cell r="A1016">
            <v>40920</v>
          </cell>
          <cell r="B1016">
            <v>20.566700000000001</v>
          </cell>
        </row>
        <row r="1017">
          <cell r="A1017">
            <v>40921</v>
          </cell>
          <cell r="B1017">
            <v>20.463003</v>
          </cell>
        </row>
        <row r="1018">
          <cell r="A1018">
            <v>40925</v>
          </cell>
          <cell r="B1018">
            <v>20.614235000000001</v>
          </cell>
        </row>
        <row r="1019">
          <cell r="A1019">
            <v>40926</v>
          </cell>
          <cell r="B1019">
            <v>20.756815</v>
          </cell>
        </row>
        <row r="1020">
          <cell r="A1020">
            <v>40927</v>
          </cell>
          <cell r="B1020">
            <v>20.748175</v>
          </cell>
        </row>
        <row r="1021">
          <cell r="A1021">
            <v>40928</v>
          </cell>
          <cell r="B1021">
            <v>20.804349999999999</v>
          </cell>
        </row>
        <row r="1022">
          <cell r="A1022">
            <v>40931</v>
          </cell>
          <cell r="B1022">
            <v>20.454371999999999</v>
          </cell>
        </row>
        <row r="1023">
          <cell r="A1023">
            <v>40932</v>
          </cell>
          <cell r="B1023">
            <v>20.588311999999998</v>
          </cell>
        </row>
        <row r="1024">
          <cell r="A1024">
            <v>40933</v>
          </cell>
          <cell r="B1024">
            <v>20.640158</v>
          </cell>
        </row>
        <row r="1025">
          <cell r="A1025">
            <v>40934</v>
          </cell>
          <cell r="B1025">
            <v>20.886444000000001</v>
          </cell>
        </row>
        <row r="1026">
          <cell r="A1026">
            <v>40935</v>
          </cell>
          <cell r="B1026">
            <v>20.674721000000002</v>
          </cell>
        </row>
        <row r="1027">
          <cell r="A1027">
            <v>40938</v>
          </cell>
          <cell r="B1027">
            <v>20.946937999999999</v>
          </cell>
        </row>
        <row r="1028">
          <cell r="A1028">
            <v>40939</v>
          </cell>
          <cell r="B1028">
            <v>20.704975000000001</v>
          </cell>
        </row>
        <row r="1029">
          <cell r="A1029">
            <v>40940</v>
          </cell>
          <cell r="B1029">
            <v>20.843233000000001</v>
          </cell>
        </row>
        <row r="1030">
          <cell r="A1030">
            <v>40941</v>
          </cell>
          <cell r="B1030">
            <v>20.59263</v>
          </cell>
        </row>
        <row r="1031">
          <cell r="A1031">
            <v>40942</v>
          </cell>
          <cell r="B1031">
            <v>20.877800000000001</v>
          </cell>
        </row>
        <row r="1032">
          <cell r="A1032">
            <v>40945</v>
          </cell>
          <cell r="B1032">
            <v>20.938503000000001</v>
          </cell>
        </row>
        <row r="1033">
          <cell r="A1033">
            <v>40946</v>
          </cell>
          <cell r="B1033">
            <v>20.990538000000001</v>
          </cell>
        </row>
        <row r="1034">
          <cell r="A1034">
            <v>40947</v>
          </cell>
          <cell r="B1034">
            <v>21.124949999999998</v>
          </cell>
        </row>
        <row r="1035">
          <cell r="A1035">
            <v>40948</v>
          </cell>
          <cell r="B1035">
            <v>21.333079999999999</v>
          </cell>
        </row>
        <row r="1036">
          <cell r="A1036">
            <v>40949</v>
          </cell>
          <cell r="B1036">
            <v>21.168308</v>
          </cell>
        </row>
        <row r="1037">
          <cell r="A1037">
            <v>40952</v>
          </cell>
          <cell r="B1037">
            <v>21.354756999999999</v>
          </cell>
        </row>
        <row r="1038">
          <cell r="A1038">
            <v>40953</v>
          </cell>
          <cell r="B1038">
            <v>21.298390999999999</v>
          </cell>
        </row>
        <row r="1039">
          <cell r="A1039">
            <v>40954</v>
          </cell>
          <cell r="B1039">
            <v>21.020886999999998</v>
          </cell>
        </row>
        <row r="1040">
          <cell r="A1040">
            <v>40955</v>
          </cell>
          <cell r="B1040">
            <v>21.038229000000001</v>
          </cell>
        </row>
        <row r="1041">
          <cell r="A1041">
            <v>40956</v>
          </cell>
          <cell r="B1041">
            <v>21.007877000000001</v>
          </cell>
        </row>
        <row r="1042">
          <cell r="A1042">
            <v>40960</v>
          </cell>
          <cell r="B1042">
            <v>20.925492999999999</v>
          </cell>
        </row>
        <row r="1043">
          <cell r="A1043">
            <v>40961</v>
          </cell>
          <cell r="B1043">
            <v>20.955846999999999</v>
          </cell>
        </row>
        <row r="1044">
          <cell r="A1044">
            <v>40962</v>
          </cell>
          <cell r="B1044">
            <v>21.012218000000001</v>
          </cell>
        </row>
        <row r="1045">
          <cell r="A1045">
            <v>40963</v>
          </cell>
          <cell r="B1045">
            <v>20.942833</v>
          </cell>
        </row>
        <row r="1046">
          <cell r="A1046">
            <v>40966</v>
          </cell>
          <cell r="B1046">
            <v>20.912486999999999</v>
          </cell>
        </row>
        <row r="1047">
          <cell r="A1047">
            <v>40967</v>
          </cell>
          <cell r="B1047">
            <v>21.207331</v>
          </cell>
        </row>
        <row r="1048">
          <cell r="A1048">
            <v>40968</v>
          </cell>
          <cell r="B1048">
            <v>21.055574</v>
          </cell>
        </row>
        <row r="1049">
          <cell r="A1049">
            <v>40969</v>
          </cell>
          <cell r="B1049">
            <v>21.120615000000001</v>
          </cell>
        </row>
        <row r="1050">
          <cell r="A1050">
            <v>40970</v>
          </cell>
          <cell r="B1050">
            <v>21.198668000000001</v>
          </cell>
        </row>
        <row r="1051">
          <cell r="A1051">
            <v>40973</v>
          </cell>
          <cell r="B1051">
            <v>21.2637</v>
          </cell>
        </row>
        <row r="1052">
          <cell r="A1052">
            <v>40974</v>
          </cell>
          <cell r="B1052">
            <v>20.955846999999999</v>
          </cell>
        </row>
        <row r="1053">
          <cell r="A1053">
            <v>40975</v>
          </cell>
          <cell r="B1053">
            <v>21.458819999999999</v>
          </cell>
        </row>
        <row r="1054">
          <cell r="A1054">
            <v>40976</v>
          </cell>
          <cell r="B1054">
            <v>21.840391</v>
          </cell>
        </row>
        <row r="1055">
          <cell r="A1055">
            <v>40977</v>
          </cell>
          <cell r="B1055">
            <v>22.477782999999999</v>
          </cell>
        </row>
        <row r="1056">
          <cell r="A1056">
            <v>40980</v>
          </cell>
          <cell r="B1056">
            <v>22.161256999999999</v>
          </cell>
        </row>
        <row r="1057">
          <cell r="A1057">
            <v>40981</v>
          </cell>
          <cell r="B1057">
            <v>22.694578</v>
          </cell>
        </row>
        <row r="1058">
          <cell r="A1058">
            <v>40982</v>
          </cell>
          <cell r="B1058">
            <v>22.842001</v>
          </cell>
        </row>
        <row r="1059">
          <cell r="A1059">
            <v>40983</v>
          </cell>
          <cell r="B1059">
            <v>23.011106000000002</v>
          </cell>
        </row>
        <row r="1060">
          <cell r="A1060">
            <v>40984</v>
          </cell>
          <cell r="B1060">
            <v>23.071809999999999</v>
          </cell>
        </row>
        <row r="1061">
          <cell r="A1061">
            <v>40987</v>
          </cell>
          <cell r="B1061">
            <v>23.219238000000001</v>
          </cell>
        </row>
        <row r="1062">
          <cell r="A1062">
            <v>40988</v>
          </cell>
          <cell r="B1062">
            <v>23.297281000000002</v>
          </cell>
        </row>
        <row r="1063">
          <cell r="A1063">
            <v>40989</v>
          </cell>
          <cell r="B1063">
            <v>23.331969999999998</v>
          </cell>
        </row>
        <row r="1064">
          <cell r="A1064">
            <v>40990</v>
          </cell>
          <cell r="B1064">
            <v>23.939001000000001</v>
          </cell>
        </row>
        <row r="1065">
          <cell r="A1065">
            <v>40991</v>
          </cell>
          <cell r="B1065">
            <v>23.999714000000001</v>
          </cell>
        </row>
        <row r="1066">
          <cell r="A1066">
            <v>40994</v>
          </cell>
          <cell r="B1066">
            <v>24.242529000000001</v>
          </cell>
        </row>
        <row r="1067">
          <cell r="A1067">
            <v>40995</v>
          </cell>
          <cell r="B1067">
            <v>24.394289000000001</v>
          </cell>
        </row>
        <row r="1068">
          <cell r="A1068">
            <v>40996</v>
          </cell>
          <cell r="B1068">
            <v>24.294561000000002</v>
          </cell>
        </row>
        <row r="1069">
          <cell r="A1069">
            <v>40997</v>
          </cell>
          <cell r="B1069">
            <v>24.164477999999999</v>
          </cell>
        </row>
        <row r="1070">
          <cell r="A1070">
            <v>40998</v>
          </cell>
          <cell r="B1070">
            <v>24.23385</v>
          </cell>
        </row>
        <row r="1071">
          <cell r="A1071">
            <v>41001</v>
          </cell>
          <cell r="B1071">
            <v>24.572064999999998</v>
          </cell>
        </row>
        <row r="1072">
          <cell r="A1072">
            <v>41002</v>
          </cell>
          <cell r="B1072">
            <v>24.676127999999999</v>
          </cell>
        </row>
        <row r="1073">
          <cell r="A1073">
            <v>41003</v>
          </cell>
          <cell r="B1073">
            <v>24.697807000000001</v>
          </cell>
        </row>
        <row r="1074">
          <cell r="A1074">
            <v>41004</v>
          </cell>
          <cell r="B1074">
            <v>25.226794999999999</v>
          </cell>
        </row>
        <row r="1075">
          <cell r="A1075">
            <v>41008</v>
          </cell>
          <cell r="B1075">
            <v>24.897269999999999</v>
          </cell>
        </row>
        <row r="1076">
          <cell r="A1076">
            <v>41009</v>
          </cell>
          <cell r="B1076">
            <v>24.619755000000001</v>
          </cell>
        </row>
        <row r="1077">
          <cell r="A1077">
            <v>41010</v>
          </cell>
          <cell r="B1077">
            <v>25.708092000000001</v>
          </cell>
        </row>
        <row r="1078">
          <cell r="A1078">
            <v>41011</v>
          </cell>
          <cell r="B1078">
            <v>26.289124000000001</v>
          </cell>
        </row>
        <row r="1079">
          <cell r="A1079">
            <v>41012</v>
          </cell>
          <cell r="B1079">
            <v>26.740055000000002</v>
          </cell>
        </row>
        <row r="1080">
          <cell r="A1080">
            <v>41015</v>
          </cell>
          <cell r="B1080">
            <v>25.864187000000001</v>
          </cell>
        </row>
        <row r="1081">
          <cell r="A1081">
            <v>41016</v>
          </cell>
          <cell r="B1081">
            <v>25.434925</v>
          </cell>
        </row>
        <row r="1082">
          <cell r="A1082">
            <v>41017</v>
          </cell>
          <cell r="B1082">
            <v>26.159039</v>
          </cell>
        </row>
        <row r="1083">
          <cell r="A1083">
            <v>41018</v>
          </cell>
          <cell r="B1083">
            <v>25.499969</v>
          </cell>
        </row>
        <row r="1084">
          <cell r="A1084">
            <v>41019</v>
          </cell>
          <cell r="B1084">
            <v>25.651726</v>
          </cell>
        </row>
        <row r="1085">
          <cell r="A1085">
            <v>41022</v>
          </cell>
          <cell r="B1085">
            <v>25.391565</v>
          </cell>
        </row>
        <row r="1086">
          <cell r="A1086">
            <v>41023</v>
          </cell>
          <cell r="B1086">
            <v>25.170431000000001</v>
          </cell>
        </row>
        <row r="1087">
          <cell r="A1087">
            <v>41024</v>
          </cell>
          <cell r="B1087">
            <v>25.799151999999999</v>
          </cell>
        </row>
        <row r="1088">
          <cell r="A1088">
            <v>41025</v>
          </cell>
          <cell r="B1088">
            <v>26.302126000000001</v>
          </cell>
        </row>
        <row r="1089">
          <cell r="A1089">
            <v>41026</v>
          </cell>
          <cell r="B1089">
            <v>24.901596000000001</v>
          </cell>
        </row>
        <row r="1090">
          <cell r="A1090">
            <v>41029</v>
          </cell>
          <cell r="B1090">
            <v>24.875582000000001</v>
          </cell>
        </row>
        <row r="1091">
          <cell r="A1091">
            <v>41030</v>
          </cell>
          <cell r="B1091">
            <v>25.001328999999998</v>
          </cell>
        </row>
        <row r="1092">
          <cell r="A1092">
            <v>41031</v>
          </cell>
          <cell r="B1092">
            <v>25.114061</v>
          </cell>
        </row>
        <row r="1093">
          <cell r="A1093">
            <v>41032</v>
          </cell>
          <cell r="B1093">
            <v>24.563390999999999</v>
          </cell>
        </row>
        <row r="1094">
          <cell r="A1094">
            <v>41033</v>
          </cell>
          <cell r="B1094">
            <v>24.090771</v>
          </cell>
        </row>
        <row r="1095">
          <cell r="A1095">
            <v>41036</v>
          </cell>
          <cell r="B1095">
            <v>24.129908</v>
          </cell>
        </row>
        <row r="1096">
          <cell r="A1096">
            <v>41037</v>
          </cell>
          <cell r="B1096">
            <v>23.568854999999999</v>
          </cell>
        </row>
        <row r="1097">
          <cell r="A1097">
            <v>41038</v>
          </cell>
          <cell r="B1097">
            <v>23.529706999999998</v>
          </cell>
        </row>
        <row r="1098">
          <cell r="A1098">
            <v>41039</v>
          </cell>
          <cell r="B1098">
            <v>23.855906999999998</v>
          </cell>
        </row>
        <row r="1099">
          <cell r="A1099">
            <v>41040</v>
          </cell>
          <cell r="B1099">
            <v>23.925497</v>
          </cell>
        </row>
        <row r="1100">
          <cell r="A1100">
            <v>41043</v>
          </cell>
          <cell r="B1100">
            <v>23.342690999999999</v>
          </cell>
        </row>
        <row r="1101">
          <cell r="A1101">
            <v>41044</v>
          </cell>
          <cell r="B1101">
            <v>23.199162999999999</v>
          </cell>
        </row>
        <row r="1102">
          <cell r="A1102">
            <v>41045</v>
          </cell>
          <cell r="B1102">
            <v>23.059982000000002</v>
          </cell>
        </row>
        <row r="1103">
          <cell r="A1103">
            <v>41046</v>
          </cell>
          <cell r="B1103">
            <v>22.472828</v>
          </cell>
        </row>
        <row r="1104">
          <cell r="A1104">
            <v>41047</v>
          </cell>
          <cell r="B1104">
            <v>22.411937999999999</v>
          </cell>
        </row>
        <row r="1105">
          <cell r="A1105">
            <v>41050</v>
          </cell>
          <cell r="B1105">
            <v>23.355736</v>
          </cell>
        </row>
        <row r="1106">
          <cell r="A1106">
            <v>41051</v>
          </cell>
          <cell r="B1106">
            <v>23.212208</v>
          </cell>
        </row>
        <row r="1107">
          <cell r="A1107">
            <v>41052</v>
          </cell>
          <cell r="B1107">
            <v>24.047276</v>
          </cell>
        </row>
        <row r="1108">
          <cell r="A1108">
            <v>41053</v>
          </cell>
          <cell r="B1108">
            <v>23.816761</v>
          </cell>
        </row>
        <row r="1109">
          <cell r="A1109">
            <v>41054</v>
          </cell>
          <cell r="B1109">
            <v>23.729778</v>
          </cell>
        </row>
        <row r="1110">
          <cell r="A1110">
            <v>41058</v>
          </cell>
          <cell r="B1110">
            <v>24.173404999999999</v>
          </cell>
        </row>
        <row r="1111">
          <cell r="A1111">
            <v>41059</v>
          </cell>
          <cell r="B1111">
            <v>23.803715</v>
          </cell>
        </row>
        <row r="1112">
          <cell r="A1112">
            <v>41060</v>
          </cell>
          <cell r="B1112">
            <v>23.873301999999999</v>
          </cell>
        </row>
        <row r="1113">
          <cell r="A1113">
            <v>41061</v>
          </cell>
          <cell r="B1113">
            <v>22.681595000000002</v>
          </cell>
        </row>
        <row r="1114">
          <cell r="A1114">
            <v>41064</v>
          </cell>
          <cell r="B1114">
            <v>23.442726</v>
          </cell>
        </row>
        <row r="1115">
          <cell r="A1115">
            <v>41065</v>
          </cell>
          <cell r="B1115">
            <v>22.794675999999999</v>
          </cell>
        </row>
        <row r="1116">
          <cell r="A1116">
            <v>41066</v>
          </cell>
          <cell r="B1116">
            <v>23.255704999999999</v>
          </cell>
        </row>
        <row r="1117">
          <cell r="A1117">
            <v>41067</v>
          </cell>
          <cell r="B1117">
            <v>23.242659</v>
          </cell>
        </row>
        <row r="1118">
          <cell r="A1118">
            <v>41068</v>
          </cell>
          <cell r="B1118">
            <v>23.307898000000002</v>
          </cell>
        </row>
        <row r="1119">
          <cell r="A1119">
            <v>41071</v>
          </cell>
          <cell r="B1119">
            <v>22.977350000000001</v>
          </cell>
        </row>
        <row r="1120">
          <cell r="A1120">
            <v>41072</v>
          </cell>
          <cell r="B1120">
            <v>23.068684000000001</v>
          </cell>
        </row>
        <row r="1121">
          <cell r="A1121">
            <v>41073</v>
          </cell>
          <cell r="B1121">
            <v>22.298860999999999</v>
          </cell>
        </row>
        <row r="1122">
          <cell r="A1122">
            <v>41074</v>
          </cell>
          <cell r="B1122">
            <v>22.759884</v>
          </cell>
        </row>
        <row r="1123">
          <cell r="A1123">
            <v>41075</v>
          </cell>
          <cell r="B1123">
            <v>22.851216999999998</v>
          </cell>
        </row>
        <row r="1124">
          <cell r="A1124">
            <v>41078</v>
          </cell>
          <cell r="B1124">
            <v>23.564496999999999</v>
          </cell>
        </row>
        <row r="1125">
          <cell r="A1125">
            <v>41079</v>
          </cell>
          <cell r="B1125">
            <v>23.973338999999999</v>
          </cell>
        </row>
        <row r="1126">
          <cell r="A1126">
            <v>41080</v>
          </cell>
          <cell r="B1126">
            <v>24.199501000000001</v>
          </cell>
        </row>
        <row r="1127">
          <cell r="A1127">
            <v>41081</v>
          </cell>
          <cell r="B1127">
            <v>23.516663000000001</v>
          </cell>
        </row>
        <row r="1128">
          <cell r="A1128">
            <v>41082</v>
          </cell>
          <cell r="B1128">
            <v>23.764572000000001</v>
          </cell>
        </row>
        <row r="1129">
          <cell r="A1129">
            <v>41085</v>
          </cell>
          <cell r="B1129">
            <v>23.177409999999998</v>
          </cell>
        </row>
        <row r="1130">
          <cell r="A1130">
            <v>41086</v>
          </cell>
          <cell r="B1130">
            <v>23.464464</v>
          </cell>
        </row>
        <row r="1131">
          <cell r="A1131">
            <v>41087</v>
          </cell>
          <cell r="B1131">
            <v>22.942553</v>
          </cell>
        </row>
        <row r="1132">
          <cell r="A1132">
            <v>41088</v>
          </cell>
          <cell r="B1132">
            <v>22.6555</v>
          </cell>
        </row>
        <row r="1133">
          <cell r="A1133">
            <v>41089</v>
          </cell>
          <cell r="B1133">
            <v>23.190466000000001</v>
          </cell>
        </row>
        <row r="1134">
          <cell r="A1134">
            <v>41092</v>
          </cell>
          <cell r="B1134">
            <v>22.959952999999999</v>
          </cell>
        </row>
        <row r="1135">
          <cell r="A1135">
            <v>41093</v>
          </cell>
          <cell r="B1135">
            <v>22.590260000000001</v>
          </cell>
        </row>
        <row r="1136">
          <cell r="A1136">
            <v>41095</v>
          </cell>
          <cell r="B1136">
            <v>22.790327000000001</v>
          </cell>
        </row>
        <row r="1137">
          <cell r="A1137">
            <v>41096</v>
          </cell>
          <cell r="B1137">
            <v>22.603307999999998</v>
          </cell>
        </row>
        <row r="1138">
          <cell r="A1138">
            <v>41099</v>
          </cell>
          <cell r="B1138">
            <v>22.785976000000002</v>
          </cell>
        </row>
        <row r="1139">
          <cell r="A1139">
            <v>41100</v>
          </cell>
          <cell r="B1139">
            <v>22.764236</v>
          </cell>
        </row>
        <row r="1140">
          <cell r="A1140">
            <v>41101</v>
          </cell>
          <cell r="B1140">
            <v>22.685946000000001</v>
          </cell>
        </row>
        <row r="1141">
          <cell r="A1141">
            <v>41102</v>
          </cell>
          <cell r="B1141">
            <v>22.912113000000002</v>
          </cell>
        </row>
        <row r="1142">
          <cell r="A1142">
            <v>41103</v>
          </cell>
          <cell r="B1142">
            <v>23.316590999999999</v>
          </cell>
        </row>
        <row r="1143">
          <cell r="A1143">
            <v>41106</v>
          </cell>
          <cell r="B1143">
            <v>23.007792999999999</v>
          </cell>
        </row>
        <row r="1144">
          <cell r="A1144">
            <v>41107</v>
          </cell>
          <cell r="B1144">
            <v>23.368786</v>
          </cell>
        </row>
        <row r="1145">
          <cell r="A1145">
            <v>41108</v>
          </cell>
          <cell r="B1145">
            <v>23.181767000000001</v>
          </cell>
        </row>
        <row r="1146">
          <cell r="A1146">
            <v>41109</v>
          </cell>
          <cell r="B1146">
            <v>23.573204</v>
          </cell>
        </row>
        <row r="1147">
          <cell r="A1147">
            <v>41110</v>
          </cell>
          <cell r="B1147">
            <v>22.598960999999999</v>
          </cell>
        </row>
        <row r="1148">
          <cell r="A1148">
            <v>41113</v>
          </cell>
          <cell r="B1148">
            <v>22.007452000000001</v>
          </cell>
        </row>
        <row r="1149">
          <cell r="A1149">
            <v>41114</v>
          </cell>
          <cell r="B1149">
            <v>21.955266999999999</v>
          </cell>
        </row>
        <row r="1150">
          <cell r="A1150">
            <v>41115</v>
          </cell>
          <cell r="B1150">
            <v>21.92482</v>
          </cell>
        </row>
        <row r="1151">
          <cell r="A1151">
            <v>41116</v>
          </cell>
          <cell r="B1151">
            <v>22.790327000000001</v>
          </cell>
        </row>
        <row r="1152">
          <cell r="A1152">
            <v>41117</v>
          </cell>
          <cell r="B1152">
            <v>20.646124</v>
          </cell>
        </row>
        <row r="1153">
          <cell r="A1153">
            <v>41120</v>
          </cell>
          <cell r="B1153">
            <v>20.389517000000001</v>
          </cell>
        </row>
        <row r="1154">
          <cell r="A1154">
            <v>41121</v>
          </cell>
          <cell r="B1154">
            <v>19.693625999999998</v>
          </cell>
        </row>
        <row r="1155">
          <cell r="A1155">
            <v>41122</v>
          </cell>
          <cell r="B1155">
            <v>19.041235</v>
          </cell>
        </row>
        <row r="1156">
          <cell r="A1156">
            <v>41123</v>
          </cell>
          <cell r="B1156">
            <v>18.771578000000002</v>
          </cell>
        </row>
        <row r="1157">
          <cell r="A1157">
            <v>41124</v>
          </cell>
          <cell r="B1157">
            <v>19.097776</v>
          </cell>
        </row>
        <row r="1158">
          <cell r="A1158">
            <v>41127</v>
          </cell>
          <cell r="B1158">
            <v>18.984248999999998</v>
          </cell>
        </row>
        <row r="1159">
          <cell r="A1159">
            <v>41128</v>
          </cell>
          <cell r="B1159">
            <v>19.783266000000001</v>
          </cell>
        </row>
        <row r="1160">
          <cell r="A1160">
            <v>41129</v>
          </cell>
          <cell r="B1160">
            <v>19.774533999999999</v>
          </cell>
        </row>
        <row r="1161">
          <cell r="A1161">
            <v>41130</v>
          </cell>
          <cell r="B1161">
            <v>19.695941999999999</v>
          </cell>
        </row>
        <row r="1162">
          <cell r="A1162">
            <v>41131</v>
          </cell>
          <cell r="B1162">
            <v>19.896785999999999</v>
          </cell>
        </row>
        <row r="1163">
          <cell r="A1163">
            <v>41134</v>
          </cell>
          <cell r="B1163">
            <v>20.132559000000001</v>
          </cell>
        </row>
        <row r="1164">
          <cell r="A1164">
            <v>41135</v>
          </cell>
          <cell r="B1164">
            <v>20.272283999999999</v>
          </cell>
        </row>
        <row r="1165">
          <cell r="A1165">
            <v>41136</v>
          </cell>
          <cell r="B1165">
            <v>21.001439999999999</v>
          </cell>
        </row>
        <row r="1166">
          <cell r="A1166">
            <v>41137</v>
          </cell>
          <cell r="B1166">
            <v>21.132421000000001</v>
          </cell>
        </row>
        <row r="1167">
          <cell r="A1167">
            <v>41138</v>
          </cell>
          <cell r="B1167">
            <v>21.053833000000001</v>
          </cell>
        </row>
        <row r="1168">
          <cell r="A1168">
            <v>41141</v>
          </cell>
          <cell r="B1168">
            <v>20.979610000000001</v>
          </cell>
        </row>
        <row r="1169">
          <cell r="A1169">
            <v>41142</v>
          </cell>
          <cell r="B1169">
            <v>20.997074000000001</v>
          </cell>
        </row>
        <row r="1170">
          <cell r="A1170">
            <v>41143</v>
          </cell>
          <cell r="B1170">
            <v>21.010173999999999</v>
          </cell>
        </row>
        <row r="1171">
          <cell r="A1171">
            <v>41144</v>
          </cell>
          <cell r="B1171">
            <v>20.914110000000001</v>
          </cell>
        </row>
        <row r="1172">
          <cell r="A1172">
            <v>41145</v>
          </cell>
          <cell r="B1172">
            <v>21.263411000000001</v>
          </cell>
        </row>
        <row r="1173">
          <cell r="A1173">
            <v>41148</v>
          </cell>
          <cell r="B1173">
            <v>21.455525999999999</v>
          </cell>
        </row>
        <row r="1174">
          <cell r="A1174">
            <v>41149</v>
          </cell>
          <cell r="B1174">
            <v>21.551579</v>
          </cell>
        </row>
        <row r="1175">
          <cell r="A1175">
            <v>41150</v>
          </cell>
          <cell r="B1175">
            <v>21.468622</v>
          </cell>
        </row>
        <row r="1176">
          <cell r="A1176">
            <v>41151</v>
          </cell>
          <cell r="B1176">
            <v>21.704398999999999</v>
          </cell>
        </row>
        <row r="1177">
          <cell r="A1177">
            <v>41152</v>
          </cell>
          <cell r="B1177">
            <v>21.660737999999998</v>
          </cell>
        </row>
        <row r="1178">
          <cell r="A1178">
            <v>41156</v>
          </cell>
          <cell r="B1178">
            <v>21.617075</v>
          </cell>
        </row>
        <row r="1179">
          <cell r="A1179">
            <v>41157</v>
          </cell>
          <cell r="B1179">
            <v>21.743689</v>
          </cell>
        </row>
        <row r="1180">
          <cell r="A1180">
            <v>41158</v>
          </cell>
          <cell r="B1180">
            <v>22.197776999999999</v>
          </cell>
        </row>
        <row r="1181">
          <cell r="A1181">
            <v>41159</v>
          </cell>
          <cell r="B1181">
            <v>22.341866</v>
          </cell>
        </row>
        <row r="1182">
          <cell r="A1182">
            <v>41162</v>
          </cell>
          <cell r="B1182">
            <v>22.193411000000001</v>
          </cell>
        </row>
        <row r="1183">
          <cell r="A1183">
            <v>41163</v>
          </cell>
          <cell r="B1183">
            <v>22.149746</v>
          </cell>
        </row>
        <row r="1184">
          <cell r="A1184">
            <v>41164</v>
          </cell>
          <cell r="B1184">
            <v>22.341866</v>
          </cell>
        </row>
        <row r="1185">
          <cell r="A1185">
            <v>41165</v>
          </cell>
          <cell r="B1185">
            <v>22.582006</v>
          </cell>
        </row>
        <row r="1186">
          <cell r="A1186">
            <v>41166</v>
          </cell>
          <cell r="B1186">
            <v>22.031862</v>
          </cell>
        </row>
        <row r="1187">
          <cell r="A1187">
            <v>41169</v>
          </cell>
          <cell r="B1187">
            <v>21.682568</v>
          </cell>
        </row>
        <row r="1188">
          <cell r="A1188">
            <v>41170</v>
          </cell>
          <cell r="B1188">
            <v>21.503550000000001</v>
          </cell>
        </row>
        <row r="1189">
          <cell r="A1189">
            <v>41171</v>
          </cell>
          <cell r="B1189">
            <v>21.879047</v>
          </cell>
        </row>
        <row r="1190">
          <cell r="A1190">
            <v>41172</v>
          </cell>
          <cell r="B1190">
            <v>22.350594999999998</v>
          </cell>
        </row>
        <row r="1191">
          <cell r="A1191">
            <v>41173</v>
          </cell>
          <cell r="B1191">
            <v>22.298199</v>
          </cell>
        </row>
        <row r="1192">
          <cell r="A1192">
            <v>41176</v>
          </cell>
          <cell r="B1192">
            <v>22.337496000000002</v>
          </cell>
        </row>
        <row r="1193">
          <cell r="A1193">
            <v>41177</v>
          </cell>
          <cell r="B1193">
            <v>22.062424</v>
          </cell>
        </row>
        <row r="1194">
          <cell r="A1194">
            <v>41178</v>
          </cell>
          <cell r="B1194">
            <v>21.874676000000001</v>
          </cell>
        </row>
        <row r="1195">
          <cell r="A1195">
            <v>41179</v>
          </cell>
          <cell r="B1195">
            <v>22.285105000000001</v>
          </cell>
        </row>
        <row r="1196">
          <cell r="A1196">
            <v>41180</v>
          </cell>
          <cell r="B1196">
            <v>22.141016</v>
          </cell>
        </row>
        <row r="1197">
          <cell r="A1197">
            <v>41183</v>
          </cell>
          <cell r="B1197">
            <v>21.896505000000001</v>
          </cell>
        </row>
        <row r="1198">
          <cell r="A1198">
            <v>41184</v>
          </cell>
          <cell r="B1198">
            <v>21.525385</v>
          </cell>
        </row>
        <row r="1199">
          <cell r="A1199">
            <v>41185</v>
          </cell>
          <cell r="B1199">
            <v>21.608345</v>
          </cell>
        </row>
        <row r="1200">
          <cell r="A1200">
            <v>41186</v>
          </cell>
          <cell r="B1200">
            <v>21.438061000000001</v>
          </cell>
        </row>
        <row r="1201">
          <cell r="A1201">
            <v>41187</v>
          </cell>
          <cell r="B1201">
            <v>21.28088</v>
          </cell>
        </row>
        <row r="1202">
          <cell r="A1202">
            <v>41190</v>
          </cell>
          <cell r="B1202">
            <v>21.289601999999999</v>
          </cell>
        </row>
        <row r="1203">
          <cell r="A1203">
            <v>41191</v>
          </cell>
          <cell r="B1203">
            <v>20.673974999999999</v>
          </cell>
        </row>
        <row r="1204">
          <cell r="A1204">
            <v>41192</v>
          </cell>
          <cell r="B1204">
            <v>20.499319</v>
          </cell>
        </row>
        <row r="1205">
          <cell r="A1205">
            <v>41193</v>
          </cell>
          <cell r="B1205">
            <v>20.591009</v>
          </cell>
        </row>
        <row r="1206">
          <cell r="A1206">
            <v>41194</v>
          </cell>
          <cell r="B1206">
            <v>20.599741000000002</v>
          </cell>
        </row>
        <row r="1207">
          <cell r="A1207">
            <v>41197</v>
          </cell>
          <cell r="B1207">
            <v>20.813690000000001</v>
          </cell>
        </row>
        <row r="1208">
          <cell r="A1208">
            <v>41198</v>
          </cell>
          <cell r="B1208">
            <v>21.376932</v>
          </cell>
        </row>
        <row r="1209">
          <cell r="A1209">
            <v>41199</v>
          </cell>
          <cell r="B1209">
            <v>21.128056999999998</v>
          </cell>
        </row>
        <row r="1210">
          <cell r="A1210">
            <v>41200</v>
          </cell>
          <cell r="B1210">
            <v>20.700168999999999</v>
          </cell>
        </row>
        <row r="1211">
          <cell r="A1211">
            <v>41201</v>
          </cell>
          <cell r="B1211">
            <v>19.949176999999999</v>
          </cell>
        </row>
        <row r="1212">
          <cell r="A1212">
            <v>41204</v>
          </cell>
          <cell r="B1212">
            <v>19.778898000000002</v>
          </cell>
        </row>
        <row r="1213">
          <cell r="A1213">
            <v>41205</v>
          </cell>
          <cell r="B1213">
            <v>19.634817000000002</v>
          </cell>
        </row>
        <row r="1214">
          <cell r="A1214">
            <v>41206</v>
          </cell>
          <cell r="B1214">
            <v>19.761433</v>
          </cell>
        </row>
        <row r="1215">
          <cell r="A1215">
            <v>41207</v>
          </cell>
          <cell r="B1215">
            <v>20.193688999999999</v>
          </cell>
        </row>
        <row r="1216">
          <cell r="A1216">
            <v>41208</v>
          </cell>
          <cell r="B1216">
            <v>20.027771000000001</v>
          </cell>
        </row>
        <row r="1217">
          <cell r="A1217">
            <v>41213</v>
          </cell>
          <cell r="B1217">
            <v>20.040873999999999</v>
          </cell>
        </row>
        <row r="1218">
          <cell r="A1218">
            <v>41214</v>
          </cell>
          <cell r="B1218">
            <v>20.355236000000001</v>
          </cell>
        </row>
        <row r="1219">
          <cell r="A1219">
            <v>41215</v>
          </cell>
          <cell r="B1219">
            <v>22.197776999999999</v>
          </cell>
        </row>
        <row r="1220">
          <cell r="A1220">
            <v>41218</v>
          </cell>
          <cell r="B1220">
            <v>22.272003000000002</v>
          </cell>
        </row>
        <row r="1221">
          <cell r="A1221">
            <v>41219</v>
          </cell>
          <cell r="B1221">
            <v>22.577635000000001</v>
          </cell>
        </row>
        <row r="1222">
          <cell r="A1222">
            <v>41220</v>
          </cell>
          <cell r="B1222">
            <v>22.621300000000002</v>
          </cell>
        </row>
        <row r="1223">
          <cell r="A1223">
            <v>41221</v>
          </cell>
          <cell r="B1223">
            <v>22.206509</v>
          </cell>
        </row>
        <row r="1224">
          <cell r="A1224">
            <v>41222</v>
          </cell>
          <cell r="B1224">
            <v>22.250174000000001</v>
          </cell>
        </row>
        <row r="1225">
          <cell r="A1225">
            <v>41225</v>
          </cell>
          <cell r="B1225">
            <v>22.127915999999999</v>
          </cell>
        </row>
        <row r="1226">
          <cell r="A1226">
            <v>41226</v>
          </cell>
          <cell r="B1226">
            <v>22.057772</v>
          </cell>
        </row>
        <row r="1227">
          <cell r="A1227">
            <v>41227</v>
          </cell>
          <cell r="B1227">
            <v>21.413264999999999</v>
          </cell>
        </row>
        <row r="1228">
          <cell r="A1228">
            <v>41228</v>
          </cell>
          <cell r="B1228">
            <v>21.233509000000002</v>
          </cell>
        </row>
        <row r="1229">
          <cell r="A1229">
            <v>41229</v>
          </cell>
          <cell r="B1229">
            <v>21.378188999999999</v>
          </cell>
        </row>
        <row r="1230">
          <cell r="A1230">
            <v>41232</v>
          </cell>
          <cell r="B1230">
            <v>21.807863000000001</v>
          </cell>
        </row>
        <row r="1231">
          <cell r="A1231">
            <v>41233</v>
          </cell>
          <cell r="B1231">
            <v>21.948160000000001</v>
          </cell>
        </row>
        <row r="1232">
          <cell r="A1232">
            <v>41234</v>
          </cell>
          <cell r="B1232">
            <v>22.145458000000001</v>
          </cell>
        </row>
        <row r="1233">
          <cell r="A1233">
            <v>41236</v>
          </cell>
          <cell r="B1233">
            <v>22.443591999999999</v>
          </cell>
        </row>
        <row r="1234">
          <cell r="A1234">
            <v>41239</v>
          </cell>
          <cell r="B1234">
            <v>22.312062999999998</v>
          </cell>
        </row>
        <row r="1235">
          <cell r="A1235">
            <v>41240</v>
          </cell>
          <cell r="B1235">
            <v>22.013926000000001</v>
          </cell>
        </row>
        <row r="1236">
          <cell r="A1236">
            <v>41241</v>
          </cell>
          <cell r="B1236">
            <v>22.522511999999999</v>
          </cell>
        </row>
        <row r="1237">
          <cell r="A1237">
            <v>41242</v>
          </cell>
          <cell r="B1237">
            <v>22.711048000000002</v>
          </cell>
        </row>
        <row r="1238">
          <cell r="A1238">
            <v>41243</v>
          </cell>
          <cell r="B1238">
            <v>22.741724000000001</v>
          </cell>
        </row>
        <row r="1239">
          <cell r="A1239">
            <v>41246</v>
          </cell>
          <cell r="B1239">
            <v>22.706654</v>
          </cell>
        </row>
        <row r="1240">
          <cell r="A1240">
            <v>41247</v>
          </cell>
          <cell r="B1240">
            <v>22.412904999999999</v>
          </cell>
        </row>
        <row r="1241">
          <cell r="A1241">
            <v>41248</v>
          </cell>
          <cell r="B1241">
            <v>22.268222999999999</v>
          </cell>
        </row>
        <row r="1242">
          <cell r="A1242">
            <v>41249</v>
          </cell>
          <cell r="B1242">
            <v>23.544073000000001</v>
          </cell>
        </row>
        <row r="1243">
          <cell r="A1243">
            <v>41250</v>
          </cell>
          <cell r="B1243">
            <v>23.517765000000001</v>
          </cell>
        </row>
        <row r="1244">
          <cell r="A1244">
            <v>41253</v>
          </cell>
          <cell r="B1244">
            <v>23.219626999999999</v>
          </cell>
        </row>
        <row r="1245">
          <cell r="A1245">
            <v>41254</v>
          </cell>
          <cell r="B1245">
            <v>23.320467000000001</v>
          </cell>
        </row>
        <row r="1246">
          <cell r="A1246">
            <v>41255</v>
          </cell>
          <cell r="B1246">
            <v>23.500233000000001</v>
          </cell>
        </row>
        <row r="1247">
          <cell r="A1247">
            <v>41256</v>
          </cell>
          <cell r="B1247">
            <v>23.316084</v>
          </cell>
        </row>
        <row r="1248">
          <cell r="A1248">
            <v>41257</v>
          </cell>
          <cell r="B1248">
            <v>23.394998999999999</v>
          </cell>
        </row>
        <row r="1249">
          <cell r="A1249">
            <v>41260</v>
          </cell>
          <cell r="B1249">
            <v>23.929894999999998</v>
          </cell>
        </row>
        <row r="1250">
          <cell r="A1250">
            <v>41261</v>
          </cell>
          <cell r="B1250">
            <v>23.824669</v>
          </cell>
        </row>
        <row r="1251">
          <cell r="A1251">
            <v>41262</v>
          </cell>
          <cell r="B1251">
            <v>23.793976000000001</v>
          </cell>
        </row>
        <row r="1252">
          <cell r="A1252">
            <v>41263</v>
          </cell>
          <cell r="B1252">
            <v>23.767672000000001</v>
          </cell>
        </row>
        <row r="1253">
          <cell r="A1253">
            <v>41264</v>
          </cell>
          <cell r="B1253">
            <v>23.500233000000001</v>
          </cell>
        </row>
        <row r="1254">
          <cell r="A1254">
            <v>41267</v>
          </cell>
          <cell r="B1254">
            <v>23.539679</v>
          </cell>
        </row>
        <row r="1255">
          <cell r="A1255">
            <v>41269</v>
          </cell>
          <cell r="B1255">
            <v>23.294160999999999</v>
          </cell>
        </row>
        <row r="1256">
          <cell r="A1256">
            <v>41270</v>
          </cell>
          <cell r="B1256">
            <v>23.342390000000002</v>
          </cell>
        </row>
        <row r="1257">
          <cell r="A1257">
            <v>41271</v>
          </cell>
          <cell r="B1257">
            <v>23.079325000000001</v>
          </cell>
        </row>
        <row r="1258">
          <cell r="A1258">
            <v>41274</v>
          </cell>
          <cell r="B1258">
            <v>23.513380000000002</v>
          </cell>
        </row>
        <row r="1259">
          <cell r="A1259">
            <v>41276</v>
          </cell>
          <cell r="B1259">
            <v>24.114035000000001</v>
          </cell>
        </row>
        <row r="1260">
          <cell r="A1260">
            <v>41277</v>
          </cell>
          <cell r="B1260">
            <v>24.276261999999999</v>
          </cell>
        </row>
        <row r="1261">
          <cell r="A1261">
            <v>41278</v>
          </cell>
          <cell r="B1261">
            <v>24.416557000000001</v>
          </cell>
        </row>
        <row r="1262">
          <cell r="A1262">
            <v>41281</v>
          </cell>
          <cell r="B1262">
            <v>24.429714000000001</v>
          </cell>
        </row>
        <row r="1263">
          <cell r="A1263">
            <v>41282</v>
          </cell>
          <cell r="B1263">
            <v>24.385870000000001</v>
          </cell>
        </row>
        <row r="1264">
          <cell r="A1264">
            <v>41283</v>
          </cell>
          <cell r="B1264">
            <v>23.951816999999998</v>
          </cell>
        </row>
        <row r="1265">
          <cell r="A1265">
            <v>41284</v>
          </cell>
          <cell r="B1265">
            <v>23.912355000000002</v>
          </cell>
        </row>
        <row r="1266">
          <cell r="A1266">
            <v>41285</v>
          </cell>
          <cell r="B1266">
            <v>24.118423</v>
          </cell>
        </row>
        <row r="1267">
          <cell r="A1267">
            <v>41288</v>
          </cell>
          <cell r="B1267">
            <v>23.969358</v>
          </cell>
        </row>
        <row r="1268">
          <cell r="A1268">
            <v>41289</v>
          </cell>
          <cell r="B1268">
            <v>23.886050999999998</v>
          </cell>
        </row>
        <row r="1269">
          <cell r="A1269">
            <v>41290</v>
          </cell>
          <cell r="B1269">
            <v>23.829046000000002</v>
          </cell>
        </row>
        <row r="1270">
          <cell r="A1270">
            <v>41291</v>
          </cell>
          <cell r="B1270">
            <v>23.894817</v>
          </cell>
        </row>
        <row r="1271">
          <cell r="A1271">
            <v>41292</v>
          </cell>
          <cell r="B1271">
            <v>24.030739000000001</v>
          </cell>
        </row>
        <row r="1272">
          <cell r="A1272">
            <v>41296</v>
          </cell>
          <cell r="B1272">
            <v>24.109649999999998</v>
          </cell>
        </row>
        <row r="1273">
          <cell r="A1273">
            <v>41297</v>
          </cell>
          <cell r="B1273">
            <v>23.877285000000001</v>
          </cell>
        </row>
        <row r="1274">
          <cell r="A1274">
            <v>41298</v>
          </cell>
          <cell r="B1274">
            <v>23.925514</v>
          </cell>
        </row>
        <row r="1275">
          <cell r="A1275">
            <v>41299</v>
          </cell>
          <cell r="B1275">
            <v>24.907608</v>
          </cell>
        </row>
        <row r="1276">
          <cell r="A1276">
            <v>41302</v>
          </cell>
          <cell r="B1276">
            <v>24.561245</v>
          </cell>
        </row>
        <row r="1277">
          <cell r="A1277">
            <v>41303</v>
          </cell>
          <cell r="B1277">
            <v>24.377098</v>
          </cell>
        </row>
        <row r="1278">
          <cell r="A1278">
            <v>41304</v>
          </cell>
          <cell r="B1278">
            <v>24.552479000000002</v>
          </cell>
        </row>
        <row r="1279">
          <cell r="A1279">
            <v>41305</v>
          </cell>
          <cell r="B1279">
            <v>24.605087000000001</v>
          </cell>
        </row>
        <row r="1280">
          <cell r="A1280">
            <v>41306</v>
          </cell>
          <cell r="B1280">
            <v>24.929531000000001</v>
          </cell>
        </row>
        <row r="1281">
          <cell r="A1281">
            <v>41309</v>
          </cell>
          <cell r="B1281">
            <v>24.591933999999998</v>
          </cell>
        </row>
        <row r="1282">
          <cell r="A1282">
            <v>41310</v>
          </cell>
          <cell r="B1282">
            <v>24.732761</v>
          </cell>
        </row>
        <row r="1283">
          <cell r="A1283">
            <v>41311</v>
          </cell>
          <cell r="B1283">
            <v>24.666747999999998</v>
          </cell>
        </row>
        <row r="1284">
          <cell r="A1284">
            <v>41312</v>
          </cell>
          <cell r="B1284">
            <v>24.583134000000001</v>
          </cell>
        </row>
        <row r="1285">
          <cell r="A1285">
            <v>41313</v>
          </cell>
          <cell r="B1285">
            <v>24.807573000000001</v>
          </cell>
        </row>
        <row r="1286">
          <cell r="A1286">
            <v>41316</v>
          </cell>
          <cell r="B1286">
            <v>24.706354000000001</v>
          </cell>
        </row>
        <row r="1287">
          <cell r="A1287">
            <v>41317</v>
          </cell>
          <cell r="B1287">
            <v>24.759172</v>
          </cell>
        </row>
        <row r="1288">
          <cell r="A1288">
            <v>41318</v>
          </cell>
          <cell r="B1288">
            <v>24.569928999999998</v>
          </cell>
        </row>
        <row r="1289">
          <cell r="A1289">
            <v>41319</v>
          </cell>
          <cell r="B1289">
            <v>24.446702999999999</v>
          </cell>
        </row>
        <row r="1290">
          <cell r="A1290">
            <v>41320</v>
          </cell>
          <cell r="B1290">
            <v>23.914206</v>
          </cell>
        </row>
        <row r="1291">
          <cell r="A1291">
            <v>41324</v>
          </cell>
          <cell r="B1291">
            <v>23.962612</v>
          </cell>
        </row>
        <row r="1292">
          <cell r="A1292">
            <v>41325</v>
          </cell>
          <cell r="B1292">
            <v>23.460916999999998</v>
          </cell>
        </row>
        <row r="1293">
          <cell r="A1293">
            <v>41326</v>
          </cell>
          <cell r="B1293">
            <v>23.478521000000001</v>
          </cell>
        </row>
        <row r="1294">
          <cell r="A1294">
            <v>41327</v>
          </cell>
          <cell r="B1294">
            <v>23.839386000000001</v>
          </cell>
        </row>
        <row r="1295">
          <cell r="A1295">
            <v>41330</v>
          </cell>
          <cell r="B1295">
            <v>23.416907999999999</v>
          </cell>
        </row>
        <row r="1296">
          <cell r="A1296">
            <v>41331</v>
          </cell>
          <cell r="B1296">
            <v>23.447714000000001</v>
          </cell>
        </row>
        <row r="1297">
          <cell r="A1297">
            <v>41332</v>
          </cell>
          <cell r="B1297">
            <v>24.015421</v>
          </cell>
        </row>
        <row r="1298">
          <cell r="A1298">
            <v>41333</v>
          </cell>
          <cell r="B1298">
            <v>24.138649000000001</v>
          </cell>
        </row>
        <row r="1299">
          <cell r="A1299">
            <v>41334</v>
          </cell>
          <cell r="B1299">
            <v>24.147452999999999</v>
          </cell>
        </row>
        <row r="1300">
          <cell r="A1300">
            <v>41337</v>
          </cell>
          <cell r="B1300">
            <v>24.512722</v>
          </cell>
        </row>
        <row r="1301">
          <cell r="A1301">
            <v>41338</v>
          </cell>
          <cell r="B1301">
            <v>24.86919</v>
          </cell>
        </row>
        <row r="1302">
          <cell r="A1302">
            <v>41339</v>
          </cell>
          <cell r="B1302">
            <v>25.128837999999998</v>
          </cell>
        </row>
        <row r="1303">
          <cell r="A1303">
            <v>41340</v>
          </cell>
          <cell r="B1303">
            <v>25.634933</v>
          </cell>
        </row>
        <row r="1304">
          <cell r="A1304">
            <v>41341</v>
          </cell>
          <cell r="B1304">
            <v>25.819769000000001</v>
          </cell>
        </row>
        <row r="1305">
          <cell r="A1305">
            <v>41344</v>
          </cell>
          <cell r="B1305">
            <v>25.793367</v>
          </cell>
        </row>
        <row r="1306">
          <cell r="A1306">
            <v>41345</v>
          </cell>
          <cell r="B1306">
            <v>25.648133999999999</v>
          </cell>
        </row>
        <row r="1307">
          <cell r="A1307">
            <v>41346</v>
          </cell>
          <cell r="B1307">
            <v>25.784569000000001</v>
          </cell>
        </row>
        <row r="1308">
          <cell r="A1308">
            <v>41347</v>
          </cell>
          <cell r="B1308">
            <v>25.384094000000001</v>
          </cell>
        </row>
        <row r="1309">
          <cell r="A1309">
            <v>41348</v>
          </cell>
          <cell r="B1309">
            <v>25.375285999999999</v>
          </cell>
        </row>
        <row r="1310">
          <cell r="A1310">
            <v>41351</v>
          </cell>
          <cell r="B1310">
            <v>25.054023999999998</v>
          </cell>
        </row>
        <row r="1311">
          <cell r="A1311">
            <v>41352</v>
          </cell>
          <cell r="B1311">
            <v>25.010019</v>
          </cell>
        </row>
        <row r="1312">
          <cell r="A1312">
            <v>41353</v>
          </cell>
          <cell r="B1312">
            <v>25.274070999999999</v>
          </cell>
        </row>
        <row r="1313">
          <cell r="A1313">
            <v>41354</v>
          </cell>
          <cell r="B1313">
            <v>25.106838</v>
          </cell>
        </row>
        <row r="1314">
          <cell r="A1314">
            <v>41355</v>
          </cell>
          <cell r="B1314">
            <v>25.252064000000001</v>
          </cell>
        </row>
        <row r="1315">
          <cell r="A1315">
            <v>41358</v>
          </cell>
          <cell r="B1315">
            <v>24.948402000000002</v>
          </cell>
        </row>
        <row r="1316">
          <cell r="A1316">
            <v>41359</v>
          </cell>
          <cell r="B1316">
            <v>25.106838</v>
          </cell>
        </row>
        <row r="1317">
          <cell r="A1317">
            <v>41360</v>
          </cell>
          <cell r="B1317">
            <v>25.045221000000002</v>
          </cell>
        </row>
        <row r="1318">
          <cell r="A1318">
            <v>41361</v>
          </cell>
          <cell r="B1318">
            <v>25.062822000000001</v>
          </cell>
        </row>
        <row r="1319">
          <cell r="A1319">
            <v>41365</v>
          </cell>
          <cell r="B1319">
            <v>25.027618</v>
          </cell>
        </row>
        <row r="1320">
          <cell r="A1320">
            <v>41366</v>
          </cell>
          <cell r="B1320">
            <v>25.639337999999999</v>
          </cell>
        </row>
        <row r="1321">
          <cell r="A1321">
            <v>41367</v>
          </cell>
          <cell r="B1321">
            <v>25.392885</v>
          </cell>
        </row>
        <row r="1322">
          <cell r="A1322">
            <v>41368</v>
          </cell>
          <cell r="B1322">
            <v>25.573326000000002</v>
          </cell>
        </row>
        <row r="1323">
          <cell r="A1323">
            <v>41369</v>
          </cell>
          <cell r="B1323">
            <v>25.436895</v>
          </cell>
        </row>
        <row r="1324">
          <cell r="A1324">
            <v>41372</v>
          </cell>
          <cell r="B1324">
            <v>25.577722999999999</v>
          </cell>
        </row>
        <row r="1325">
          <cell r="A1325">
            <v>41373</v>
          </cell>
          <cell r="B1325">
            <v>25.265266</v>
          </cell>
        </row>
        <row r="1326">
          <cell r="A1326">
            <v>41374</v>
          </cell>
          <cell r="B1326">
            <v>25.436895</v>
          </cell>
        </row>
        <row r="1327">
          <cell r="A1327">
            <v>41375</v>
          </cell>
          <cell r="B1327">
            <v>25.780165</v>
          </cell>
        </row>
        <row r="1328">
          <cell r="A1328">
            <v>41376</v>
          </cell>
          <cell r="B1328">
            <v>26.004604</v>
          </cell>
        </row>
        <row r="1329">
          <cell r="A1329">
            <v>41379</v>
          </cell>
          <cell r="B1329">
            <v>25.397286999999999</v>
          </cell>
        </row>
        <row r="1330">
          <cell r="A1330">
            <v>41380</v>
          </cell>
          <cell r="B1330">
            <v>25.771363999999998</v>
          </cell>
        </row>
        <row r="1331">
          <cell r="A1331">
            <v>41381</v>
          </cell>
          <cell r="B1331">
            <v>25.599726</v>
          </cell>
        </row>
        <row r="1332">
          <cell r="A1332">
            <v>41382</v>
          </cell>
          <cell r="B1332">
            <v>25.401693000000002</v>
          </cell>
        </row>
        <row r="1333">
          <cell r="A1333">
            <v>41383</v>
          </cell>
          <cell r="B1333">
            <v>25.700952999999998</v>
          </cell>
        </row>
        <row r="1334">
          <cell r="A1334">
            <v>41386</v>
          </cell>
          <cell r="B1334">
            <v>25.806566</v>
          </cell>
        </row>
        <row r="1335">
          <cell r="A1335">
            <v>41387</v>
          </cell>
          <cell r="B1335">
            <v>26.136633</v>
          </cell>
        </row>
        <row r="1336">
          <cell r="A1336">
            <v>41388</v>
          </cell>
          <cell r="B1336">
            <v>26.330271</v>
          </cell>
        </row>
        <row r="1337">
          <cell r="A1337">
            <v>41389</v>
          </cell>
          <cell r="B1337">
            <v>26.625124</v>
          </cell>
        </row>
        <row r="1338">
          <cell r="A1338">
            <v>41390</v>
          </cell>
          <cell r="B1338">
            <v>26.405087000000002</v>
          </cell>
        </row>
        <row r="1339">
          <cell r="A1339">
            <v>41393</v>
          </cell>
          <cell r="B1339">
            <v>26.660336000000001</v>
          </cell>
        </row>
        <row r="1340">
          <cell r="A1340">
            <v>41394</v>
          </cell>
          <cell r="B1340">
            <v>26.774754000000001</v>
          </cell>
        </row>
        <row r="1341">
          <cell r="A1341">
            <v>41395</v>
          </cell>
          <cell r="B1341">
            <v>26.466698000000001</v>
          </cell>
        </row>
        <row r="1342">
          <cell r="A1342">
            <v>41396</v>
          </cell>
          <cell r="B1342">
            <v>26.572319</v>
          </cell>
        </row>
        <row r="1343">
          <cell r="A1343">
            <v>41397</v>
          </cell>
          <cell r="B1343">
            <v>27.228045999999999</v>
          </cell>
        </row>
        <row r="1344">
          <cell r="A1344">
            <v>41400</v>
          </cell>
          <cell r="B1344">
            <v>27.496493999999998</v>
          </cell>
        </row>
        <row r="1345">
          <cell r="A1345">
            <v>41401</v>
          </cell>
          <cell r="B1345">
            <v>27.461165999999999</v>
          </cell>
        </row>
        <row r="1346">
          <cell r="A1346">
            <v>41402</v>
          </cell>
          <cell r="B1346">
            <v>27.558311</v>
          </cell>
        </row>
        <row r="1347">
          <cell r="A1347">
            <v>41403</v>
          </cell>
          <cell r="B1347">
            <v>27.536239999999999</v>
          </cell>
        </row>
        <row r="1348">
          <cell r="A1348">
            <v>41404</v>
          </cell>
          <cell r="B1348">
            <v>27.862988999999999</v>
          </cell>
        </row>
        <row r="1349">
          <cell r="A1349">
            <v>41407</v>
          </cell>
          <cell r="B1349">
            <v>27.739359</v>
          </cell>
        </row>
        <row r="1350">
          <cell r="A1350">
            <v>41408</v>
          </cell>
          <cell r="B1350">
            <v>28.048452000000001</v>
          </cell>
        </row>
        <row r="1351">
          <cell r="A1351">
            <v>41409</v>
          </cell>
          <cell r="B1351">
            <v>28.291316999999999</v>
          </cell>
        </row>
        <row r="1352">
          <cell r="A1352">
            <v>41410</v>
          </cell>
          <cell r="B1352">
            <v>28.061700999999999</v>
          </cell>
        </row>
        <row r="1353">
          <cell r="A1353">
            <v>41411</v>
          </cell>
          <cell r="B1353">
            <v>28.317806000000001</v>
          </cell>
        </row>
        <row r="1354">
          <cell r="A1354">
            <v>41414</v>
          </cell>
          <cell r="B1354">
            <v>28.185341000000001</v>
          </cell>
        </row>
        <row r="1355">
          <cell r="A1355">
            <v>41415</v>
          </cell>
          <cell r="B1355">
            <v>28.370802000000001</v>
          </cell>
        </row>
        <row r="1356">
          <cell r="A1356">
            <v>41416</v>
          </cell>
          <cell r="B1356">
            <v>28.326647000000001</v>
          </cell>
        </row>
        <row r="1357">
          <cell r="A1357">
            <v>41417</v>
          </cell>
          <cell r="B1357">
            <v>28.048452000000001</v>
          </cell>
        </row>
        <row r="1358">
          <cell r="A1358">
            <v>41418</v>
          </cell>
          <cell r="B1358">
            <v>27.977803999999999</v>
          </cell>
        </row>
        <row r="1359">
          <cell r="A1359">
            <v>41422</v>
          </cell>
          <cell r="B1359">
            <v>28.375216000000002</v>
          </cell>
        </row>
        <row r="1360">
          <cell r="A1360">
            <v>41423</v>
          </cell>
          <cell r="B1360">
            <v>28.097028999999999</v>
          </cell>
        </row>
        <row r="1361">
          <cell r="A1361">
            <v>41424</v>
          </cell>
          <cell r="B1361">
            <v>28.026378999999999</v>
          </cell>
        </row>
        <row r="1362">
          <cell r="A1362">
            <v>41425</v>
          </cell>
          <cell r="B1362">
            <v>27.880656999999999</v>
          </cell>
        </row>
        <row r="1363">
          <cell r="A1363">
            <v>41428</v>
          </cell>
          <cell r="B1363">
            <v>28.021958999999999</v>
          </cell>
        </row>
        <row r="1364">
          <cell r="A1364">
            <v>41429</v>
          </cell>
          <cell r="B1364">
            <v>27.964559999999999</v>
          </cell>
        </row>
        <row r="1365">
          <cell r="A1365">
            <v>41430</v>
          </cell>
          <cell r="B1365">
            <v>27.527408999999999</v>
          </cell>
        </row>
        <row r="1366">
          <cell r="A1366">
            <v>41431</v>
          </cell>
          <cell r="B1366">
            <v>27.827673000000001</v>
          </cell>
        </row>
        <row r="1367">
          <cell r="A1367">
            <v>41432</v>
          </cell>
          <cell r="B1367">
            <v>28.719643000000001</v>
          </cell>
        </row>
        <row r="1368">
          <cell r="A1368">
            <v>41435</v>
          </cell>
          <cell r="B1368">
            <v>29.192122000000001</v>
          </cell>
        </row>
        <row r="1369">
          <cell r="A1369">
            <v>41436</v>
          </cell>
          <cell r="B1369">
            <v>28.887432</v>
          </cell>
        </row>
        <row r="1370">
          <cell r="A1370">
            <v>41437</v>
          </cell>
          <cell r="B1370">
            <v>28.459116000000002</v>
          </cell>
        </row>
        <row r="1371">
          <cell r="A1371">
            <v>41438</v>
          </cell>
          <cell r="B1371">
            <v>29.130299000000001</v>
          </cell>
        </row>
        <row r="1372">
          <cell r="A1372">
            <v>41439</v>
          </cell>
          <cell r="B1372">
            <v>28.966913000000002</v>
          </cell>
        </row>
        <row r="1373">
          <cell r="A1373">
            <v>41442</v>
          </cell>
          <cell r="B1373">
            <v>29.156797000000001</v>
          </cell>
        </row>
        <row r="1374">
          <cell r="A1374">
            <v>41443</v>
          </cell>
          <cell r="B1374">
            <v>29.629270999999999</v>
          </cell>
        </row>
        <row r="1375">
          <cell r="A1375">
            <v>41444</v>
          </cell>
          <cell r="B1375">
            <v>29.324591000000002</v>
          </cell>
        </row>
        <row r="1376">
          <cell r="A1376">
            <v>41445</v>
          </cell>
          <cell r="B1376">
            <v>28.799119999999998</v>
          </cell>
        </row>
        <row r="1377">
          <cell r="A1377">
            <v>41446</v>
          </cell>
          <cell r="B1377">
            <v>28.565083999999999</v>
          </cell>
        </row>
        <row r="1378">
          <cell r="A1378">
            <v>41449</v>
          </cell>
          <cell r="B1378">
            <v>28.264825999999999</v>
          </cell>
        </row>
        <row r="1379">
          <cell r="A1379">
            <v>41450</v>
          </cell>
          <cell r="B1379">
            <v>28.587164000000001</v>
          </cell>
        </row>
        <row r="1380">
          <cell r="A1380">
            <v>41451</v>
          </cell>
          <cell r="B1380">
            <v>29.055229000000001</v>
          </cell>
        </row>
        <row r="1381">
          <cell r="A1381">
            <v>41452</v>
          </cell>
          <cell r="B1381">
            <v>29.00666</v>
          </cell>
        </row>
        <row r="1382">
          <cell r="A1382">
            <v>41453</v>
          </cell>
          <cell r="B1382">
            <v>28.927175999999999</v>
          </cell>
        </row>
        <row r="1383">
          <cell r="A1383">
            <v>41456</v>
          </cell>
          <cell r="B1383">
            <v>29.249516</v>
          </cell>
        </row>
        <row r="1384">
          <cell r="A1384">
            <v>41457</v>
          </cell>
          <cell r="B1384">
            <v>29.492381999999999</v>
          </cell>
        </row>
        <row r="1385">
          <cell r="A1385">
            <v>41458</v>
          </cell>
          <cell r="B1385">
            <v>29.717585</v>
          </cell>
        </row>
        <row r="1386">
          <cell r="A1386">
            <v>41460</v>
          </cell>
          <cell r="B1386">
            <v>29.903034000000002</v>
          </cell>
        </row>
        <row r="1387">
          <cell r="A1387">
            <v>41463</v>
          </cell>
          <cell r="B1387">
            <v>30.154731999999999</v>
          </cell>
        </row>
        <row r="1388">
          <cell r="A1388">
            <v>41464</v>
          </cell>
          <cell r="B1388">
            <v>30.084078000000002</v>
          </cell>
        </row>
        <row r="1389">
          <cell r="A1389">
            <v>41465</v>
          </cell>
          <cell r="B1389">
            <v>30.070838999999999</v>
          </cell>
        </row>
        <row r="1390">
          <cell r="A1390">
            <v>41466</v>
          </cell>
          <cell r="B1390">
            <v>30.618383000000001</v>
          </cell>
        </row>
        <row r="1391">
          <cell r="A1391">
            <v>41467</v>
          </cell>
          <cell r="B1391">
            <v>30.786180000000002</v>
          </cell>
        </row>
        <row r="1392">
          <cell r="A1392">
            <v>41470</v>
          </cell>
          <cell r="B1392">
            <v>30.759685999999999</v>
          </cell>
        </row>
        <row r="1393">
          <cell r="A1393">
            <v>41471</v>
          </cell>
          <cell r="B1393">
            <v>30.697866000000001</v>
          </cell>
        </row>
        <row r="1394">
          <cell r="A1394">
            <v>41472</v>
          </cell>
          <cell r="B1394">
            <v>30.114989999999999</v>
          </cell>
        </row>
        <row r="1395">
          <cell r="A1395">
            <v>41473</v>
          </cell>
          <cell r="B1395">
            <v>30.238634000000001</v>
          </cell>
        </row>
        <row r="1396">
          <cell r="A1396">
            <v>41474</v>
          </cell>
          <cell r="B1396">
            <v>30.375520999999999</v>
          </cell>
        </row>
        <row r="1397">
          <cell r="A1397">
            <v>41477</v>
          </cell>
          <cell r="B1397">
            <v>30.477080999999998</v>
          </cell>
        </row>
        <row r="1398">
          <cell r="A1398">
            <v>41478</v>
          </cell>
          <cell r="B1398">
            <v>29.876550999999999</v>
          </cell>
        </row>
        <row r="1399">
          <cell r="A1399">
            <v>41479</v>
          </cell>
          <cell r="B1399">
            <v>29.412901000000002</v>
          </cell>
        </row>
        <row r="1400">
          <cell r="A1400">
            <v>41480</v>
          </cell>
          <cell r="B1400">
            <v>30.101748000000001</v>
          </cell>
        </row>
        <row r="1401">
          <cell r="A1401">
            <v>41481</v>
          </cell>
          <cell r="B1401">
            <v>32.393501000000001</v>
          </cell>
        </row>
        <row r="1402">
          <cell r="A1402">
            <v>41484</v>
          </cell>
          <cell r="B1402">
            <v>31.991662999999999</v>
          </cell>
        </row>
        <row r="1403">
          <cell r="A1403">
            <v>41485</v>
          </cell>
          <cell r="B1403">
            <v>31.762046999999999</v>
          </cell>
        </row>
        <row r="1404">
          <cell r="A1404">
            <v>41486</v>
          </cell>
          <cell r="B1404">
            <v>31.479441000000001</v>
          </cell>
        </row>
        <row r="1405">
          <cell r="A1405">
            <v>41487</v>
          </cell>
          <cell r="B1405">
            <v>32.446472</v>
          </cell>
        </row>
        <row r="1406">
          <cell r="A1406">
            <v>41488</v>
          </cell>
          <cell r="B1406">
            <v>32.777656999999998</v>
          </cell>
        </row>
        <row r="1407">
          <cell r="A1407">
            <v>41491</v>
          </cell>
          <cell r="B1407">
            <v>32.662841999999998</v>
          </cell>
        </row>
        <row r="1408">
          <cell r="A1408">
            <v>41492</v>
          </cell>
          <cell r="B1408">
            <v>32.237746999999999</v>
          </cell>
        </row>
        <row r="1409">
          <cell r="A1409">
            <v>41493</v>
          </cell>
          <cell r="B1409">
            <v>31.967611000000002</v>
          </cell>
        </row>
        <row r="1410">
          <cell r="A1410">
            <v>41494</v>
          </cell>
          <cell r="B1410">
            <v>32.299731999999999</v>
          </cell>
        </row>
        <row r="1411">
          <cell r="A1411">
            <v>41495</v>
          </cell>
          <cell r="B1411">
            <v>32.237746999999999</v>
          </cell>
        </row>
        <row r="1412">
          <cell r="A1412">
            <v>41498</v>
          </cell>
          <cell r="B1412">
            <v>32.295302999999997</v>
          </cell>
        </row>
        <row r="1413">
          <cell r="A1413">
            <v>41499</v>
          </cell>
          <cell r="B1413">
            <v>32.166893000000002</v>
          </cell>
        </row>
        <row r="1414">
          <cell r="A1414">
            <v>41500</v>
          </cell>
          <cell r="B1414">
            <v>31.817043000000002</v>
          </cell>
        </row>
        <row r="1415">
          <cell r="A1415">
            <v>41501</v>
          </cell>
          <cell r="B1415">
            <v>31.325507999999999</v>
          </cell>
        </row>
        <row r="1416">
          <cell r="A1416">
            <v>41502</v>
          </cell>
          <cell r="B1416">
            <v>31.312225000000002</v>
          </cell>
        </row>
        <row r="1417">
          <cell r="A1417">
            <v>41505</v>
          </cell>
          <cell r="B1417">
            <v>31.126238000000001</v>
          </cell>
        </row>
        <row r="1418">
          <cell r="A1418">
            <v>41506</v>
          </cell>
          <cell r="B1418">
            <v>31.290085000000001</v>
          </cell>
        </row>
        <row r="1419">
          <cell r="A1419">
            <v>41507</v>
          </cell>
          <cell r="B1419">
            <v>31.312225000000002</v>
          </cell>
        </row>
        <row r="1420">
          <cell r="A1420">
            <v>41508</v>
          </cell>
          <cell r="B1420">
            <v>31.839193000000002</v>
          </cell>
        </row>
        <row r="1421">
          <cell r="A1421">
            <v>41509</v>
          </cell>
          <cell r="B1421">
            <v>31.870190000000001</v>
          </cell>
        </row>
        <row r="1422">
          <cell r="A1422">
            <v>41512</v>
          </cell>
          <cell r="B1422">
            <v>31.830331999999999</v>
          </cell>
        </row>
        <row r="1423">
          <cell r="A1423">
            <v>41513</v>
          </cell>
          <cell r="B1423">
            <v>31.068681999999999</v>
          </cell>
        </row>
        <row r="1424">
          <cell r="A1424">
            <v>41514</v>
          </cell>
          <cell r="B1424">
            <v>31.422927999999999</v>
          </cell>
        </row>
        <row r="1425">
          <cell r="A1425">
            <v>41515</v>
          </cell>
          <cell r="B1425">
            <v>31.520357000000001</v>
          </cell>
        </row>
        <row r="1426">
          <cell r="A1426">
            <v>41516</v>
          </cell>
          <cell r="B1426">
            <v>31.228088</v>
          </cell>
        </row>
        <row r="1427">
          <cell r="A1427">
            <v>41520</v>
          </cell>
          <cell r="B1427">
            <v>31.706344999999999</v>
          </cell>
        </row>
        <row r="1428">
          <cell r="A1428">
            <v>41521</v>
          </cell>
          <cell r="B1428">
            <v>31.945474999999998</v>
          </cell>
        </row>
        <row r="1429">
          <cell r="A1429">
            <v>41522</v>
          </cell>
          <cell r="B1429">
            <v>31.905605000000001</v>
          </cell>
        </row>
        <row r="1430">
          <cell r="A1430">
            <v>41523</v>
          </cell>
          <cell r="B1430">
            <v>31.693059999999999</v>
          </cell>
        </row>
        <row r="1431">
          <cell r="A1431">
            <v>41526</v>
          </cell>
          <cell r="B1431">
            <v>32.078322999999997</v>
          </cell>
        </row>
        <row r="1432">
          <cell r="A1432">
            <v>41527</v>
          </cell>
          <cell r="B1432">
            <v>32.866554000000001</v>
          </cell>
        </row>
        <row r="1433">
          <cell r="A1433">
            <v>41528</v>
          </cell>
          <cell r="B1433">
            <v>33.384647000000001</v>
          </cell>
        </row>
        <row r="1434">
          <cell r="A1434">
            <v>41529</v>
          </cell>
          <cell r="B1434">
            <v>33.508643999999997</v>
          </cell>
        </row>
        <row r="1435">
          <cell r="A1435">
            <v>41530</v>
          </cell>
          <cell r="B1435">
            <v>33.464371</v>
          </cell>
        </row>
        <row r="1436">
          <cell r="A1436">
            <v>41533</v>
          </cell>
          <cell r="B1436">
            <v>33.318221999999999</v>
          </cell>
        </row>
        <row r="1437">
          <cell r="A1437">
            <v>41534</v>
          </cell>
          <cell r="B1437">
            <v>33.672493000000003</v>
          </cell>
        </row>
        <row r="1438">
          <cell r="A1438">
            <v>41535</v>
          </cell>
          <cell r="B1438">
            <v>34.243735999999998</v>
          </cell>
        </row>
        <row r="1439">
          <cell r="A1439">
            <v>41536</v>
          </cell>
          <cell r="B1439">
            <v>33.809764999999999</v>
          </cell>
        </row>
        <row r="1440">
          <cell r="A1440">
            <v>41537</v>
          </cell>
          <cell r="B1440">
            <v>33.707912</v>
          </cell>
        </row>
        <row r="1441">
          <cell r="A1441">
            <v>41540</v>
          </cell>
          <cell r="B1441">
            <v>33.371361</v>
          </cell>
        </row>
        <row r="1442">
          <cell r="A1442">
            <v>41541</v>
          </cell>
          <cell r="B1442">
            <v>33.898330999999999</v>
          </cell>
        </row>
        <row r="1443">
          <cell r="A1443">
            <v>41542</v>
          </cell>
          <cell r="B1443">
            <v>33.805343999999998</v>
          </cell>
        </row>
        <row r="1444">
          <cell r="A1444">
            <v>41543</v>
          </cell>
          <cell r="B1444">
            <v>34.177311000000003</v>
          </cell>
        </row>
        <row r="1445">
          <cell r="A1445">
            <v>41544</v>
          </cell>
          <cell r="B1445">
            <v>34.243735999999998</v>
          </cell>
        </row>
        <row r="1446">
          <cell r="A1446">
            <v>41547</v>
          </cell>
          <cell r="B1446">
            <v>34.084316000000001</v>
          </cell>
        </row>
        <row r="1447">
          <cell r="A1447">
            <v>41548</v>
          </cell>
          <cell r="B1447">
            <v>34.168453</v>
          </cell>
        </row>
        <row r="1448">
          <cell r="A1448">
            <v>41549</v>
          </cell>
          <cell r="B1448">
            <v>34.181736000000001</v>
          </cell>
        </row>
        <row r="1449">
          <cell r="A1449">
            <v>41550</v>
          </cell>
          <cell r="B1449">
            <v>34.040047000000001</v>
          </cell>
        </row>
        <row r="1450">
          <cell r="A1450">
            <v>41551</v>
          </cell>
          <cell r="B1450">
            <v>34.274737999999999</v>
          </cell>
        </row>
        <row r="1451">
          <cell r="A1451">
            <v>41554</v>
          </cell>
          <cell r="B1451">
            <v>34.035606000000001</v>
          </cell>
        </row>
        <row r="1452">
          <cell r="A1452">
            <v>41555</v>
          </cell>
          <cell r="B1452">
            <v>33.446643999999999</v>
          </cell>
        </row>
        <row r="1453">
          <cell r="A1453">
            <v>41556</v>
          </cell>
          <cell r="B1453">
            <v>33.327083999999999</v>
          </cell>
        </row>
        <row r="1454">
          <cell r="A1454">
            <v>41557</v>
          </cell>
          <cell r="B1454">
            <v>34.150745000000001</v>
          </cell>
        </row>
        <row r="1455">
          <cell r="A1455">
            <v>41558</v>
          </cell>
          <cell r="B1455">
            <v>34.460720000000002</v>
          </cell>
        </row>
        <row r="1456">
          <cell r="A1456">
            <v>41561</v>
          </cell>
          <cell r="B1456">
            <v>34.584716999999998</v>
          </cell>
        </row>
        <row r="1457">
          <cell r="A1457">
            <v>41562</v>
          </cell>
          <cell r="B1457">
            <v>33.969189</v>
          </cell>
        </row>
        <row r="1458">
          <cell r="A1458">
            <v>41563</v>
          </cell>
          <cell r="B1458">
            <v>34.558143999999999</v>
          </cell>
        </row>
        <row r="1459">
          <cell r="A1459">
            <v>41564</v>
          </cell>
          <cell r="B1459">
            <v>34.868133999999998</v>
          </cell>
        </row>
        <row r="1460">
          <cell r="A1460">
            <v>41565</v>
          </cell>
          <cell r="B1460">
            <v>35.120533000000002</v>
          </cell>
        </row>
        <row r="1461">
          <cell r="A1461">
            <v>41568</v>
          </cell>
          <cell r="B1461">
            <v>35.186947000000004</v>
          </cell>
        </row>
        <row r="1462">
          <cell r="A1462">
            <v>41569</v>
          </cell>
          <cell r="B1462">
            <v>35.824623000000003</v>
          </cell>
        </row>
        <row r="1463">
          <cell r="A1463">
            <v>41570</v>
          </cell>
          <cell r="B1463">
            <v>35.448227000000003</v>
          </cell>
        </row>
        <row r="1464">
          <cell r="A1464">
            <v>41571</v>
          </cell>
          <cell r="B1464">
            <v>35.005398</v>
          </cell>
        </row>
        <row r="1465">
          <cell r="A1465">
            <v>41572</v>
          </cell>
          <cell r="B1465">
            <v>35.408378999999996</v>
          </cell>
        </row>
        <row r="1466">
          <cell r="A1466">
            <v>41575</v>
          </cell>
          <cell r="B1466">
            <v>34.854846999999999</v>
          </cell>
        </row>
        <row r="1467">
          <cell r="A1467">
            <v>41576</v>
          </cell>
          <cell r="B1467">
            <v>35.257815999999998</v>
          </cell>
        </row>
        <row r="1468">
          <cell r="A1468">
            <v>41577</v>
          </cell>
          <cell r="B1468">
            <v>35.793635999999999</v>
          </cell>
        </row>
        <row r="1469">
          <cell r="A1469">
            <v>41578</v>
          </cell>
          <cell r="B1469">
            <v>35.891052000000002</v>
          </cell>
        </row>
        <row r="1470">
          <cell r="A1470">
            <v>41579</v>
          </cell>
          <cell r="B1470">
            <v>35.589924000000003</v>
          </cell>
        </row>
        <row r="1471">
          <cell r="A1471">
            <v>41582</v>
          </cell>
          <cell r="B1471">
            <v>35.589924000000003</v>
          </cell>
        </row>
        <row r="1472">
          <cell r="A1472">
            <v>41583</v>
          </cell>
          <cell r="B1472">
            <v>36.307307999999999</v>
          </cell>
        </row>
        <row r="1473">
          <cell r="A1473">
            <v>41584</v>
          </cell>
          <cell r="B1473">
            <v>35.926479</v>
          </cell>
        </row>
        <row r="1474">
          <cell r="A1474">
            <v>41585</v>
          </cell>
          <cell r="B1474">
            <v>35.014256000000003</v>
          </cell>
        </row>
        <row r="1475">
          <cell r="A1475">
            <v>41586</v>
          </cell>
          <cell r="B1475">
            <v>35.957470000000001</v>
          </cell>
        </row>
        <row r="1476">
          <cell r="A1476">
            <v>41589</v>
          </cell>
          <cell r="B1476">
            <v>35.864474999999999</v>
          </cell>
        </row>
        <row r="1477">
          <cell r="A1477">
            <v>41590</v>
          </cell>
          <cell r="B1477">
            <v>35.811169</v>
          </cell>
        </row>
        <row r="1478">
          <cell r="A1478">
            <v>41591</v>
          </cell>
          <cell r="B1478">
            <v>36.188782000000003</v>
          </cell>
        </row>
        <row r="1479">
          <cell r="A1479">
            <v>41592</v>
          </cell>
          <cell r="B1479">
            <v>36.046622999999997</v>
          </cell>
        </row>
        <row r="1480">
          <cell r="A1480">
            <v>41593</v>
          </cell>
          <cell r="B1480">
            <v>36.068832</v>
          </cell>
        </row>
        <row r="1481">
          <cell r="A1481">
            <v>41596</v>
          </cell>
          <cell r="B1481">
            <v>35.780067000000003</v>
          </cell>
        </row>
        <row r="1482">
          <cell r="A1482">
            <v>41597</v>
          </cell>
          <cell r="B1482">
            <v>35.504635</v>
          </cell>
        </row>
        <row r="1483">
          <cell r="A1483">
            <v>41598</v>
          </cell>
          <cell r="B1483">
            <v>35.402453999999999</v>
          </cell>
        </row>
        <row r="1484">
          <cell r="A1484">
            <v>41599</v>
          </cell>
          <cell r="B1484">
            <v>36.219872000000002</v>
          </cell>
        </row>
        <row r="1485">
          <cell r="A1485">
            <v>41600</v>
          </cell>
          <cell r="B1485">
            <v>36.139918999999999</v>
          </cell>
        </row>
        <row r="1486">
          <cell r="A1486">
            <v>41603</v>
          </cell>
          <cell r="B1486">
            <v>35.855590999999997</v>
          </cell>
        </row>
        <row r="1487">
          <cell r="A1487">
            <v>41604</v>
          </cell>
          <cell r="B1487">
            <v>36.210987000000003</v>
          </cell>
        </row>
        <row r="1488">
          <cell r="A1488">
            <v>41605</v>
          </cell>
          <cell r="B1488">
            <v>36.259861000000001</v>
          </cell>
        </row>
        <row r="1489">
          <cell r="A1489">
            <v>41607</v>
          </cell>
          <cell r="B1489">
            <v>36.188782000000003</v>
          </cell>
        </row>
        <row r="1490">
          <cell r="A1490">
            <v>41610</v>
          </cell>
          <cell r="B1490">
            <v>36.015518</v>
          </cell>
        </row>
        <row r="1491">
          <cell r="A1491">
            <v>41611</v>
          </cell>
          <cell r="B1491">
            <v>35.784514999999999</v>
          </cell>
        </row>
        <row r="1492">
          <cell r="A1492">
            <v>41612</v>
          </cell>
          <cell r="B1492">
            <v>35.318049999999999</v>
          </cell>
        </row>
        <row r="1493">
          <cell r="A1493">
            <v>41613</v>
          </cell>
          <cell r="B1493">
            <v>35.415790999999999</v>
          </cell>
        </row>
        <row r="1494">
          <cell r="A1494">
            <v>41614</v>
          </cell>
          <cell r="B1494">
            <v>35.513531</v>
          </cell>
        </row>
        <row r="1495">
          <cell r="A1495">
            <v>41617</v>
          </cell>
          <cell r="B1495">
            <v>35.420226999999997</v>
          </cell>
        </row>
        <row r="1496">
          <cell r="A1496">
            <v>41618</v>
          </cell>
          <cell r="B1496">
            <v>34.376235999999999</v>
          </cell>
        </row>
        <row r="1497">
          <cell r="A1497">
            <v>41619</v>
          </cell>
          <cell r="B1497">
            <v>33.940860999999998</v>
          </cell>
        </row>
        <row r="1498">
          <cell r="A1498">
            <v>41620</v>
          </cell>
          <cell r="B1498">
            <v>33.976405999999997</v>
          </cell>
        </row>
        <row r="1499">
          <cell r="A1499">
            <v>41621</v>
          </cell>
          <cell r="B1499">
            <v>33.918647999999997</v>
          </cell>
        </row>
        <row r="1500">
          <cell r="A1500">
            <v>41624</v>
          </cell>
          <cell r="B1500">
            <v>33.967525000000002</v>
          </cell>
        </row>
        <row r="1501">
          <cell r="A1501">
            <v>41625</v>
          </cell>
          <cell r="B1501">
            <v>33.803134999999997</v>
          </cell>
        </row>
        <row r="1502">
          <cell r="A1502">
            <v>41626</v>
          </cell>
          <cell r="B1502">
            <v>34.509518</v>
          </cell>
        </row>
        <row r="1503">
          <cell r="A1503">
            <v>41627</v>
          </cell>
          <cell r="B1503">
            <v>34.274059000000001</v>
          </cell>
        </row>
        <row r="1504">
          <cell r="A1504">
            <v>41628</v>
          </cell>
          <cell r="B1504">
            <v>34.500625999999997</v>
          </cell>
        </row>
        <row r="1505">
          <cell r="A1505">
            <v>41631</v>
          </cell>
          <cell r="B1505">
            <v>34.793835000000001</v>
          </cell>
        </row>
        <row r="1506">
          <cell r="A1506">
            <v>41632</v>
          </cell>
          <cell r="B1506">
            <v>34.904896000000001</v>
          </cell>
        </row>
        <row r="1507">
          <cell r="A1507">
            <v>41634</v>
          </cell>
          <cell r="B1507">
            <v>35.042610000000003</v>
          </cell>
        </row>
        <row r="1508">
          <cell r="A1508">
            <v>41635</v>
          </cell>
          <cell r="B1508">
            <v>34.904896000000001</v>
          </cell>
        </row>
        <row r="1509">
          <cell r="A1509">
            <v>41638</v>
          </cell>
          <cell r="B1509">
            <v>34.896014999999998</v>
          </cell>
        </row>
        <row r="1510">
          <cell r="A1510">
            <v>41639</v>
          </cell>
          <cell r="B1510">
            <v>34.824924000000003</v>
          </cell>
        </row>
        <row r="1511">
          <cell r="A1511">
            <v>41641</v>
          </cell>
          <cell r="B1511">
            <v>34.282950999999997</v>
          </cell>
        </row>
        <row r="1512">
          <cell r="A1512">
            <v>41642</v>
          </cell>
          <cell r="B1512">
            <v>34.185206999999998</v>
          </cell>
        </row>
        <row r="1513">
          <cell r="A1513">
            <v>41645</v>
          </cell>
          <cell r="B1513">
            <v>33.838687999999998</v>
          </cell>
        </row>
        <row r="1514">
          <cell r="A1514">
            <v>41646</v>
          </cell>
          <cell r="B1514">
            <v>34.300708999999998</v>
          </cell>
        </row>
        <row r="1515">
          <cell r="A1515">
            <v>41647</v>
          </cell>
          <cell r="B1515">
            <v>34.665000999999997</v>
          </cell>
        </row>
        <row r="1516">
          <cell r="A1516">
            <v>41648</v>
          </cell>
          <cell r="B1516">
            <v>34.473968999999997</v>
          </cell>
        </row>
        <row r="1517">
          <cell r="A1517">
            <v>41649</v>
          </cell>
          <cell r="B1517">
            <v>34.505074</v>
          </cell>
        </row>
        <row r="1518">
          <cell r="A1518">
            <v>41652</v>
          </cell>
          <cell r="B1518">
            <v>33.372222999999998</v>
          </cell>
        </row>
        <row r="1519">
          <cell r="A1519">
            <v>41653</v>
          </cell>
          <cell r="B1519">
            <v>33.523273000000003</v>
          </cell>
        </row>
        <row r="1520">
          <cell r="A1520">
            <v>41654</v>
          </cell>
          <cell r="B1520">
            <v>33.847580000000001</v>
          </cell>
        </row>
        <row r="1521">
          <cell r="A1521">
            <v>41655</v>
          </cell>
          <cell r="B1521">
            <v>33.447749999999999</v>
          </cell>
        </row>
        <row r="1522">
          <cell r="A1522">
            <v>41656</v>
          </cell>
          <cell r="B1522">
            <v>33.274482999999996</v>
          </cell>
        </row>
        <row r="1523">
          <cell r="A1523">
            <v>41660</v>
          </cell>
          <cell r="B1523">
            <v>32.719177000000002</v>
          </cell>
        </row>
        <row r="1524">
          <cell r="A1524">
            <v>41661</v>
          </cell>
          <cell r="B1524">
            <v>32.696953000000001</v>
          </cell>
        </row>
        <row r="1525">
          <cell r="A1525">
            <v>41662</v>
          </cell>
          <cell r="B1525">
            <v>32.603667999999999</v>
          </cell>
        </row>
        <row r="1526">
          <cell r="A1526">
            <v>41663</v>
          </cell>
          <cell r="B1526">
            <v>33.310028000000003</v>
          </cell>
        </row>
        <row r="1527">
          <cell r="A1527">
            <v>41666</v>
          </cell>
          <cell r="B1527">
            <v>32.967953000000001</v>
          </cell>
        </row>
        <row r="1528">
          <cell r="A1528">
            <v>41667</v>
          </cell>
          <cell r="B1528">
            <v>32.825794000000002</v>
          </cell>
        </row>
        <row r="1529">
          <cell r="A1529">
            <v>41668</v>
          </cell>
          <cell r="B1529">
            <v>31.790689</v>
          </cell>
        </row>
        <row r="1530">
          <cell r="A1530">
            <v>41669</v>
          </cell>
          <cell r="B1530">
            <v>31.946173000000002</v>
          </cell>
        </row>
        <row r="1531">
          <cell r="A1531">
            <v>41670</v>
          </cell>
          <cell r="B1531">
            <v>31.595220999999999</v>
          </cell>
        </row>
        <row r="1532">
          <cell r="A1532">
            <v>41673</v>
          </cell>
          <cell r="B1532">
            <v>30.640076000000001</v>
          </cell>
        </row>
        <row r="1533">
          <cell r="A1533">
            <v>41674</v>
          </cell>
          <cell r="B1533">
            <v>31.505188</v>
          </cell>
        </row>
        <row r="1534">
          <cell r="A1534">
            <v>41675</v>
          </cell>
          <cell r="B1534">
            <v>31.433824999999999</v>
          </cell>
        </row>
        <row r="1535">
          <cell r="A1535">
            <v>41676</v>
          </cell>
          <cell r="B1535">
            <v>32.267722999999997</v>
          </cell>
        </row>
        <row r="1536">
          <cell r="A1536">
            <v>41677</v>
          </cell>
          <cell r="B1536">
            <v>33.016902999999999</v>
          </cell>
        </row>
        <row r="1537">
          <cell r="A1537">
            <v>41680</v>
          </cell>
          <cell r="B1537">
            <v>33.355815999999997</v>
          </cell>
        </row>
        <row r="1538">
          <cell r="A1538">
            <v>41681</v>
          </cell>
          <cell r="B1538">
            <v>33.222031000000001</v>
          </cell>
        </row>
        <row r="1539">
          <cell r="A1539">
            <v>41682</v>
          </cell>
          <cell r="B1539">
            <v>32.958931</v>
          </cell>
        </row>
        <row r="1540">
          <cell r="A1540">
            <v>41683</v>
          </cell>
          <cell r="B1540">
            <v>33.306759</v>
          </cell>
        </row>
        <row r="1541">
          <cell r="A1541">
            <v>41684</v>
          </cell>
          <cell r="B1541">
            <v>33.458370000000002</v>
          </cell>
        </row>
        <row r="1542">
          <cell r="A1542">
            <v>41688</v>
          </cell>
          <cell r="B1542">
            <v>32.985683000000002</v>
          </cell>
        </row>
        <row r="1543">
          <cell r="A1543">
            <v>41689</v>
          </cell>
          <cell r="B1543">
            <v>32.695824000000002</v>
          </cell>
        </row>
        <row r="1544">
          <cell r="A1544">
            <v>41690</v>
          </cell>
          <cell r="B1544">
            <v>32.798389</v>
          </cell>
        </row>
        <row r="1545">
          <cell r="A1545">
            <v>41691</v>
          </cell>
          <cell r="B1545">
            <v>32.356915000000001</v>
          </cell>
        </row>
        <row r="1546">
          <cell r="A1546">
            <v>41694</v>
          </cell>
          <cell r="B1546">
            <v>32.356915000000001</v>
          </cell>
        </row>
        <row r="1547">
          <cell r="A1547">
            <v>41695</v>
          </cell>
          <cell r="B1547">
            <v>31.460598000000001</v>
          </cell>
        </row>
        <row r="1548">
          <cell r="A1548">
            <v>41696</v>
          </cell>
          <cell r="B1548">
            <v>32.009087000000001</v>
          </cell>
        </row>
        <row r="1549">
          <cell r="A1549">
            <v>41697</v>
          </cell>
          <cell r="B1549">
            <v>32.191929000000002</v>
          </cell>
        </row>
        <row r="1550">
          <cell r="A1550">
            <v>41698</v>
          </cell>
          <cell r="B1550">
            <v>31.643421</v>
          </cell>
        </row>
        <row r="1551">
          <cell r="A1551">
            <v>41701</v>
          </cell>
          <cell r="B1551">
            <v>31.424918999999999</v>
          </cell>
        </row>
        <row r="1552">
          <cell r="A1552">
            <v>41702</v>
          </cell>
          <cell r="B1552">
            <v>31.955576000000001</v>
          </cell>
        </row>
        <row r="1553">
          <cell r="A1553">
            <v>41703</v>
          </cell>
          <cell r="B1553">
            <v>31.79505</v>
          </cell>
        </row>
        <row r="1554">
          <cell r="A1554">
            <v>41704</v>
          </cell>
          <cell r="B1554">
            <v>32.414883000000003</v>
          </cell>
        </row>
        <row r="1555">
          <cell r="A1555">
            <v>41705</v>
          </cell>
          <cell r="B1555">
            <v>32.584339</v>
          </cell>
        </row>
        <row r="1556">
          <cell r="A1556">
            <v>41708</v>
          </cell>
          <cell r="B1556">
            <v>32.802836999999997</v>
          </cell>
        </row>
        <row r="1557">
          <cell r="A1557">
            <v>41709</v>
          </cell>
          <cell r="B1557">
            <v>33.458370000000002</v>
          </cell>
        </row>
        <row r="1558">
          <cell r="A1558">
            <v>41710</v>
          </cell>
          <cell r="B1558">
            <v>33.725929000000001</v>
          </cell>
        </row>
        <row r="1559">
          <cell r="A1559">
            <v>41711</v>
          </cell>
          <cell r="B1559">
            <v>33.190815000000001</v>
          </cell>
        </row>
        <row r="1560">
          <cell r="A1560">
            <v>41712</v>
          </cell>
          <cell r="B1560">
            <v>33.119472999999999</v>
          </cell>
        </row>
        <row r="1561">
          <cell r="A1561">
            <v>41715</v>
          </cell>
          <cell r="B1561">
            <v>33.079326999999999</v>
          </cell>
        </row>
        <row r="1562">
          <cell r="A1562">
            <v>41716</v>
          </cell>
          <cell r="B1562">
            <v>33.266627999999997</v>
          </cell>
        </row>
        <row r="1563">
          <cell r="A1563">
            <v>41717</v>
          </cell>
          <cell r="B1563">
            <v>33.8508</v>
          </cell>
        </row>
        <row r="1564">
          <cell r="A1564">
            <v>41718</v>
          </cell>
          <cell r="B1564">
            <v>34.319012000000001</v>
          </cell>
        </row>
        <row r="1565">
          <cell r="A1565">
            <v>41719</v>
          </cell>
          <cell r="B1565">
            <v>34.207538999999997</v>
          </cell>
        </row>
        <row r="1566">
          <cell r="A1566">
            <v>41722</v>
          </cell>
          <cell r="B1566">
            <v>33.788361000000002</v>
          </cell>
        </row>
        <row r="1567">
          <cell r="A1567">
            <v>41723</v>
          </cell>
          <cell r="B1567">
            <v>33.271079999999998</v>
          </cell>
        </row>
        <row r="1568">
          <cell r="A1568">
            <v>41724</v>
          </cell>
          <cell r="B1568">
            <v>32.793930000000003</v>
          </cell>
        </row>
        <row r="1569">
          <cell r="A1569">
            <v>41725</v>
          </cell>
          <cell r="B1569">
            <v>32.731495000000002</v>
          </cell>
        </row>
        <row r="1570">
          <cell r="A1570">
            <v>41726</v>
          </cell>
          <cell r="B1570">
            <v>32.865276000000001</v>
          </cell>
        </row>
        <row r="1571">
          <cell r="A1571">
            <v>41729</v>
          </cell>
          <cell r="B1571">
            <v>32.722588000000002</v>
          </cell>
        </row>
        <row r="1572">
          <cell r="A1572">
            <v>41730</v>
          </cell>
          <cell r="B1572">
            <v>33.003517000000002</v>
          </cell>
        </row>
        <row r="1573">
          <cell r="A1573">
            <v>41731</v>
          </cell>
          <cell r="B1573">
            <v>32.851897999999998</v>
          </cell>
        </row>
        <row r="1574">
          <cell r="A1574">
            <v>41732</v>
          </cell>
          <cell r="B1574">
            <v>32.593262000000003</v>
          </cell>
        </row>
        <row r="1575">
          <cell r="A1575">
            <v>41733</v>
          </cell>
          <cell r="B1575">
            <v>31.906523</v>
          </cell>
        </row>
        <row r="1576">
          <cell r="A1576">
            <v>41736</v>
          </cell>
          <cell r="B1576">
            <v>31.407076</v>
          </cell>
        </row>
        <row r="1577">
          <cell r="A1577">
            <v>41737</v>
          </cell>
          <cell r="B1577">
            <v>31.875309000000001</v>
          </cell>
        </row>
        <row r="1578">
          <cell r="A1578">
            <v>41738</v>
          </cell>
          <cell r="B1578">
            <v>32.321238999999998</v>
          </cell>
        </row>
        <row r="1579">
          <cell r="A1579">
            <v>41739</v>
          </cell>
          <cell r="B1579">
            <v>31.313428999999999</v>
          </cell>
        </row>
        <row r="1580">
          <cell r="A1580">
            <v>41740</v>
          </cell>
          <cell r="B1580">
            <v>30.648990999999999</v>
          </cell>
        </row>
        <row r="1581">
          <cell r="A1581">
            <v>41743</v>
          </cell>
          <cell r="B1581">
            <v>30.907637000000001</v>
          </cell>
        </row>
        <row r="1582">
          <cell r="A1582">
            <v>41744</v>
          </cell>
          <cell r="B1582">
            <v>30.720345999999999</v>
          </cell>
        </row>
        <row r="1583">
          <cell r="A1583">
            <v>41745</v>
          </cell>
          <cell r="B1583">
            <v>31.567606000000001</v>
          </cell>
        </row>
        <row r="1584">
          <cell r="A1584">
            <v>41746</v>
          </cell>
          <cell r="B1584">
            <v>31.282222999999998</v>
          </cell>
        </row>
        <row r="1585">
          <cell r="A1585">
            <v>41750</v>
          </cell>
          <cell r="B1585">
            <v>31.429383999999999</v>
          </cell>
        </row>
        <row r="1586">
          <cell r="A1586">
            <v>41751</v>
          </cell>
          <cell r="B1586">
            <v>31.728151</v>
          </cell>
        </row>
        <row r="1587">
          <cell r="A1587">
            <v>41752</v>
          </cell>
          <cell r="B1587">
            <v>31.389246</v>
          </cell>
        </row>
        <row r="1588">
          <cell r="A1588">
            <v>41753</v>
          </cell>
          <cell r="B1588">
            <v>31.701384000000001</v>
          </cell>
        </row>
        <row r="1589">
          <cell r="A1589">
            <v>41754</v>
          </cell>
          <cell r="B1589">
            <v>31.861929</v>
          </cell>
        </row>
        <row r="1590">
          <cell r="A1590">
            <v>41757</v>
          </cell>
          <cell r="B1590">
            <v>31.630040999999999</v>
          </cell>
        </row>
        <row r="1591">
          <cell r="A1591">
            <v>41758</v>
          </cell>
          <cell r="B1591">
            <v>31.500720999999999</v>
          </cell>
        </row>
        <row r="1592">
          <cell r="A1592">
            <v>41759</v>
          </cell>
          <cell r="B1592">
            <v>31.491806</v>
          </cell>
        </row>
        <row r="1593">
          <cell r="A1593">
            <v>41760</v>
          </cell>
          <cell r="B1593">
            <v>31.714777000000002</v>
          </cell>
        </row>
        <row r="1594">
          <cell r="A1594">
            <v>41761</v>
          </cell>
          <cell r="B1594">
            <v>31.482887000000002</v>
          </cell>
        </row>
        <row r="1595">
          <cell r="A1595">
            <v>41764</v>
          </cell>
          <cell r="B1595">
            <v>31.625585999999998</v>
          </cell>
        </row>
        <row r="1596">
          <cell r="A1596">
            <v>41765</v>
          </cell>
          <cell r="B1596">
            <v>31.142213999999999</v>
          </cell>
        </row>
        <row r="1597">
          <cell r="A1597">
            <v>41766</v>
          </cell>
          <cell r="B1597">
            <v>31.213819999999998</v>
          </cell>
        </row>
        <row r="1598">
          <cell r="A1598">
            <v>41767</v>
          </cell>
          <cell r="B1598">
            <v>31.142213999999999</v>
          </cell>
        </row>
        <row r="1599">
          <cell r="A1599">
            <v>41768</v>
          </cell>
          <cell r="B1599">
            <v>31.459986000000001</v>
          </cell>
        </row>
        <row r="1600">
          <cell r="A1600">
            <v>41771</v>
          </cell>
          <cell r="B1600">
            <v>31.844898000000001</v>
          </cell>
        </row>
        <row r="1601">
          <cell r="A1601">
            <v>41772</v>
          </cell>
          <cell r="B1601">
            <v>31.849373</v>
          </cell>
        </row>
        <row r="1602">
          <cell r="A1602">
            <v>41773</v>
          </cell>
          <cell r="B1602">
            <v>31.406271</v>
          </cell>
        </row>
        <row r="1603">
          <cell r="A1603">
            <v>41774</v>
          </cell>
          <cell r="B1603">
            <v>31.263054</v>
          </cell>
        </row>
        <row r="1604">
          <cell r="A1604">
            <v>41775</v>
          </cell>
          <cell r="B1604">
            <v>31.750912</v>
          </cell>
        </row>
        <row r="1605">
          <cell r="A1605">
            <v>41778</v>
          </cell>
          <cell r="B1605">
            <v>31.786705000000001</v>
          </cell>
        </row>
        <row r="1606">
          <cell r="A1606">
            <v>41779</v>
          </cell>
          <cell r="B1606">
            <v>31.433129999999998</v>
          </cell>
        </row>
        <row r="1607">
          <cell r="A1607">
            <v>41780</v>
          </cell>
          <cell r="B1607">
            <v>31.509215999999999</v>
          </cell>
        </row>
        <row r="1608">
          <cell r="A1608">
            <v>41781</v>
          </cell>
          <cell r="B1608">
            <v>31.956793000000001</v>
          </cell>
        </row>
        <row r="1609">
          <cell r="A1609">
            <v>41782</v>
          </cell>
          <cell r="B1609">
            <v>32.216396000000003</v>
          </cell>
        </row>
        <row r="1610">
          <cell r="A1610">
            <v>41786</v>
          </cell>
          <cell r="B1610">
            <v>32.968307000000003</v>
          </cell>
        </row>
        <row r="1611">
          <cell r="A1611">
            <v>41787</v>
          </cell>
          <cell r="B1611">
            <v>32.793757999999997</v>
          </cell>
        </row>
        <row r="1612">
          <cell r="A1612">
            <v>41788</v>
          </cell>
          <cell r="B1612">
            <v>32.722144999999998</v>
          </cell>
        </row>
        <row r="1613">
          <cell r="A1613">
            <v>41789</v>
          </cell>
          <cell r="B1613">
            <v>32.780327</v>
          </cell>
        </row>
        <row r="1614">
          <cell r="A1614">
            <v>41792</v>
          </cell>
          <cell r="B1614">
            <v>33.053348999999997</v>
          </cell>
        </row>
        <row r="1615">
          <cell r="A1615">
            <v>41793</v>
          </cell>
          <cell r="B1615">
            <v>33.201042000000001</v>
          </cell>
        </row>
        <row r="1616">
          <cell r="A1616">
            <v>41794</v>
          </cell>
          <cell r="B1616">
            <v>33.420352999999999</v>
          </cell>
        </row>
        <row r="1617">
          <cell r="A1617">
            <v>41795</v>
          </cell>
          <cell r="B1617">
            <v>33.442745000000002</v>
          </cell>
        </row>
        <row r="1618">
          <cell r="A1618">
            <v>41796</v>
          </cell>
          <cell r="B1618">
            <v>33.715758999999998</v>
          </cell>
        </row>
        <row r="1619">
          <cell r="A1619">
            <v>41799</v>
          </cell>
          <cell r="B1619">
            <v>33.648631999999999</v>
          </cell>
        </row>
        <row r="1620">
          <cell r="A1620">
            <v>41800</v>
          </cell>
          <cell r="B1620">
            <v>33.389026999999999</v>
          </cell>
        </row>
        <row r="1621">
          <cell r="A1621">
            <v>41801</v>
          </cell>
          <cell r="B1621">
            <v>33.478546000000001</v>
          </cell>
        </row>
        <row r="1622">
          <cell r="A1622">
            <v>41802</v>
          </cell>
          <cell r="B1622">
            <v>33.102581000000001</v>
          </cell>
        </row>
        <row r="1623">
          <cell r="A1623">
            <v>41803</v>
          </cell>
          <cell r="B1623">
            <v>33.429310000000001</v>
          </cell>
        </row>
        <row r="1624">
          <cell r="A1624">
            <v>41806</v>
          </cell>
          <cell r="B1624">
            <v>33.608345</v>
          </cell>
        </row>
        <row r="1625">
          <cell r="A1625">
            <v>41807</v>
          </cell>
          <cell r="B1625">
            <v>33.706802000000003</v>
          </cell>
        </row>
        <row r="1626">
          <cell r="A1626">
            <v>41808</v>
          </cell>
          <cell r="B1626">
            <v>33.818699000000002</v>
          </cell>
        </row>
        <row r="1627">
          <cell r="A1627">
            <v>41809</v>
          </cell>
          <cell r="B1627">
            <v>34.566147000000001</v>
          </cell>
        </row>
        <row r="1628">
          <cell r="A1628">
            <v>41810</v>
          </cell>
          <cell r="B1628">
            <v>34.284176000000002</v>
          </cell>
        </row>
        <row r="1629">
          <cell r="A1629">
            <v>41813</v>
          </cell>
          <cell r="B1629">
            <v>34.342365000000001</v>
          </cell>
        </row>
        <row r="1630">
          <cell r="A1630">
            <v>41814</v>
          </cell>
          <cell r="B1630">
            <v>34.655662999999997</v>
          </cell>
        </row>
        <row r="1631">
          <cell r="A1631">
            <v>41815</v>
          </cell>
          <cell r="B1631">
            <v>34.964500000000001</v>
          </cell>
        </row>
        <row r="1632">
          <cell r="A1632">
            <v>41816</v>
          </cell>
          <cell r="B1632">
            <v>34.937634000000003</v>
          </cell>
        </row>
        <row r="1633">
          <cell r="A1633">
            <v>41817</v>
          </cell>
          <cell r="B1633">
            <v>34.883926000000002</v>
          </cell>
        </row>
        <row r="1634">
          <cell r="A1634">
            <v>41820</v>
          </cell>
          <cell r="B1634">
            <v>34.633288999999998</v>
          </cell>
        </row>
        <row r="1635">
          <cell r="A1635">
            <v>41821</v>
          </cell>
          <cell r="B1635">
            <v>34.946575000000003</v>
          </cell>
        </row>
        <row r="1636">
          <cell r="A1636">
            <v>41822</v>
          </cell>
          <cell r="B1636">
            <v>34.995818999999997</v>
          </cell>
        </row>
        <row r="1637">
          <cell r="A1637">
            <v>41823</v>
          </cell>
          <cell r="B1637">
            <v>35.385204000000002</v>
          </cell>
        </row>
        <row r="1638">
          <cell r="A1638">
            <v>41827</v>
          </cell>
          <cell r="B1638">
            <v>35.219611999999998</v>
          </cell>
        </row>
        <row r="1639">
          <cell r="A1639">
            <v>41828</v>
          </cell>
          <cell r="B1639">
            <v>35.161414999999998</v>
          </cell>
        </row>
        <row r="1640">
          <cell r="A1640">
            <v>41829</v>
          </cell>
          <cell r="B1640">
            <v>35.559756999999998</v>
          </cell>
        </row>
        <row r="1641">
          <cell r="A1641">
            <v>41830</v>
          </cell>
          <cell r="B1641">
            <v>35.291221999999998</v>
          </cell>
        </row>
        <row r="1642">
          <cell r="A1642">
            <v>41831</v>
          </cell>
          <cell r="B1642">
            <v>35.179329000000003</v>
          </cell>
        </row>
        <row r="1643">
          <cell r="A1643">
            <v>41834</v>
          </cell>
          <cell r="B1643">
            <v>35.161414999999998</v>
          </cell>
        </row>
        <row r="1644">
          <cell r="A1644">
            <v>41835</v>
          </cell>
          <cell r="B1644">
            <v>35.30912</v>
          </cell>
        </row>
        <row r="1645">
          <cell r="A1645">
            <v>41836</v>
          </cell>
          <cell r="B1645">
            <v>35.237513999999997</v>
          </cell>
        </row>
        <row r="1646">
          <cell r="A1646">
            <v>41837</v>
          </cell>
          <cell r="B1646">
            <v>34.570621000000003</v>
          </cell>
        </row>
        <row r="1647">
          <cell r="A1647">
            <v>41838</v>
          </cell>
          <cell r="B1647">
            <v>34.883926000000002</v>
          </cell>
        </row>
        <row r="1648">
          <cell r="A1648">
            <v>41841</v>
          </cell>
          <cell r="B1648">
            <v>34.736229000000002</v>
          </cell>
        </row>
        <row r="1649">
          <cell r="A1649">
            <v>41842</v>
          </cell>
          <cell r="B1649">
            <v>35.241982</v>
          </cell>
        </row>
        <row r="1650">
          <cell r="A1650">
            <v>41843</v>
          </cell>
          <cell r="B1650">
            <v>35.421021000000003</v>
          </cell>
        </row>
        <row r="1651">
          <cell r="A1651">
            <v>41844</v>
          </cell>
          <cell r="B1651">
            <v>36.007336000000002</v>
          </cell>
        </row>
        <row r="1652">
          <cell r="A1652">
            <v>41845</v>
          </cell>
          <cell r="B1652">
            <v>35.241982</v>
          </cell>
        </row>
        <row r="1653">
          <cell r="A1653">
            <v>41848</v>
          </cell>
          <cell r="B1653">
            <v>35.071922000000001</v>
          </cell>
        </row>
        <row r="1654">
          <cell r="A1654">
            <v>41849</v>
          </cell>
          <cell r="B1654">
            <v>35.201714000000003</v>
          </cell>
        </row>
        <row r="1655">
          <cell r="A1655">
            <v>41850</v>
          </cell>
          <cell r="B1655">
            <v>35.313586999999998</v>
          </cell>
        </row>
        <row r="1656">
          <cell r="A1656">
            <v>41851</v>
          </cell>
          <cell r="B1656">
            <v>34.767558999999999</v>
          </cell>
        </row>
        <row r="1657">
          <cell r="A1657">
            <v>41852</v>
          </cell>
          <cell r="B1657">
            <v>34.454258000000003</v>
          </cell>
        </row>
        <row r="1658">
          <cell r="A1658">
            <v>41855</v>
          </cell>
          <cell r="B1658">
            <v>34.700420000000001</v>
          </cell>
        </row>
        <row r="1659">
          <cell r="A1659">
            <v>41856</v>
          </cell>
          <cell r="B1659">
            <v>34.484862999999997</v>
          </cell>
        </row>
        <row r="1660">
          <cell r="A1660">
            <v>41857</v>
          </cell>
          <cell r="B1660">
            <v>34.637543000000001</v>
          </cell>
        </row>
        <row r="1661">
          <cell r="A1661">
            <v>41858</v>
          </cell>
          <cell r="B1661">
            <v>34.448936000000003</v>
          </cell>
        </row>
        <row r="1662">
          <cell r="A1662">
            <v>41859</v>
          </cell>
          <cell r="B1662">
            <v>34.857593999999999</v>
          </cell>
        </row>
        <row r="1663">
          <cell r="A1663">
            <v>41862</v>
          </cell>
          <cell r="B1663">
            <v>34.969867999999998</v>
          </cell>
        </row>
        <row r="1664">
          <cell r="A1664">
            <v>41863</v>
          </cell>
          <cell r="B1664">
            <v>34.947411000000002</v>
          </cell>
        </row>
        <row r="1665">
          <cell r="A1665">
            <v>41864</v>
          </cell>
          <cell r="B1665">
            <v>34.686947000000004</v>
          </cell>
        </row>
        <row r="1666">
          <cell r="A1666">
            <v>41865</v>
          </cell>
          <cell r="B1666">
            <v>34.408524</v>
          </cell>
        </row>
        <row r="1667">
          <cell r="A1667">
            <v>41866</v>
          </cell>
          <cell r="B1667">
            <v>34.538756999999997</v>
          </cell>
        </row>
        <row r="1668">
          <cell r="A1668">
            <v>41869</v>
          </cell>
          <cell r="B1668">
            <v>34.844124000000001</v>
          </cell>
        </row>
        <row r="1669">
          <cell r="A1669">
            <v>41870</v>
          </cell>
          <cell r="B1669">
            <v>35.082134000000003</v>
          </cell>
        </row>
        <row r="1670">
          <cell r="A1670">
            <v>41871</v>
          </cell>
          <cell r="B1670">
            <v>35.041721000000003</v>
          </cell>
        </row>
        <row r="1671">
          <cell r="A1671">
            <v>41872</v>
          </cell>
          <cell r="B1671">
            <v>34.790230000000001</v>
          </cell>
        </row>
        <row r="1672">
          <cell r="A1672">
            <v>41873</v>
          </cell>
          <cell r="B1672">
            <v>34.704906000000001</v>
          </cell>
        </row>
        <row r="1673">
          <cell r="A1673">
            <v>41876</v>
          </cell>
          <cell r="B1673">
            <v>35.014774000000003</v>
          </cell>
        </row>
        <row r="1674">
          <cell r="A1674">
            <v>41877</v>
          </cell>
          <cell r="B1674">
            <v>34.933948999999998</v>
          </cell>
        </row>
        <row r="1675">
          <cell r="A1675">
            <v>41878</v>
          </cell>
          <cell r="B1675">
            <v>34.992313000000003</v>
          </cell>
        </row>
        <row r="1676">
          <cell r="A1676">
            <v>41879</v>
          </cell>
          <cell r="B1676">
            <v>34.942928000000002</v>
          </cell>
        </row>
        <row r="1677">
          <cell r="A1677">
            <v>41880</v>
          </cell>
          <cell r="B1677">
            <v>34.942928000000002</v>
          </cell>
        </row>
        <row r="1678">
          <cell r="A1678">
            <v>41884</v>
          </cell>
          <cell r="B1678">
            <v>34.794730999999999</v>
          </cell>
        </row>
        <row r="1679">
          <cell r="A1679">
            <v>41885</v>
          </cell>
          <cell r="B1679">
            <v>34.484862999999997</v>
          </cell>
        </row>
        <row r="1680">
          <cell r="A1680">
            <v>41886</v>
          </cell>
          <cell r="B1680">
            <v>34.651012000000001</v>
          </cell>
        </row>
        <row r="1681">
          <cell r="A1681">
            <v>41887</v>
          </cell>
          <cell r="B1681">
            <v>35.005794999999999</v>
          </cell>
        </row>
        <row r="1682">
          <cell r="A1682">
            <v>41890</v>
          </cell>
          <cell r="B1682">
            <v>34.880054000000001</v>
          </cell>
        </row>
        <row r="1683">
          <cell r="A1683">
            <v>41891</v>
          </cell>
          <cell r="B1683">
            <v>34.633045000000003</v>
          </cell>
        </row>
        <row r="1684">
          <cell r="A1684">
            <v>41892</v>
          </cell>
          <cell r="B1684">
            <v>34.673473000000001</v>
          </cell>
        </row>
        <row r="1685">
          <cell r="A1685">
            <v>41893</v>
          </cell>
          <cell r="B1685">
            <v>34.183974999999997</v>
          </cell>
        </row>
        <row r="1686">
          <cell r="A1686">
            <v>41894</v>
          </cell>
          <cell r="B1686">
            <v>33.892077999999998</v>
          </cell>
        </row>
        <row r="1687">
          <cell r="A1687">
            <v>41897</v>
          </cell>
          <cell r="B1687">
            <v>33.645083999999997</v>
          </cell>
        </row>
        <row r="1688">
          <cell r="A1688">
            <v>41898</v>
          </cell>
          <cell r="B1688">
            <v>33.721428000000003</v>
          </cell>
        </row>
        <row r="1689">
          <cell r="A1689">
            <v>41899</v>
          </cell>
          <cell r="B1689">
            <v>33.833691000000002</v>
          </cell>
        </row>
        <row r="1690">
          <cell r="A1690">
            <v>41900</v>
          </cell>
          <cell r="B1690">
            <v>34.008831000000001</v>
          </cell>
        </row>
        <row r="1691">
          <cell r="A1691">
            <v>41901</v>
          </cell>
          <cell r="B1691">
            <v>34.161526000000002</v>
          </cell>
        </row>
        <row r="1692">
          <cell r="A1692">
            <v>41904</v>
          </cell>
          <cell r="B1692">
            <v>33.501373000000001</v>
          </cell>
        </row>
        <row r="1693">
          <cell r="A1693">
            <v>41905</v>
          </cell>
          <cell r="B1693">
            <v>33.213970000000003</v>
          </cell>
        </row>
        <row r="1694">
          <cell r="A1694">
            <v>41906</v>
          </cell>
          <cell r="B1694">
            <v>33.824714999999998</v>
          </cell>
        </row>
        <row r="1695">
          <cell r="A1695">
            <v>41907</v>
          </cell>
          <cell r="B1695">
            <v>33.285820000000001</v>
          </cell>
        </row>
        <row r="1696">
          <cell r="A1696">
            <v>41908</v>
          </cell>
          <cell r="B1696">
            <v>33.757351</v>
          </cell>
        </row>
        <row r="1697">
          <cell r="A1697">
            <v>41911</v>
          </cell>
          <cell r="B1697">
            <v>33.802258000000002</v>
          </cell>
        </row>
        <row r="1698">
          <cell r="A1698">
            <v>41912</v>
          </cell>
          <cell r="B1698">
            <v>33.887588999999998</v>
          </cell>
        </row>
        <row r="1699">
          <cell r="A1699">
            <v>41913</v>
          </cell>
          <cell r="B1699">
            <v>33.505862999999998</v>
          </cell>
        </row>
        <row r="1700">
          <cell r="A1700">
            <v>41914</v>
          </cell>
          <cell r="B1700">
            <v>33.434024999999998</v>
          </cell>
        </row>
        <row r="1701">
          <cell r="A1701">
            <v>41915</v>
          </cell>
          <cell r="B1701">
            <v>34.0807</v>
          </cell>
        </row>
        <row r="1702">
          <cell r="A1702">
            <v>41918</v>
          </cell>
          <cell r="B1702">
            <v>33.748375000000003</v>
          </cell>
        </row>
        <row r="1703">
          <cell r="A1703">
            <v>41919</v>
          </cell>
          <cell r="B1703">
            <v>33.254382999999997</v>
          </cell>
        </row>
        <row r="1704">
          <cell r="A1704">
            <v>41920</v>
          </cell>
          <cell r="B1704">
            <v>33.797764000000001</v>
          </cell>
        </row>
        <row r="1705">
          <cell r="A1705">
            <v>41921</v>
          </cell>
          <cell r="B1705">
            <v>33.447490999999999</v>
          </cell>
        </row>
        <row r="1706">
          <cell r="A1706">
            <v>41922</v>
          </cell>
          <cell r="B1706">
            <v>33.438499</v>
          </cell>
        </row>
        <row r="1707">
          <cell r="A1707">
            <v>41925</v>
          </cell>
          <cell r="B1707">
            <v>32.419094000000001</v>
          </cell>
        </row>
        <row r="1708">
          <cell r="A1708">
            <v>41926</v>
          </cell>
          <cell r="B1708">
            <v>32.666088000000002</v>
          </cell>
        </row>
        <row r="1709">
          <cell r="A1709">
            <v>41927</v>
          </cell>
          <cell r="B1709">
            <v>32.504421000000001</v>
          </cell>
        </row>
        <row r="1710">
          <cell r="A1710">
            <v>41928</v>
          </cell>
          <cell r="B1710">
            <v>32.621178</v>
          </cell>
        </row>
        <row r="1711">
          <cell r="A1711">
            <v>41929</v>
          </cell>
          <cell r="B1711">
            <v>33.025351999999998</v>
          </cell>
        </row>
        <row r="1712">
          <cell r="A1712">
            <v>41932</v>
          </cell>
          <cell r="B1712">
            <v>33.546287999999997</v>
          </cell>
        </row>
        <row r="1713">
          <cell r="A1713">
            <v>41933</v>
          </cell>
          <cell r="B1713">
            <v>33.393593000000003</v>
          </cell>
        </row>
        <row r="1714">
          <cell r="A1714">
            <v>41934</v>
          </cell>
          <cell r="B1714">
            <v>33.501373000000001</v>
          </cell>
        </row>
        <row r="1715">
          <cell r="A1715">
            <v>41935</v>
          </cell>
          <cell r="B1715">
            <v>33.609158000000001</v>
          </cell>
        </row>
        <row r="1716">
          <cell r="A1716">
            <v>41936</v>
          </cell>
          <cell r="B1716">
            <v>34.044769000000002</v>
          </cell>
        </row>
        <row r="1717">
          <cell r="A1717">
            <v>41939</v>
          </cell>
          <cell r="B1717">
            <v>34.116622999999997</v>
          </cell>
        </row>
        <row r="1718">
          <cell r="A1718">
            <v>41940</v>
          </cell>
          <cell r="B1718">
            <v>34.601616</v>
          </cell>
        </row>
        <row r="1719">
          <cell r="A1719">
            <v>41941</v>
          </cell>
          <cell r="B1719">
            <v>34.372593000000002</v>
          </cell>
        </row>
        <row r="1720">
          <cell r="A1720">
            <v>41942</v>
          </cell>
          <cell r="B1720">
            <v>34.722873999999997</v>
          </cell>
        </row>
        <row r="1721">
          <cell r="A1721">
            <v>41943</v>
          </cell>
          <cell r="B1721">
            <v>33.932495000000003</v>
          </cell>
        </row>
        <row r="1722">
          <cell r="A1722">
            <v>41946</v>
          </cell>
          <cell r="B1722">
            <v>34.174984000000002</v>
          </cell>
        </row>
        <row r="1723">
          <cell r="A1723">
            <v>41947</v>
          </cell>
          <cell r="B1723">
            <v>34.448936000000003</v>
          </cell>
        </row>
        <row r="1724">
          <cell r="A1724">
            <v>41948</v>
          </cell>
          <cell r="B1724">
            <v>34.426476000000001</v>
          </cell>
        </row>
        <row r="1725">
          <cell r="A1725">
            <v>41949</v>
          </cell>
          <cell r="B1725">
            <v>34.781253999999997</v>
          </cell>
        </row>
        <row r="1726">
          <cell r="A1726">
            <v>41950</v>
          </cell>
          <cell r="B1726">
            <v>34.933948999999998</v>
          </cell>
        </row>
        <row r="1727">
          <cell r="A1727">
            <v>41953</v>
          </cell>
          <cell r="B1727">
            <v>35.015106000000003</v>
          </cell>
        </row>
        <row r="1728">
          <cell r="A1728">
            <v>41954</v>
          </cell>
          <cell r="B1728">
            <v>35.051189000000001</v>
          </cell>
        </row>
        <row r="1729">
          <cell r="A1729">
            <v>41955</v>
          </cell>
          <cell r="B1729">
            <v>35.105297</v>
          </cell>
        </row>
        <row r="1730">
          <cell r="A1730">
            <v>41956</v>
          </cell>
          <cell r="B1730">
            <v>35.123325000000001</v>
          </cell>
        </row>
        <row r="1731">
          <cell r="A1731">
            <v>41957</v>
          </cell>
          <cell r="B1731">
            <v>35.227043000000002</v>
          </cell>
        </row>
        <row r="1732">
          <cell r="A1732">
            <v>41960</v>
          </cell>
          <cell r="B1732">
            <v>35.096286999999997</v>
          </cell>
        </row>
        <row r="1733">
          <cell r="A1733">
            <v>41961</v>
          </cell>
          <cell r="B1733">
            <v>34.979030999999999</v>
          </cell>
        </row>
        <row r="1734">
          <cell r="A1734">
            <v>41962</v>
          </cell>
          <cell r="B1734">
            <v>35.091766</v>
          </cell>
        </row>
        <row r="1735">
          <cell r="A1735">
            <v>41963</v>
          </cell>
          <cell r="B1735">
            <v>35.263119000000003</v>
          </cell>
        </row>
        <row r="1736">
          <cell r="A1736">
            <v>41964</v>
          </cell>
          <cell r="B1736">
            <v>35.966579000000003</v>
          </cell>
        </row>
        <row r="1737">
          <cell r="A1737">
            <v>41967</v>
          </cell>
          <cell r="B1737">
            <v>36.309288000000002</v>
          </cell>
        </row>
        <row r="1738">
          <cell r="A1738">
            <v>41968</v>
          </cell>
          <cell r="B1738">
            <v>36.169497999999997</v>
          </cell>
        </row>
        <row r="1739">
          <cell r="A1739">
            <v>41969</v>
          </cell>
          <cell r="B1739">
            <v>35.939521999999997</v>
          </cell>
        </row>
        <row r="1740">
          <cell r="A1740">
            <v>41971</v>
          </cell>
          <cell r="B1740">
            <v>36.620441</v>
          </cell>
        </row>
        <row r="1741">
          <cell r="A1741">
            <v>41974</v>
          </cell>
          <cell r="B1741">
            <v>36.458092000000001</v>
          </cell>
        </row>
        <row r="1742">
          <cell r="A1742">
            <v>41975</v>
          </cell>
          <cell r="B1742">
            <v>36.241656999999996</v>
          </cell>
        </row>
        <row r="1743">
          <cell r="A1743">
            <v>41976</v>
          </cell>
          <cell r="B1743">
            <v>36.286743000000001</v>
          </cell>
        </row>
        <row r="1744">
          <cell r="A1744">
            <v>41977</v>
          </cell>
          <cell r="B1744">
            <v>36.665534999999998</v>
          </cell>
        </row>
        <row r="1745">
          <cell r="A1745">
            <v>41978</v>
          </cell>
          <cell r="B1745">
            <v>37.684635</v>
          </cell>
        </row>
        <row r="1746">
          <cell r="A1746">
            <v>41981</v>
          </cell>
          <cell r="B1746">
            <v>37.788364000000001</v>
          </cell>
        </row>
        <row r="1747">
          <cell r="A1747">
            <v>41982</v>
          </cell>
          <cell r="B1747">
            <v>37.441139</v>
          </cell>
        </row>
        <row r="1748">
          <cell r="A1748">
            <v>41983</v>
          </cell>
          <cell r="B1748">
            <v>37.274296</v>
          </cell>
        </row>
        <row r="1749">
          <cell r="A1749">
            <v>41984</v>
          </cell>
          <cell r="B1749">
            <v>37.481735</v>
          </cell>
        </row>
        <row r="1750">
          <cell r="A1750">
            <v>41985</v>
          </cell>
          <cell r="B1750">
            <v>37.540356000000003</v>
          </cell>
        </row>
        <row r="1751">
          <cell r="A1751">
            <v>41988</v>
          </cell>
          <cell r="B1751">
            <v>36.476143</v>
          </cell>
        </row>
        <row r="1752">
          <cell r="A1752">
            <v>41989</v>
          </cell>
          <cell r="B1752">
            <v>35.682487000000002</v>
          </cell>
        </row>
        <row r="1753">
          <cell r="A1753">
            <v>41990</v>
          </cell>
          <cell r="B1753">
            <v>36.273215999999998</v>
          </cell>
        </row>
        <row r="1754">
          <cell r="A1754">
            <v>41991</v>
          </cell>
          <cell r="B1754">
            <v>36.088329000000002</v>
          </cell>
        </row>
        <row r="1755">
          <cell r="A1755">
            <v>41992</v>
          </cell>
          <cell r="B1755">
            <v>35.822285000000001</v>
          </cell>
        </row>
        <row r="1756">
          <cell r="A1756">
            <v>41995</v>
          </cell>
          <cell r="B1756">
            <v>36.318302000000003</v>
          </cell>
        </row>
        <row r="1757">
          <cell r="A1757">
            <v>41996</v>
          </cell>
          <cell r="B1757">
            <v>36.719653999999998</v>
          </cell>
        </row>
        <row r="1758">
          <cell r="A1758">
            <v>41997</v>
          </cell>
          <cell r="B1758">
            <v>36.647488000000003</v>
          </cell>
        </row>
        <row r="1759">
          <cell r="A1759">
            <v>41999</v>
          </cell>
          <cell r="B1759">
            <v>36.900024000000002</v>
          </cell>
        </row>
        <row r="1760">
          <cell r="A1760">
            <v>42002</v>
          </cell>
          <cell r="B1760">
            <v>37.148026000000002</v>
          </cell>
        </row>
        <row r="1761">
          <cell r="A1761">
            <v>42003</v>
          </cell>
          <cell r="B1761">
            <v>36.881981000000003</v>
          </cell>
        </row>
        <row r="1762">
          <cell r="A1762">
            <v>42004</v>
          </cell>
          <cell r="B1762">
            <v>36.999232999999997</v>
          </cell>
        </row>
        <row r="1763">
          <cell r="A1763">
            <v>42006</v>
          </cell>
          <cell r="B1763">
            <v>36.724155000000003</v>
          </cell>
        </row>
        <row r="1764">
          <cell r="A1764">
            <v>42009</v>
          </cell>
          <cell r="B1764">
            <v>36.020690999999999</v>
          </cell>
        </row>
        <row r="1765">
          <cell r="A1765">
            <v>42010</v>
          </cell>
          <cell r="B1765">
            <v>35.727584999999998</v>
          </cell>
        </row>
        <row r="1766">
          <cell r="A1766">
            <v>42011</v>
          </cell>
          <cell r="B1766">
            <v>36.606910999999997</v>
          </cell>
        </row>
        <row r="1767">
          <cell r="A1767">
            <v>42012</v>
          </cell>
          <cell r="B1767">
            <v>37.197636000000003</v>
          </cell>
        </row>
        <row r="1768">
          <cell r="A1768">
            <v>42013</v>
          </cell>
          <cell r="B1768">
            <v>35.980114</v>
          </cell>
        </row>
        <row r="1769">
          <cell r="A1769">
            <v>42016</v>
          </cell>
          <cell r="B1769">
            <v>36.178528</v>
          </cell>
        </row>
        <row r="1770">
          <cell r="A1770">
            <v>42017</v>
          </cell>
          <cell r="B1770">
            <v>36.467117000000002</v>
          </cell>
        </row>
        <row r="1771">
          <cell r="A1771">
            <v>42018</v>
          </cell>
          <cell r="B1771">
            <v>36.264201999999997</v>
          </cell>
        </row>
        <row r="1772">
          <cell r="A1772">
            <v>42019</v>
          </cell>
          <cell r="B1772">
            <v>35.88541</v>
          </cell>
        </row>
        <row r="1773">
          <cell r="A1773">
            <v>42020</v>
          </cell>
          <cell r="B1773">
            <v>36.349876000000002</v>
          </cell>
        </row>
        <row r="1774">
          <cell r="A1774">
            <v>42024</v>
          </cell>
          <cell r="B1774">
            <v>36.624949999999998</v>
          </cell>
        </row>
        <row r="1775">
          <cell r="A1775">
            <v>42025</v>
          </cell>
          <cell r="B1775">
            <v>36.656520999999998</v>
          </cell>
        </row>
        <row r="1776">
          <cell r="A1776">
            <v>42026</v>
          </cell>
          <cell r="B1776">
            <v>37.310364</v>
          </cell>
        </row>
        <row r="1777">
          <cell r="A1777">
            <v>42027</v>
          </cell>
          <cell r="B1777">
            <v>39.781494000000002</v>
          </cell>
        </row>
        <row r="1778">
          <cell r="A1778">
            <v>42030</v>
          </cell>
          <cell r="B1778">
            <v>39.736401000000001</v>
          </cell>
        </row>
        <row r="1779">
          <cell r="A1779">
            <v>42031</v>
          </cell>
          <cell r="B1779">
            <v>39.835608999999998</v>
          </cell>
        </row>
        <row r="1780">
          <cell r="A1780">
            <v>42032</v>
          </cell>
          <cell r="B1780">
            <v>39.488384000000003</v>
          </cell>
        </row>
        <row r="1781">
          <cell r="A1781">
            <v>42033</v>
          </cell>
          <cell r="B1781">
            <v>40.155766</v>
          </cell>
        </row>
        <row r="1782">
          <cell r="A1782">
            <v>42034</v>
          </cell>
          <cell r="B1782">
            <v>39.470337000000001</v>
          </cell>
        </row>
        <row r="1783">
          <cell r="A1783">
            <v>42037</v>
          </cell>
          <cell r="B1783">
            <v>39.677776000000001</v>
          </cell>
        </row>
        <row r="1784">
          <cell r="A1784">
            <v>42038</v>
          </cell>
          <cell r="B1784">
            <v>40.048896999999997</v>
          </cell>
        </row>
        <row r="1785">
          <cell r="A1785">
            <v>42039</v>
          </cell>
          <cell r="B1785">
            <v>40.143932</v>
          </cell>
        </row>
        <row r="1786">
          <cell r="A1786">
            <v>42040</v>
          </cell>
          <cell r="B1786">
            <v>40.569358999999999</v>
          </cell>
        </row>
        <row r="1787">
          <cell r="A1787">
            <v>42041</v>
          </cell>
          <cell r="B1787">
            <v>40.279713000000001</v>
          </cell>
        </row>
        <row r="1788">
          <cell r="A1788">
            <v>42044</v>
          </cell>
          <cell r="B1788">
            <v>40.198238000000003</v>
          </cell>
        </row>
        <row r="1789">
          <cell r="A1789">
            <v>42045</v>
          </cell>
          <cell r="B1789">
            <v>41.266337999999998</v>
          </cell>
        </row>
        <row r="1790">
          <cell r="A1790">
            <v>42046</v>
          </cell>
          <cell r="B1790">
            <v>41.089835999999998</v>
          </cell>
        </row>
        <row r="1791">
          <cell r="A1791">
            <v>42047</v>
          </cell>
          <cell r="B1791">
            <v>41.560527999999998</v>
          </cell>
        </row>
        <row r="1792">
          <cell r="A1792">
            <v>42048</v>
          </cell>
          <cell r="B1792">
            <v>41.447361000000001</v>
          </cell>
        </row>
        <row r="1793">
          <cell r="A1793">
            <v>42052</v>
          </cell>
          <cell r="B1793">
            <v>41.651024</v>
          </cell>
        </row>
        <row r="1794">
          <cell r="A1794">
            <v>42053</v>
          </cell>
          <cell r="B1794">
            <v>42.090034000000003</v>
          </cell>
        </row>
        <row r="1795">
          <cell r="A1795">
            <v>42054</v>
          </cell>
          <cell r="B1795">
            <v>42.166969000000002</v>
          </cell>
        </row>
        <row r="1796">
          <cell r="A1796">
            <v>42055</v>
          </cell>
          <cell r="B1796">
            <v>42.320847000000001</v>
          </cell>
        </row>
        <row r="1797">
          <cell r="A1797">
            <v>42058</v>
          </cell>
          <cell r="B1797">
            <v>42.352535000000003</v>
          </cell>
        </row>
        <row r="1798">
          <cell r="A1798">
            <v>42059</v>
          </cell>
          <cell r="B1798">
            <v>42.293689999999998</v>
          </cell>
        </row>
        <row r="1799">
          <cell r="A1799">
            <v>42060</v>
          </cell>
          <cell r="B1799">
            <v>42.660285999999999</v>
          </cell>
        </row>
        <row r="1800">
          <cell r="A1800">
            <v>42061</v>
          </cell>
          <cell r="B1800">
            <v>42.791542</v>
          </cell>
        </row>
        <row r="1801">
          <cell r="A1801">
            <v>42062</v>
          </cell>
          <cell r="B1801">
            <v>42.311790000000002</v>
          </cell>
        </row>
        <row r="1802">
          <cell r="A1802">
            <v>42065</v>
          </cell>
          <cell r="B1802">
            <v>42.646701999999998</v>
          </cell>
        </row>
        <row r="1803">
          <cell r="A1803">
            <v>42066</v>
          </cell>
          <cell r="B1803">
            <v>42.542614</v>
          </cell>
        </row>
        <row r="1804">
          <cell r="A1804">
            <v>42067</v>
          </cell>
          <cell r="B1804">
            <v>42.117179999999998</v>
          </cell>
        </row>
        <row r="1805">
          <cell r="A1805">
            <v>42068</v>
          </cell>
          <cell r="B1805">
            <v>42.375155999999997</v>
          </cell>
        </row>
        <row r="1806">
          <cell r="A1806">
            <v>42069</v>
          </cell>
          <cell r="B1806">
            <v>41.737018999999997</v>
          </cell>
        </row>
        <row r="1807">
          <cell r="A1807">
            <v>42072</v>
          </cell>
          <cell r="B1807">
            <v>42.108134999999997</v>
          </cell>
        </row>
        <row r="1808">
          <cell r="A1808">
            <v>42073</v>
          </cell>
          <cell r="B1808">
            <v>41.718921999999999</v>
          </cell>
        </row>
        <row r="1809">
          <cell r="A1809">
            <v>42074</v>
          </cell>
          <cell r="B1809">
            <v>41.374957999999999</v>
          </cell>
        </row>
        <row r="1810">
          <cell r="A1810">
            <v>42075</v>
          </cell>
          <cell r="B1810">
            <v>42.262016000000003</v>
          </cell>
        </row>
        <row r="1811">
          <cell r="A1811">
            <v>42076</v>
          </cell>
          <cell r="B1811">
            <v>42.221283</v>
          </cell>
        </row>
        <row r="1812">
          <cell r="A1812">
            <v>42079</v>
          </cell>
          <cell r="B1812">
            <v>42.565246999999999</v>
          </cell>
        </row>
        <row r="1813">
          <cell r="A1813">
            <v>42080</v>
          </cell>
          <cell r="B1813">
            <v>42.719119999999997</v>
          </cell>
        </row>
        <row r="1814">
          <cell r="A1814">
            <v>42081</v>
          </cell>
          <cell r="B1814">
            <v>43.375366</v>
          </cell>
        </row>
        <row r="1815">
          <cell r="A1815">
            <v>42082</v>
          </cell>
          <cell r="B1815">
            <v>44.244315999999998</v>
          </cell>
        </row>
        <row r="1816">
          <cell r="A1816">
            <v>42083</v>
          </cell>
          <cell r="B1816">
            <v>44.108536000000001</v>
          </cell>
        </row>
        <row r="1817">
          <cell r="A1817">
            <v>42086</v>
          </cell>
          <cell r="B1817">
            <v>44.067824999999999</v>
          </cell>
        </row>
        <row r="1818">
          <cell r="A1818">
            <v>42087</v>
          </cell>
          <cell r="B1818">
            <v>44.316738000000001</v>
          </cell>
        </row>
        <row r="1819">
          <cell r="A1819">
            <v>42088</v>
          </cell>
          <cell r="B1819">
            <v>43.343685000000001</v>
          </cell>
        </row>
        <row r="1820">
          <cell r="A1820">
            <v>42089</v>
          </cell>
          <cell r="B1820">
            <v>43.031402999999997</v>
          </cell>
        </row>
        <row r="1821">
          <cell r="A1821">
            <v>42090</v>
          </cell>
          <cell r="B1821">
            <v>43.026878000000004</v>
          </cell>
        </row>
        <row r="1822">
          <cell r="A1822">
            <v>42093</v>
          </cell>
          <cell r="B1822">
            <v>43.438727999999998</v>
          </cell>
        </row>
        <row r="1823">
          <cell r="A1823">
            <v>42094</v>
          </cell>
          <cell r="B1823">
            <v>42.859413000000004</v>
          </cell>
        </row>
        <row r="1824">
          <cell r="A1824">
            <v>42095</v>
          </cell>
          <cell r="B1824">
            <v>42.099086999999997</v>
          </cell>
        </row>
        <row r="1825">
          <cell r="A1825">
            <v>42096</v>
          </cell>
          <cell r="B1825">
            <v>42.719119999999997</v>
          </cell>
        </row>
        <row r="1826">
          <cell r="A1826">
            <v>42100</v>
          </cell>
          <cell r="B1826">
            <v>42.777954000000001</v>
          </cell>
        </row>
        <row r="1827">
          <cell r="A1827">
            <v>42101</v>
          </cell>
          <cell r="B1827">
            <v>42.574294999999999</v>
          </cell>
        </row>
        <row r="1828">
          <cell r="A1828">
            <v>42102</v>
          </cell>
          <cell r="B1828">
            <v>43.099293000000003</v>
          </cell>
        </row>
        <row r="1829">
          <cell r="A1829">
            <v>42103</v>
          </cell>
          <cell r="B1829">
            <v>43.411574999999999</v>
          </cell>
        </row>
        <row r="1830">
          <cell r="A1830">
            <v>42104</v>
          </cell>
          <cell r="B1830">
            <v>43.601649999999999</v>
          </cell>
        </row>
        <row r="1831">
          <cell r="A1831">
            <v>42107</v>
          </cell>
          <cell r="B1831">
            <v>43.900356000000002</v>
          </cell>
        </row>
        <row r="1832">
          <cell r="A1832">
            <v>42108</v>
          </cell>
          <cell r="B1832">
            <v>43.719326000000002</v>
          </cell>
        </row>
        <row r="1833">
          <cell r="A1833">
            <v>42109</v>
          </cell>
          <cell r="B1833">
            <v>43.574500999999998</v>
          </cell>
        </row>
        <row r="1834">
          <cell r="A1834">
            <v>42110</v>
          </cell>
          <cell r="B1834">
            <v>43.674075999999999</v>
          </cell>
        </row>
        <row r="1835">
          <cell r="A1835">
            <v>42111</v>
          </cell>
          <cell r="B1835">
            <v>43.103816999999999</v>
          </cell>
        </row>
        <row r="1836">
          <cell r="A1836">
            <v>42114</v>
          </cell>
          <cell r="B1836">
            <v>43.420631</v>
          </cell>
        </row>
        <row r="1837">
          <cell r="A1837">
            <v>42115</v>
          </cell>
          <cell r="B1837">
            <v>43.782688</v>
          </cell>
        </row>
        <row r="1838">
          <cell r="A1838">
            <v>42116</v>
          </cell>
          <cell r="B1838">
            <v>43.755535000000002</v>
          </cell>
        </row>
        <row r="1839">
          <cell r="A1839">
            <v>42117</v>
          </cell>
          <cell r="B1839">
            <v>44.742156999999999</v>
          </cell>
        </row>
        <row r="1840">
          <cell r="A1840">
            <v>42118</v>
          </cell>
          <cell r="B1840">
            <v>46.923603</v>
          </cell>
        </row>
        <row r="1841">
          <cell r="A1841">
            <v>42121</v>
          </cell>
          <cell r="B1841">
            <v>46.045600999999998</v>
          </cell>
        </row>
        <row r="1842">
          <cell r="A1842">
            <v>42122</v>
          </cell>
          <cell r="B1842">
            <v>45.810253000000003</v>
          </cell>
        </row>
        <row r="1843">
          <cell r="A1843">
            <v>42123</v>
          </cell>
          <cell r="B1843">
            <v>45.846469999999997</v>
          </cell>
        </row>
        <row r="1844">
          <cell r="A1844">
            <v>42124</v>
          </cell>
          <cell r="B1844">
            <v>44.877941</v>
          </cell>
        </row>
        <row r="1845">
          <cell r="A1845">
            <v>42125</v>
          </cell>
          <cell r="B1845">
            <v>45.520595999999998</v>
          </cell>
        </row>
        <row r="1846">
          <cell r="A1846">
            <v>42128</v>
          </cell>
          <cell r="B1846">
            <v>45.665436</v>
          </cell>
        </row>
        <row r="1847">
          <cell r="A1847">
            <v>42129</v>
          </cell>
          <cell r="B1847">
            <v>44.866356000000003</v>
          </cell>
        </row>
        <row r="1848">
          <cell r="A1848">
            <v>42130</v>
          </cell>
          <cell r="B1848">
            <v>44.430492000000001</v>
          </cell>
        </row>
        <row r="1849">
          <cell r="A1849">
            <v>42131</v>
          </cell>
          <cell r="B1849">
            <v>44.811866999999999</v>
          </cell>
        </row>
        <row r="1850">
          <cell r="A1850">
            <v>42132</v>
          </cell>
          <cell r="B1850">
            <v>45.20232</v>
          </cell>
        </row>
        <row r="1851">
          <cell r="A1851">
            <v>42135</v>
          </cell>
          <cell r="B1851">
            <v>44.948086000000004</v>
          </cell>
        </row>
        <row r="1852">
          <cell r="A1852">
            <v>42136</v>
          </cell>
          <cell r="B1852">
            <v>45.138759999999998</v>
          </cell>
        </row>
        <row r="1853">
          <cell r="A1853">
            <v>42137</v>
          </cell>
          <cell r="B1853">
            <v>45.029800000000002</v>
          </cell>
        </row>
        <row r="1854">
          <cell r="A1854">
            <v>42138</v>
          </cell>
          <cell r="B1854">
            <v>45.910598999999998</v>
          </cell>
        </row>
        <row r="1855">
          <cell r="A1855">
            <v>42139</v>
          </cell>
          <cell r="B1855">
            <v>46.128529</v>
          </cell>
        </row>
        <row r="1856">
          <cell r="A1856">
            <v>42142</v>
          </cell>
          <cell r="B1856">
            <v>46.473587000000002</v>
          </cell>
        </row>
        <row r="1857">
          <cell r="A1857">
            <v>42143</v>
          </cell>
          <cell r="B1857">
            <v>46.691516999999997</v>
          </cell>
        </row>
        <row r="1858">
          <cell r="A1858">
            <v>42144</v>
          </cell>
          <cell r="B1858">
            <v>46.337375999999999</v>
          </cell>
        </row>
        <row r="1859">
          <cell r="A1859">
            <v>42145</v>
          </cell>
          <cell r="B1859">
            <v>46.609791000000001</v>
          </cell>
        </row>
        <row r="1860">
          <cell r="A1860">
            <v>42146</v>
          </cell>
          <cell r="B1860">
            <v>46.745987</v>
          </cell>
        </row>
        <row r="1861">
          <cell r="A1861">
            <v>42150</v>
          </cell>
          <cell r="B1861">
            <v>46.164852000000003</v>
          </cell>
        </row>
        <row r="1862">
          <cell r="A1862">
            <v>42151</v>
          </cell>
          <cell r="B1862">
            <v>46.845886</v>
          </cell>
        </row>
        <row r="1863">
          <cell r="A1863">
            <v>42152</v>
          </cell>
          <cell r="B1863">
            <v>47.045653999999999</v>
          </cell>
        </row>
        <row r="1864">
          <cell r="A1864">
            <v>42153</v>
          </cell>
          <cell r="B1864">
            <v>47.181846999999998</v>
          </cell>
        </row>
        <row r="1865">
          <cell r="A1865">
            <v>42156</v>
          </cell>
          <cell r="B1865">
            <v>47.417952999999997</v>
          </cell>
        </row>
        <row r="1866">
          <cell r="A1866">
            <v>42157</v>
          </cell>
          <cell r="B1866">
            <v>46.973011</v>
          </cell>
        </row>
        <row r="1867">
          <cell r="A1867">
            <v>42158</v>
          </cell>
          <cell r="B1867">
            <v>47.327140999999997</v>
          </cell>
        </row>
        <row r="1868">
          <cell r="A1868">
            <v>42159</v>
          </cell>
          <cell r="B1868">
            <v>46.963932</v>
          </cell>
        </row>
        <row r="1869">
          <cell r="A1869">
            <v>42160</v>
          </cell>
          <cell r="B1869">
            <v>47.390704999999997</v>
          </cell>
        </row>
        <row r="1870">
          <cell r="A1870">
            <v>42163</v>
          </cell>
          <cell r="B1870">
            <v>46.791392999999999</v>
          </cell>
        </row>
        <row r="1871">
          <cell r="A1871">
            <v>42164</v>
          </cell>
          <cell r="B1871">
            <v>46.800471999999999</v>
          </cell>
        </row>
        <row r="1872">
          <cell r="A1872">
            <v>42165</v>
          </cell>
          <cell r="B1872">
            <v>47.844734000000003</v>
          </cell>
        </row>
        <row r="1873">
          <cell r="A1873">
            <v>42166</v>
          </cell>
          <cell r="B1873">
            <v>47.663108999999999</v>
          </cell>
        </row>
        <row r="1874">
          <cell r="A1874">
            <v>42167</v>
          </cell>
          <cell r="B1874">
            <v>47.790244999999999</v>
          </cell>
        </row>
        <row r="1875">
          <cell r="A1875">
            <v>42170</v>
          </cell>
          <cell r="B1875">
            <v>47.463355999999997</v>
          </cell>
        </row>
        <row r="1876">
          <cell r="A1876">
            <v>42171</v>
          </cell>
          <cell r="B1876">
            <v>48.098979999999997</v>
          </cell>
        </row>
        <row r="1877">
          <cell r="A1877">
            <v>42172</v>
          </cell>
          <cell r="B1877">
            <v>48.344150999999997</v>
          </cell>
        </row>
        <row r="1878">
          <cell r="A1878">
            <v>42173</v>
          </cell>
          <cell r="B1878">
            <v>49.134148000000003</v>
          </cell>
        </row>
        <row r="1879">
          <cell r="A1879">
            <v>42174</v>
          </cell>
          <cell r="B1879">
            <v>48.970703</v>
          </cell>
        </row>
        <row r="1880">
          <cell r="A1880">
            <v>42177</v>
          </cell>
          <cell r="B1880">
            <v>48.943451000000003</v>
          </cell>
        </row>
        <row r="1881">
          <cell r="A1881">
            <v>42178</v>
          </cell>
          <cell r="B1881">
            <v>49.143222999999999</v>
          </cell>
        </row>
        <row r="1882">
          <cell r="A1882">
            <v>42179</v>
          </cell>
          <cell r="B1882">
            <v>48.770930999999997</v>
          </cell>
        </row>
        <row r="1883">
          <cell r="A1883">
            <v>42180</v>
          </cell>
          <cell r="B1883">
            <v>49.097813000000002</v>
          </cell>
        </row>
        <row r="1884">
          <cell r="A1884">
            <v>42181</v>
          </cell>
          <cell r="B1884">
            <v>49.597244000000003</v>
          </cell>
        </row>
        <row r="1885">
          <cell r="A1885">
            <v>42184</v>
          </cell>
          <cell r="B1885">
            <v>48.625641000000002</v>
          </cell>
        </row>
        <row r="1886">
          <cell r="A1886">
            <v>42185</v>
          </cell>
          <cell r="B1886">
            <v>48.689194000000001</v>
          </cell>
        </row>
        <row r="1887">
          <cell r="A1887">
            <v>42186</v>
          </cell>
          <cell r="B1887">
            <v>48.934372000000003</v>
          </cell>
        </row>
        <row r="1888">
          <cell r="A1888">
            <v>42187</v>
          </cell>
          <cell r="B1888">
            <v>49.252197000000002</v>
          </cell>
        </row>
        <row r="1889">
          <cell r="A1889">
            <v>42191</v>
          </cell>
          <cell r="B1889">
            <v>49.315750000000001</v>
          </cell>
        </row>
        <row r="1890">
          <cell r="A1890">
            <v>42192</v>
          </cell>
          <cell r="B1890">
            <v>49.379314000000001</v>
          </cell>
        </row>
        <row r="1891">
          <cell r="A1891">
            <v>42193</v>
          </cell>
          <cell r="B1891">
            <v>48.480350000000001</v>
          </cell>
        </row>
        <row r="1892">
          <cell r="A1892">
            <v>42194</v>
          </cell>
          <cell r="B1892">
            <v>49.079655000000002</v>
          </cell>
        </row>
        <row r="1893">
          <cell r="A1893">
            <v>42195</v>
          </cell>
          <cell r="B1893">
            <v>49.551842000000001</v>
          </cell>
        </row>
        <row r="1894">
          <cell r="A1894">
            <v>42198</v>
          </cell>
          <cell r="B1894">
            <v>50.577933999999999</v>
          </cell>
        </row>
        <row r="1895">
          <cell r="A1895">
            <v>42199</v>
          </cell>
          <cell r="B1895">
            <v>50.623328999999998</v>
          </cell>
        </row>
        <row r="1896">
          <cell r="A1896">
            <v>42200</v>
          </cell>
          <cell r="B1896">
            <v>50.251038000000001</v>
          </cell>
        </row>
        <row r="1897">
          <cell r="A1897">
            <v>42201</v>
          </cell>
          <cell r="B1897">
            <v>50.614258</v>
          </cell>
        </row>
        <row r="1898">
          <cell r="A1898">
            <v>42202</v>
          </cell>
          <cell r="B1898">
            <v>50.568854999999999</v>
          </cell>
        </row>
        <row r="1899">
          <cell r="A1899">
            <v>42205</v>
          </cell>
          <cell r="B1899">
            <v>51.041030999999997</v>
          </cell>
        </row>
        <row r="1900">
          <cell r="A1900">
            <v>42206</v>
          </cell>
          <cell r="B1900">
            <v>51.031962999999998</v>
          </cell>
        </row>
        <row r="1901">
          <cell r="A1901">
            <v>42207</v>
          </cell>
          <cell r="B1901">
            <v>51.476894000000001</v>
          </cell>
        </row>
        <row r="1902">
          <cell r="A1902">
            <v>42208</v>
          </cell>
          <cell r="B1902">
            <v>51.358848999999999</v>
          </cell>
        </row>
        <row r="1903">
          <cell r="A1903">
            <v>42209</v>
          </cell>
          <cell r="B1903">
            <v>52.021717000000002</v>
          </cell>
        </row>
        <row r="1904">
          <cell r="A1904">
            <v>42212</v>
          </cell>
          <cell r="B1904">
            <v>51.740223</v>
          </cell>
        </row>
        <row r="1905">
          <cell r="A1905">
            <v>42213</v>
          </cell>
          <cell r="B1905">
            <v>51.885517</v>
          </cell>
        </row>
        <row r="1906">
          <cell r="A1906">
            <v>42214</v>
          </cell>
          <cell r="B1906">
            <v>52.221488999999998</v>
          </cell>
        </row>
        <row r="1907">
          <cell r="A1907">
            <v>42215</v>
          </cell>
          <cell r="B1907">
            <v>52.720913000000003</v>
          </cell>
        </row>
        <row r="1908">
          <cell r="A1908">
            <v>42216</v>
          </cell>
          <cell r="B1908">
            <v>52.602859000000002</v>
          </cell>
        </row>
        <row r="1909">
          <cell r="A1909">
            <v>42219</v>
          </cell>
          <cell r="B1909">
            <v>52.838959000000003</v>
          </cell>
        </row>
        <row r="1910">
          <cell r="A1910">
            <v>42220</v>
          </cell>
          <cell r="B1910">
            <v>53.449024000000001</v>
          </cell>
        </row>
        <row r="1911">
          <cell r="A1911">
            <v>42221</v>
          </cell>
          <cell r="B1911">
            <v>53.731285</v>
          </cell>
        </row>
        <row r="1912">
          <cell r="A1912">
            <v>42222</v>
          </cell>
          <cell r="B1912">
            <v>52.110515999999997</v>
          </cell>
        </row>
        <row r="1913">
          <cell r="A1913">
            <v>42223</v>
          </cell>
          <cell r="B1913">
            <v>52.083199</v>
          </cell>
        </row>
        <row r="1914">
          <cell r="A1914">
            <v>42226</v>
          </cell>
          <cell r="B1914">
            <v>51.236396999999997</v>
          </cell>
        </row>
        <row r="1915">
          <cell r="A1915">
            <v>42227</v>
          </cell>
          <cell r="B1915">
            <v>51.309238000000001</v>
          </cell>
        </row>
        <row r="1916">
          <cell r="A1916">
            <v>42228</v>
          </cell>
          <cell r="B1916">
            <v>51.336554999999997</v>
          </cell>
        </row>
        <row r="1917">
          <cell r="A1917">
            <v>42229</v>
          </cell>
          <cell r="B1917">
            <v>51.764499999999998</v>
          </cell>
        </row>
        <row r="1918">
          <cell r="A1918">
            <v>42230</v>
          </cell>
          <cell r="B1918">
            <v>51.992145999999998</v>
          </cell>
        </row>
        <row r="1919">
          <cell r="A1919">
            <v>42233</v>
          </cell>
          <cell r="B1919">
            <v>52.574902000000002</v>
          </cell>
        </row>
        <row r="1920">
          <cell r="A1920">
            <v>42234</v>
          </cell>
          <cell r="B1920">
            <v>52.656849000000001</v>
          </cell>
        </row>
        <row r="1921">
          <cell r="A1921">
            <v>42235</v>
          </cell>
          <cell r="B1921">
            <v>52.438324000000001</v>
          </cell>
        </row>
        <row r="1922">
          <cell r="A1922">
            <v>42236</v>
          </cell>
          <cell r="B1922">
            <v>50.817551000000002</v>
          </cell>
        </row>
        <row r="1923">
          <cell r="A1923">
            <v>42237</v>
          </cell>
          <cell r="B1923">
            <v>48.113224000000002</v>
          </cell>
        </row>
        <row r="1924">
          <cell r="A1924">
            <v>42240</v>
          </cell>
          <cell r="B1924">
            <v>45.836868000000003</v>
          </cell>
        </row>
        <row r="1925">
          <cell r="A1925">
            <v>42241</v>
          </cell>
          <cell r="B1925">
            <v>46.519767999999999</v>
          </cell>
        </row>
        <row r="1926">
          <cell r="A1926">
            <v>42242</v>
          </cell>
          <cell r="B1926">
            <v>49.133034000000002</v>
          </cell>
        </row>
        <row r="1927">
          <cell r="A1927">
            <v>42243</v>
          </cell>
          <cell r="B1927">
            <v>50.945022999999999</v>
          </cell>
        </row>
        <row r="1928">
          <cell r="A1928">
            <v>42244</v>
          </cell>
          <cell r="B1928">
            <v>50.653652000000001</v>
          </cell>
        </row>
        <row r="1929">
          <cell r="A1929">
            <v>42247</v>
          </cell>
          <cell r="B1929">
            <v>49.815944999999999</v>
          </cell>
        </row>
        <row r="1930">
          <cell r="A1930">
            <v>42248</v>
          </cell>
          <cell r="B1930">
            <v>48.714179999999999</v>
          </cell>
        </row>
        <row r="1931">
          <cell r="A1931">
            <v>42249</v>
          </cell>
          <cell r="B1931">
            <v>50.316741999999998</v>
          </cell>
        </row>
        <row r="1932">
          <cell r="A1932">
            <v>42250</v>
          </cell>
          <cell r="B1932">
            <v>49.797728999999997</v>
          </cell>
        </row>
        <row r="1933">
          <cell r="A1933">
            <v>42251</v>
          </cell>
          <cell r="B1933">
            <v>49.424411999999997</v>
          </cell>
        </row>
        <row r="1934">
          <cell r="A1934">
            <v>42255</v>
          </cell>
          <cell r="B1934">
            <v>50.271217</v>
          </cell>
        </row>
        <row r="1935">
          <cell r="A1935">
            <v>42256</v>
          </cell>
          <cell r="B1935">
            <v>49.797728999999997</v>
          </cell>
        </row>
        <row r="1936">
          <cell r="A1936">
            <v>42257</v>
          </cell>
          <cell r="B1936">
            <v>50.416904000000002</v>
          </cell>
        </row>
        <row r="1937">
          <cell r="A1937">
            <v>42258</v>
          </cell>
          <cell r="B1937">
            <v>51.473132999999997</v>
          </cell>
        </row>
        <row r="1938">
          <cell r="A1938">
            <v>42261</v>
          </cell>
          <cell r="B1938">
            <v>51.254615999999999</v>
          </cell>
        </row>
        <row r="1939">
          <cell r="A1939">
            <v>42262</v>
          </cell>
          <cell r="B1939">
            <v>51.819138000000002</v>
          </cell>
        </row>
        <row r="1940">
          <cell r="A1940">
            <v>42263</v>
          </cell>
          <cell r="B1940">
            <v>52.137836</v>
          </cell>
        </row>
        <row r="1941">
          <cell r="A1941">
            <v>42264</v>
          </cell>
          <cell r="B1941">
            <v>52.156047999999998</v>
          </cell>
        </row>
        <row r="1942">
          <cell r="A1942">
            <v>42265</v>
          </cell>
          <cell r="B1942">
            <v>51.755412999999997</v>
          </cell>
        </row>
        <row r="1943">
          <cell r="A1943">
            <v>42268</v>
          </cell>
          <cell r="B1943">
            <v>52.392795999999997</v>
          </cell>
        </row>
        <row r="1944">
          <cell r="A1944">
            <v>42269</v>
          </cell>
          <cell r="B1944">
            <v>52.010365</v>
          </cell>
        </row>
        <row r="1945">
          <cell r="A1945">
            <v>42270</v>
          </cell>
          <cell r="B1945">
            <v>52.620421999999998</v>
          </cell>
        </row>
        <row r="1946">
          <cell r="A1946">
            <v>42271</v>
          </cell>
          <cell r="B1946">
            <v>53.148544000000001</v>
          </cell>
        </row>
        <row r="1947">
          <cell r="A1947">
            <v>42272</v>
          </cell>
          <cell r="B1947">
            <v>52.802536000000003</v>
          </cell>
        </row>
        <row r="1948">
          <cell r="A1948">
            <v>42275</v>
          </cell>
          <cell r="B1948">
            <v>50.781128000000002</v>
          </cell>
        </row>
        <row r="1949">
          <cell r="A1949">
            <v>42276</v>
          </cell>
          <cell r="B1949">
            <v>50.735599999999998</v>
          </cell>
        </row>
        <row r="1950">
          <cell r="A1950">
            <v>42277</v>
          </cell>
          <cell r="B1950">
            <v>51.755412999999997</v>
          </cell>
        </row>
        <row r="1951">
          <cell r="A1951">
            <v>42278</v>
          </cell>
          <cell r="B1951">
            <v>52.338154000000003</v>
          </cell>
        </row>
        <row r="1952">
          <cell r="A1952">
            <v>42279</v>
          </cell>
          <cell r="B1952">
            <v>52.884490999999997</v>
          </cell>
        </row>
        <row r="1953">
          <cell r="A1953">
            <v>42282</v>
          </cell>
          <cell r="B1953">
            <v>53.758614000000001</v>
          </cell>
        </row>
        <row r="1954">
          <cell r="A1954">
            <v>42283</v>
          </cell>
          <cell r="B1954">
            <v>53.439919000000003</v>
          </cell>
        </row>
        <row r="1955">
          <cell r="A1955">
            <v>42284</v>
          </cell>
          <cell r="B1955">
            <v>53.521866000000003</v>
          </cell>
        </row>
        <row r="1956">
          <cell r="A1956">
            <v>42285</v>
          </cell>
          <cell r="B1956">
            <v>54.141029000000003</v>
          </cell>
        </row>
        <row r="1957">
          <cell r="A1957">
            <v>42286</v>
          </cell>
          <cell r="B1957">
            <v>54.696472</v>
          </cell>
        </row>
        <row r="1958">
          <cell r="A1958">
            <v>42289</v>
          </cell>
          <cell r="B1958">
            <v>55.124428000000002</v>
          </cell>
        </row>
        <row r="1959">
          <cell r="A1959">
            <v>42290</v>
          </cell>
          <cell r="B1959">
            <v>54.778422999999997</v>
          </cell>
        </row>
        <row r="1960">
          <cell r="A1960">
            <v>42291</v>
          </cell>
          <cell r="B1960">
            <v>53.558284999999998</v>
          </cell>
        </row>
        <row r="1961">
          <cell r="A1961">
            <v>42292</v>
          </cell>
          <cell r="B1961">
            <v>54.350456000000001</v>
          </cell>
        </row>
        <row r="1962">
          <cell r="A1962">
            <v>42293</v>
          </cell>
          <cell r="B1962">
            <v>54.568989000000002</v>
          </cell>
        </row>
        <row r="1963">
          <cell r="A1963">
            <v>42296</v>
          </cell>
          <cell r="B1963">
            <v>55.515968000000001</v>
          </cell>
        </row>
        <row r="1964">
          <cell r="A1964">
            <v>42297</v>
          </cell>
          <cell r="B1964">
            <v>55.434013</v>
          </cell>
        </row>
        <row r="1965">
          <cell r="A1965">
            <v>42298</v>
          </cell>
          <cell r="B1965">
            <v>55.115310999999998</v>
          </cell>
        </row>
        <row r="1966">
          <cell r="A1966">
            <v>42299</v>
          </cell>
          <cell r="B1966">
            <v>55.989449</v>
          </cell>
        </row>
        <row r="1967">
          <cell r="A1967">
            <v>42300</v>
          </cell>
          <cell r="B1967">
            <v>57.009262</v>
          </cell>
        </row>
        <row r="1968">
          <cell r="A1968">
            <v>42303</v>
          </cell>
          <cell r="B1968">
            <v>57.755893999999998</v>
          </cell>
        </row>
        <row r="1969">
          <cell r="A1969">
            <v>42304</v>
          </cell>
          <cell r="B1969">
            <v>57.100315000000002</v>
          </cell>
        </row>
        <row r="1970">
          <cell r="A1970">
            <v>42305</v>
          </cell>
          <cell r="B1970">
            <v>57.828743000000003</v>
          </cell>
        </row>
        <row r="1971">
          <cell r="A1971">
            <v>42306</v>
          </cell>
          <cell r="B1971">
            <v>56.909092000000001</v>
          </cell>
        </row>
        <row r="1972">
          <cell r="A1972">
            <v>42307</v>
          </cell>
          <cell r="B1972">
            <v>56.972831999999997</v>
          </cell>
        </row>
        <row r="1973">
          <cell r="A1973">
            <v>42310</v>
          </cell>
          <cell r="B1973">
            <v>56.672351999999997</v>
          </cell>
        </row>
        <row r="1974">
          <cell r="A1974">
            <v>42311</v>
          </cell>
          <cell r="B1974">
            <v>57.182259000000002</v>
          </cell>
        </row>
        <row r="1975">
          <cell r="A1975">
            <v>42312</v>
          </cell>
          <cell r="B1975">
            <v>56.417400000000001</v>
          </cell>
        </row>
        <row r="1976">
          <cell r="A1976">
            <v>42313</v>
          </cell>
          <cell r="B1976">
            <v>56.708781999999999</v>
          </cell>
        </row>
        <row r="1977">
          <cell r="A1977">
            <v>42314</v>
          </cell>
          <cell r="B1977">
            <v>56.42651</v>
          </cell>
        </row>
        <row r="1978">
          <cell r="A1978">
            <v>42317</v>
          </cell>
          <cell r="B1978">
            <v>56.033703000000003</v>
          </cell>
        </row>
        <row r="1979">
          <cell r="A1979">
            <v>42318</v>
          </cell>
          <cell r="B1979">
            <v>56.801040999999998</v>
          </cell>
        </row>
        <row r="1980">
          <cell r="A1980">
            <v>42319</v>
          </cell>
          <cell r="B1980">
            <v>56.517853000000002</v>
          </cell>
        </row>
        <row r="1981">
          <cell r="A1981">
            <v>42320</v>
          </cell>
          <cell r="B1981">
            <v>55.787064000000001</v>
          </cell>
        </row>
        <row r="1982">
          <cell r="A1982">
            <v>42321</v>
          </cell>
          <cell r="B1982">
            <v>54.572113000000002</v>
          </cell>
        </row>
        <row r="1983">
          <cell r="A1983">
            <v>42324</v>
          </cell>
          <cell r="B1983">
            <v>55.430793999999999</v>
          </cell>
        </row>
        <row r="1984">
          <cell r="A1984">
            <v>42325</v>
          </cell>
          <cell r="B1984">
            <v>55.312038000000001</v>
          </cell>
        </row>
        <row r="1985">
          <cell r="A1985">
            <v>42326</v>
          </cell>
          <cell r="B1985">
            <v>56.453899</v>
          </cell>
        </row>
        <row r="1986">
          <cell r="A1986">
            <v>42327</v>
          </cell>
          <cell r="B1986">
            <v>56.143318000000001</v>
          </cell>
        </row>
        <row r="1987">
          <cell r="A1987">
            <v>42328</v>
          </cell>
          <cell r="B1987">
            <v>56.627476000000001</v>
          </cell>
        </row>
        <row r="1988">
          <cell r="A1988">
            <v>42331</v>
          </cell>
          <cell r="B1988">
            <v>57.221237000000002</v>
          </cell>
        </row>
        <row r="1989">
          <cell r="A1989">
            <v>42332</v>
          </cell>
          <cell r="B1989">
            <v>56.600067000000003</v>
          </cell>
        </row>
        <row r="1990">
          <cell r="A1990">
            <v>42333</v>
          </cell>
          <cell r="B1990">
            <v>56.810177000000003</v>
          </cell>
        </row>
        <row r="1991">
          <cell r="A1991">
            <v>42335</v>
          </cell>
          <cell r="B1991">
            <v>56.801040999999998</v>
          </cell>
        </row>
        <row r="1992">
          <cell r="A1992">
            <v>42338</v>
          </cell>
          <cell r="B1992">
            <v>56.079371999999999</v>
          </cell>
        </row>
        <row r="1993">
          <cell r="A1993">
            <v>42339</v>
          </cell>
          <cell r="B1993">
            <v>56.061104</v>
          </cell>
        </row>
        <row r="1994">
          <cell r="A1994">
            <v>42340</v>
          </cell>
          <cell r="B1994">
            <v>55.924079999999996</v>
          </cell>
        </row>
        <row r="1995">
          <cell r="A1995">
            <v>42341</v>
          </cell>
          <cell r="B1995">
            <v>54.398555999999999</v>
          </cell>
        </row>
        <row r="1996">
          <cell r="A1996">
            <v>42342</v>
          </cell>
          <cell r="B1996">
            <v>56.408230000000003</v>
          </cell>
        </row>
        <row r="1997">
          <cell r="A1997">
            <v>42345</v>
          </cell>
          <cell r="B1997">
            <v>56.536110000000001</v>
          </cell>
        </row>
        <row r="1998">
          <cell r="A1998">
            <v>42346</v>
          </cell>
          <cell r="B1998">
            <v>56.782767999999997</v>
          </cell>
        </row>
        <row r="1999">
          <cell r="A1999">
            <v>42347</v>
          </cell>
          <cell r="B1999">
            <v>55.887535</v>
          </cell>
        </row>
        <row r="2000">
          <cell r="A2000">
            <v>42348</v>
          </cell>
          <cell r="B2000">
            <v>56.517853000000002</v>
          </cell>
        </row>
        <row r="2001">
          <cell r="A2001">
            <v>42349</v>
          </cell>
          <cell r="B2001">
            <v>54.645195000000001</v>
          </cell>
        </row>
        <row r="2002">
          <cell r="A2002">
            <v>42352</v>
          </cell>
          <cell r="B2002">
            <v>54.736545999999997</v>
          </cell>
        </row>
        <row r="2003">
          <cell r="A2003">
            <v>42353</v>
          </cell>
          <cell r="B2003">
            <v>54.791347999999999</v>
          </cell>
        </row>
        <row r="2004">
          <cell r="A2004">
            <v>42354</v>
          </cell>
          <cell r="B2004">
            <v>55.129340999999997</v>
          </cell>
        </row>
        <row r="2005">
          <cell r="A2005">
            <v>42355</v>
          </cell>
          <cell r="B2005">
            <v>54.371136</v>
          </cell>
        </row>
        <row r="2006">
          <cell r="A2006">
            <v>42356</v>
          </cell>
          <cell r="B2006">
            <v>53.549003999999996</v>
          </cell>
        </row>
        <row r="2007">
          <cell r="A2007">
            <v>42359</v>
          </cell>
          <cell r="B2007">
            <v>54.389420000000001</v>
          </cell>
        </row>
        <row r="2008">
          <cell r="A2008">
            <v>42360</v>
          </cell>
          <cell r="B2008">
            <v>54.800491000000001</v>
          </cell>
        </row>
        <row r="2009">
          <cell r="A2009">
            <v>42361</v>
          </cell>
          <cell r="B2009">
            <v>55.120204999999999</v>
          </cell>
        </row>
        <row r="2010">
          <cell r="A2010">
            <v>42362</v>
          </cell>
          <cell r="B2010">
            <v>55.101936000000002</v>
          </cell>
        </row>
        <row r="2011">
          <cell r="A2011">
            <v>42366</v>
          </cell>
          <cell r="B2011">
            <v>54.983181000000002</v>
          </cell>
        </row>
        <row r="2012">
          <cell r="A2012">
            <v>42367</v>
          </cell>
          <cell r="B2012">
            <v>55.841869000000003</v>
          </cell>
        </row>
        <row r="2013">
          <cell r="A2013">
            <v>42368</v>
          </cell>
          <cell r="B2013">
            <v>55.558681</v>
          </cell>
        </row>
        <row r="2014">
          <cell r="A2014">
            <v>42369</v>
          </cell>
          <cell r="B2014">
            <v>54.837021</v>
          </cell>
        </row>
        <row r="2015">
          <cell r="A2015">
            <v>42373</v>
          </cell>
          <cell r="B2015">
            <v>53.220139000000003</v>
          </cell>
        </row>
        <row r="2016">
          <cell r="A2016">
            <v>42374</v>
          </cell>
          <cell r="B2016">
            <v>53.576400999999997</v>
          </cell>
        </row>
        <row r="2017">
          <cell r="A2017">
            <v>42375</v>
          </cell>
          <cell r="B2017">
            <v>53.101391</v>
          </cell>
        </row>
        <row r="2018">
          <cell r="A2018">
            <v>42376</v>
          </cell>
          <cell r="B2018">
            <v>51.785957000000003</v>
          </cell>
        </row>
        <row r="2019">
          <cell r="A2019">
            <v>42377</v>
          </cell>
          <cell r="B2019">
            <v>51.731144</v>
          </cell>
        </row>
        <row r="2020">
          <cell r="A2020">
            <v>42380</v>
          </cell>
          <cell r="B2020">
            <v>52.818202999999997</v>
          </cell>
        </row>
        <row r="2021">
          <cell r="A2021">
            <v>42381</v>
          </cell>
          <cell r="B2021">
            <v>54.316325999999997</v>
          </cell>
        </row>
        <row r="2022">
          <cell r="A2022">
            <v>42382</v>
          </cell>
          <cell r="B2022">
            <v>52.863880000000002</v>
          </cell>
        </row>
        <row r="2023">
          <cell r="A2023">
            <v>42383</v>
          </cell>
          <cell r="B2023">
            <v>53.877856999999999</v>
          </cell>
        </row>
        <row r="2024">
          <cell r="A2024">
            <v>42384</v>
          </cell>
          <cell r="B2024">
            <v>52.982632000000002</v>
          </cell>
        </row>
        <row r="2025">
          <cell r="A2025">
            <v>42388</v>
          </cell>
          <cell r="B2025">
            <v>53.485061999999999</v>
          </cell>
        </row>
        <row r="2026">
          <cell r="A2026">
            <v>42389</v>
          </cell>
          <cell r="B2026">
            <v>51.996062999999999</v>
          </cell>
        </row>
        <row r="2027">
          <cell r="A2027">
            <v>42390</v>
          </cell>
          <cell r="B2027">
            <v>53.923533999999997</v>
          </cell>
        </row>
        <row r="2028">
          <cell r="A2028">
            <v>42391</v>
          </cell>
          <cell r="B2028">
            <v>54.051414000000001</v>
          </cell>
        </row>
        <row r="2029">
          <cell r="A2029">
            <v>42394</v>
          </cell>
          <cell r="B2029">
            <v>52.717723999999997</v>
          </cell>
        </row>
        <row r="2030">
          <cell r="A2030">
            <v>42395</v>
          </cell>
          <cell r="B2030">
            <v>53.539867000000001</v>
          </cell>
        </row>
        <row r="2031">
          <cell r="A2031">
            <v>42396</v>
          </cell>
          <cell r="B2031">
            <v>52.644646000000002</v>
          </cell>
        </row>
        <row r="2032">
          <cell r="A2032">
            <v>42397</v>
          </cell>
          <cell r="B2032">
            <v>54.161040999999997</v>
          </cell>
        </row>
        <row r="2033">
          <cell r="A2033">
            <v>42398</v>
          </cell>
          <cell r="B2033">
            <v>55.513012000000003</v>
          </cell>
        </row>
        <row r="2034">
          <cell r="A2034">
            <v>42401</v>
          </cell>
          <cell r="B2034">
            <v>56.088520000000003</v>
          </cell>
        </row>
        <row r="2035">
          <cell r="A2035">
            <v>42402</v>
          </cell>
          <cell r="B2035">
            <v>55.630276000000002</v>
          </cell>
        </row>
        <row r="2036">
          <cell r="A2036">
            <v>42403</v>
          </cell>
          <cell r="B2036">
            <v>54.557986999999997</v>
          </cell>
        </row>
        <row r="2037">
          <cell r="A2037">
            <v>42404</v>
          </cell>
          <cell r="B2037">
            <v>53.421557999999997</v>
          </cell>
        </row>
        <row r="2038">
          <cell r="A2038">
            <v>42405</v>
          </cell>
          <cell r="B2038">
            <v>49.938930999999997</v>
          </cell>
        </row>
        <row r="2039">
          <cell r="A2039">
            <v>42408</v>
          </cell>
          <cell r="B2039">
            <v>49.618167999999997</v>
          </cell>
        </row>
        <row r="2040">
          <cell r="A2040">
            <v>42409</v>
          </cell>
          <cell r="B2040">
            <v>49.874789999999997</v>
          </cell>
        </row>
        <row r="2041">
          <cell r="A2041">
            <v>42410</v>
          </cell>
          <cell r="B2041">
            <v>50.534652999999999</v>
          </cell>
        </row>
        <row r="2042">
          <cell r="A2042">
            <v>42411</v>
          </cell>
          <cell r="B2042">
            <v>50.333019</v>
          </cell>
        </row>
        <row r="2043">
          <cell r="A2043">
            <v>42412</v>
          </cell>
          <cell r="B2043">
            <v>51.194510999999999</v>
          </cell>
        </row>
        <row r="2044">
          <cell r="A2044">
            <v>42416</v>
          </cell>
          <cell r="B2044">
            <v>51.698574000000001</v>
          </cell>
        </row>
        <row r="2045">
          <cell r="A2045">
            <v>42417</v>
          </cell>
          <cell r="B2045">
            <v>52.816676999999999</v>
          </cell>
        </row>
        <row r="2046">
          <cell r="A2046">
            <v>42418</v>
          </cell>
          <cell r="B2046">
            <v>52.202637000000003</v>
          </cell>
        </row>
        <row r="2047">
          <cell r="A2047">
            <v>42419</v>
          </cell>
          <cell r="B2047">
            <v>52.853344</v>
          </cell>
        </row>
        <row r="2048">
          <cell r="A2048">
            <v>42422</v>
          </cell>
          <cell r="B2048">
            <v>53.953105999999998</v>
          </cell>
        </row>
        <row r="2049">
          <cell r="A2049">
            <v>42423</v>
          </cell>
          <cell r="B2049">
            <v>53.577365999999998</v>
          </cell>
        </row>
        <row r="2050">
          <cell r="A2050">
            <v>42424</v>
          </cell>
          <cell r="B2050">
            <v>53.256591999999998</v>
          </cell>
        </row>
        <row r="2051">
          <cell r="A2051">
            <v>42425</v>
          </cell>
          <cell r="B2051">
            <v>53.843147000000002</v>
          </cell>
        </row>
        <row r="2052">
          <cell r="A2052">
            <v>42426</v>
          </cell>
          <cell r="B2052">
            <v>53.467384000000003</v>
          </cell>
        </row>
        <row r="2053">
          <cell r="A2053">
            <v>42429</v>
          </cell>
          <cell r="B2053">
            <v>53.348239999999997</v>
          </cell>
        </row>
        <row r="2054">
          <cell r="A2054">
            <v>42430</v>
          </cell>
          <cell r="B2054">
            <v>55.025398000000003</v>
          </cell>
        </row>
        <row r="2055">
          <cell r="A2055">
            <v>42431</v>
          </cell>
          <cell r="B2055">
            <v>54.585490999999998</v>
          </cell>
        </row>
        <row r="2056">
          <cell r="A2056">
            <v>42432</v>
          </cell>
          <cell r="B2056">
            <v>54.108916999999998</v>
          </cell>
        </row>
        <row r="2057">
          <cell r="A2057">
            <v>42433</v>
          </cell>
          <cell r="B2057">
            <v>53.797317999999997</v>
          </cell>
        </row>
        <row r="2058">
          <cell r="A2058">
            <v>42436</v>
          </cell>
          <cell r="B2058">
            <v>53.155785000000002</v>
          </cell>
        </row>
        <row r="2059">
          <cell r="A2059">
            <v>42437</v>
          </cell>
          <cell r="B2059">
            <v>52.789195999999997</v>
          </cell>
        </row>
        <row r="2060">
          <cell r="A2060">
            <v>42438</v>
          </cell>
          <cell r="B2060">
            <v>52.303455</v>
          </cell>
        </row>
        <row r="2061">
          <cell r="A2061">
            <v>42439</v>
          </cell>
          <cell r="B2061">
            <v>52.715873999999999</v>
          </cell>
        </row>
        <row r="2062">
          <cell r="A2062">
            <v>42440</v>
          </cell>
          <cell r="B2062">
            <v>52.780017999999998</v>
          </cell>
        </row>
        <row r="2063">
          <cell r="A2063">
            <v>42443</v>
          </cell>
          <cell r="B2063">
            <v>53.751494999999998</v>
          </cell>
        </row>
        <row r="2064">
          <cell r="A2064">
            <v>42444</v>
          </cell>
          <cell r="B2064">
            <v>54.145580000000002</v>
          </cell>
        </row>
        <row r="2065">
          <cell r="A2065">
            <v>42445</v>
          </cell>
          <cell r="B2065">
            <v>54.686295000000001</v>
          </cell>
        </row>
        <row r="2066">
          <cell r="A2066">
            <v>42446</v>
          </cell>
          <cell r="B2066">
            <v>54.576321</v>
          </cell>
        </row>
        <row r="2067">
          <cell r="A2067">
            <v>42447</v>
          </cell>
          <cell r="B2067">
            <v>54.713787000000004</v>
          </cell>
        </row>
        <row r="2068">
          <cell r="A2068">
            <v>42450</v>
          </cell>
          <cell r="B2068">
            <v>54.163898000000003</v>
          </cell>
        </row>
        <row r="2069">
          <cell r="A2069">
            <v>42451</v>
          </cell>
          <cell r="B2069">
            <v>54.420521000000001</v>
          </cell>
        </row>
        <row r="2070">
          <cell r="A2070">
            <v>42452</v>
          </cell>
          <cell r="B2070">
            <v>53.916466</v>
          </cell>
        </row>
        <row r="2071">
          <cell r="A2071">
            <v>42453</v>
          </cell>
          <cell r="B2071">
            <v>53.485714000000002</v>
          </cell>
        </row>
        <row r="2072">
          <cell r="A2072">
            <v>42457</v>
          </cell>
          <cell r="B2072">
            <v>54.035606000000001</v>
          </cell>
        </row>
        <row r="2073">
          <cell r="A2073">
            <v>42458</v>
          </cell>
          <cell r="B2073">
            <v>54.576321</v>
          </cell>
        </row>
        <row r="2074">
          <cell r="A2074">
            <v>42459</v>
          </cell>
          <cell r="B2074">
            <v>54.997906</v>
          </cell>
        </row>
        <row r="2075">
          <cell r="A2075">
            <v>42460</v>
          </cell>
          <cell r="B2075">
            <v>54.713787000000004</v>
          </cell>
        </row>
        <row r="2076">
          <cell r="A2076">
            <v>42461</v>
          </cell>
          <cell r="B2076">
            <v>55.923549999999999</v>
          </cell>
        </row>
        <row r="2077">
          <cell r="A2077">
            <v>42464</v>
          </cell>
          <cell r="B2077">
            <v>55.217857000000002</v>
          </cell>
        </row>
        <row r="2078">
          <cell r="A2078">
            <v>42465</v>
          </cell>
          <cell r="B2078">
            <v>55.025398000000003</v>
          </cell>
        </row>
        <row r="2079">
          <cell r="A2079">
            <v>42466</v>
          </cell>
          <cell r="B2079">
            <v>55.749409</v>
          </cell>
        </row>
        <row r="2080">
          <cell r="A2080">
            <v>42467</v>
          </cell>
          <cell r="B2080">
            <v>56.061008000000001</v>
          </cell>
        </row>
        <row r="2081">
          <cell r="A2081">
            <v>42468</v>
          </cell>
          <cell r="B2081">
            <v>55.941867999999999</v>
          </cell>
        </row>
        <row r="2082">
          <cell r="A2082">
            <v>42471</v>
          </cell>
          <cell r="B2082">
            <v>55.813572000000001</v>
          </cell>
        </row>
        <row r="2083">
          <cell r="A2083">
            <v>42472</v>
          </cell>
          <cell r="B2083">
            <v>54.530501999999998</v>
          </cell>
        </row>
        <row r="2084">
          <cell r="A2084">
            <v>42473</v>
          </cell>
          <cell r="B2084">
            <v>55.181193999999998</v>
          </cell>
        </row>
        <row r="2085">
          <cell r="A2085">
            <v>42474</v>
          </cell>
          <cell r="B2085">
            <v>55.107880000000002</v>
          </cell>
        </row>
        <row r="2086">
          <cell r="A2086">
            <v>42475</v>
          </cell>
          <cell r="B2086">
            <v>55.456135000000003</v>
          </cell>
        </row>
        <row r="2087">
          <cell r="A2087">
            <v>42478</v>
          </cell>
          <cell r="B2087">
            <v>55.804405000000003</v>
          </cell>
        </row>
        <row r="2088">
          <cell r="A2088">
            <v>42479</v>
          </cell>
          <cell r="B2088">
            <v>55.813572000000001</v>
          </cell>
        </row>
        <row r="2089">
          <cell r="A2089">
            <v>42480</v>
          </cell>
          <cell r="B2089">
            <v>55.813572000000001</v>
          </cell>
        </row>
        <row r="2090">
          <cell r="A2090">
            <v>42481</v>
          </cell>
          <cell r="B2090">
            <v>55.575274999999998</v>
          </cell>
        </row>
        <row r="2091">
          <cell r="A2091">
            <v>42482</v>
          </cell>
          <cell r="B2091">
            <v>52.862507000000001</v>
          </cell>
        </row>
        <row r="2092">
          <cell r="A2092">
            <v>42485</v>
          </cell>
          <cell r="B2092">
            <v>52.944983999999998</v>
          </cell>
        </row>
        <row r="2093">
          <cell r="A2093">
            <v>42486</v>
          </cell>
          <cell r="B2093">
            <v>52.899161999999997</v>
          </cell>
        </row>
        <row r="2094">
          <cell r="A2094">
            <v>42487</v>
          </cell>
          <cell r="B2094">
            <v>52.147655</v>
          </cell>
        </row>
        <row r="2095">
          <cell r="A2095">
            <v>42488</v>
          </cell>
          <cell r="B2095">
            <v>51.707740999999999</v>
          </cell>
        </row>
        <row r="2096">
          <cell r="A2096">
            <v>42489</v>
          </cell>
          <cell r="B2096">
            <v>51.533614999999998</v>
          </cell>
        </row>
        <row r="2097">
          <cell r="A2097">
            <v>42492</v>
          </cell>
          <cell r="B2097">
            <v>52.569237000000001</v>
          </cell>
        </row>
        <row r="2098">
          <cell r="A2098">
            <v>42493</v>
          </cell>
          <cell r="B2098">
            <v>51.732323000000001</v>
          </cell>
        </row>
        <row r="2099">
          <cell r="A2099">
            <v>42494</v>
          </cell>
          <cell r="B2099">
            <v>51.861072999999998</v>
          </cell>
        </row>
        <row r="2100">
          <cell r="A2100">
            <v>42495</v>
          </cell>
          <cell r="B2100">
            <v>51.732323000000001</v>
          </cell>
        </row>
        <row r="2101">
          <cell r="A2101">
            <v>42496</v>
          </cell>
          <cell r="B2101">
            <v>51.787502000000003</v>
          </cell>
        </row>
        <row r="2102">
          <cell r="A2102">
            <v>42499</v>
          </cell>
          <cell r="B2102">
            <v>52.090995999999997</v>
          </cell>
        </row>
        <row r="2103">
          <cell r="A2103">
            <v>42500</v>
          </cell>
          <cell r="B2103">
            <v>52.872737999999998</v>
          </cell>
        </row>
        <row r="2104">
          <cell r="A2104">
            <v>42501</v>
          </cell>
          <cell r="B2104">
            <v>51.713923999999999</v>
          </cell>
        </row>
        <row r="2105">
          <cell r="A2105">
            <v>42502</v>
          </cell>
          <cell r="B2105">
            <v>51.778309</v>
          </cell>
        </row>
        <row r="2106">
          <cell r="A2106">
            <v>42503</v>
          </cell>
          <cell r="B2106">
            <v>51.336857000000002</v>
          </cell>
        </row>
        <row r="2107">
          <cell r="A2107">
            <v>42506</v>
          </cell>
          <cell r="B2107">
            <v>51.070144999999997</v>
          </cell>
        </row>
        <row r="2108">
          <cell r="A2108">
            <v>42507</v>
          </cell>
          <cell r="B2108">
            <v>50.472355</v>
          </cell>
        </row>
        <row r="2109">
          <cell r="A2109">
            <v>42508</v>
          </cell>
          <cell r="B2109">
            <v>50.398781</v>
          </cell>
        </row>
        <row r="2110">
          <cell r="A2110">
            <v>42509</v>
          </cell>
          <cell r="B2110">
            <v>50.168858</v>
          </cell>
        </row>
        <row r="2111">
          <cell r="A2111">
            <v>42510</v>
          </cell>
          <cell r="B2111">
            <v>50.233231000000004</v>
          </cell>
        </row>
        <row r="2112">
          <cell r="A2112">
            <v>42513</v>
          </cell>
          <cell r="B2112">
            <v>50.214835999999998</v>
          </cell>
        </row>
        <row r="2113">
          <cell r="A2113">
            <v>42514</v>
          </cell>
          <cell r="B2113">
            <v>50.987369999999999</v>
          </cell>
        </row>
        <row r="2114">
          <cell r="A2114">
            <v>42515</v>
          </cell>
          <cell r="B2114">
            <v>50.720672999999998</v>
          </cell>
        </row>
        <row r="2115">
          <cell r="A2115">
            <v>42516</v>
          </cell>
          <cell r="B2115">
            <v>50.849418999999997</v>
          </cell>
        </row>
        <row r="2116">
          <cell r="A2116">
            <v>42517</v>
          </cell>
          <cell r="B2116">
            <v>50.720672999999998</v>
          </cell>
        </row>
        <row r="2117">
          <cell r="A2117">
            <v>42521</v>
          </cell>
          <cell r="B2117">
            <v>50.481544</v>
          </cell>
        </row>
        <row r="2118">
          <cell r="A2118">
            <v>42522</v>
          </cell>
          <cell r="B2118">
            <v>50.417171000000003</v>
          </cell>
        </row>
        <row r="2119">
          <cell r="A2119">
            <v>42523</v>
          </cell>
          <cell r="B2119">
            <v>50.233231000000004</v>
          </cell>
        </row>
        <row r="2120">
          <cell r="A2120">
            <v>42524</v>
          </cell>
          <cell r="B2120">
            <v>50.224037000000003</v>
          </cell>
        </row>
        <row r="2121">
          <cell r="A2121">
            <v>42527</v>
          </cell>
          <cell r="B2121">
            <v>51.125335999999997</v>
          </cell>
        </row>
        <row r="2122">
          <cell r="A2122">
            <v>42528</v>
          </cell>
          <cell r="B2122">
            <v>50.858615999999998</v>
          </cell>
        </row>
        <row r="2123">
          <cell r="A2123">
            <v>42529</v>
          </cell>
          <cell r="B2123">
            <v>50.785046000000001</v>
          </cell>
        </row>
        <row r="2124">
          <cell r="A2124">
            <v>42530</v>
          </cell>
          <cell r="B2124">
            <v>51.116135</v>
          </cell>
        </row>
        <row r="2125">
          <cell r="A2125">
            <v>42531</v>
          </cell>
          <cell r="B2125">
            <v>50.463158</v>
          </cell>
        </row>
        <row r="2126">
          <cell r="A2126">
            <v>42534</v>
          </cell>
          <cell r="B2126">
            <v>50.619503000000002</v>
          </cell>
        </row>
        <row r="2127">
          <cell r="A2127">
            <v>42535</v>
          </cell>
          <cell r="B2127">
            <v>51.106940999999999</v>
          </cell>
        </row>
        <row r="2128">
          <cell r="A2128">
            <v>42536</v>
          </cell>
          <cell r="B2128">
            <v>50.904601999999997</v>
          </cell>
        </row>
        <row r="2129">
          <cell r="A2129">
            <v>42537</v>
          </cell>
          <cell r="B2129">
            <v>51.070144999999997</v>
          </cell>
        </row>
        <row r="2130">
          <cell r="A2130">
            <v>42538</v>
          </cell>
          <cell r="B2130">
            <v>50.867812999999998</v>
          </cell>
        </row>
        <row r="2131">
          <cell r="A2131">
            <v>42541</v>
          </cell>
          <cell r="B2131">
            <v>50.932189999999999</v>
          </cell>
        </row>
        <row r="2132">
          <cell r="A2132">
            <v>42542</v>
          </cell>
          <cell r="B2132">
            <v>51.327660000000002</v>
          </cell>
        </row>
        <row r="2133">
          <cell r="A2133">
            <v>42543</v>
          </cell>
          <cell r="B2133">
            <v>51.143723000000001</v>
          </cell>
        </row>
        <row r="2134">
          <cell r="A2134">
            <v>42544</v>
          </cell>
          <cell r="B2134">
            <v>51.621960000000001</v>
          </cell>
        </row>
        <row r="2135">
          <cell r="A2135">
            <v>42545</v>
          </cell>
          <cell r="B2135">
            <v>50.288418</v>
          </cell>
        </row>
        <row r="2136">
          <cell r="A2136">
            <v>42548</v>
          </cell>
          <cell r="B2136">
            <v>49.377929999999999</v>
          </cell>
        </row>
        <row r="2137">
          <cell r="A2137">
            <v>42549</v>
          </cell>
          <cell r="B2137">
            <v>50.444763000000002</v>
          </cell>
        </row>
        <row r="2138">
          <cell r="A2138">
            <v>42550</v>
          </cell>
          <cell r="B2138">
            <v>52.182971999999999</v>
          </cell>
        </row>
        <row r="2139">
          <cell r="A2139">
            <v>42551</v>
          </cell>
          <cell r="B2139">
            <v>52.532443999999998</v>
          </cell>
        </row>
        <row r="2140">
          <cell r="A2140">
            <v>42552</v>
          </cell>
          <cell r="B2140">
            <v>52.412891000000002</v>
          </cell>
        </row>
        <row r="2141">
          <cell r="A2141">
            <v>42556</v>
          </cell>
          <cell r="B2141">
            <v>52.210555999999997</v>
          </cell>
        </row>
        <row r="2142">
          <cell r="A2142">
            <v>42557</v>
          </cell>
          <cell r="B2142">
            <v>52.192157999999999</v>
          </cell>
        </row>
        <row r="2143">
          <cell r="A2143">
            <v>42558</v>
          </cell>
          <cell r="B2143">
            <v>52.339309999999998</v>
          </cell>
        </row>
        <row r="2144">
          <cell r="A2144">
            <v>42559</v>
          </cell>
          <cell r="B2144">
            <v>51.971438999999997</v>
          </cell>
        </row>
        <row r="2145">
          <cell r="A2145">
            <v>42562</v>
          </cell>
          <cell r="B2145">
            <v>51.796700000000001</v>
          </cell>
        </row>
        <row r="2146">
          <cell r="A2146">
            <v>42563</v>
          </cell>
          <cell r="B2146">
            <v>52.863532999999997</v>
          </cell>
        </row>
        <row r="2147">
          <cell r="A2147">
            <v>42564</v>
          </cell>
          <cell r="B2147">
            <v>51.943848000000003</v>
          </cell>
        </row>
        <row r="2148">
          <cell r="A2148">
            <v>42565</v>
          </cell>
          <cell r="B2148">
            <v>52.964694999999999</v>
          </cell>
        </row>
        <row r="2149">
          <cell r="A2149">
            <v>42566</v>
          </cell>
          <cell r="B2149">
            <v>52.799149</v>
          </cell>
        </row>
        <row r="2150">
          <cell r="A2150">
            <v>42569</v>
          </cell>
          <cell r="B2150">
            <v>52.348511000000002</v>
          </cell>
        </row>
        <row r="2151">
          <cell r="A2151">
            <v>42570</v>
          </cell>
          <cell r="B2151">
            <v>52.201358999999997</v>
          </cell>
        </row>
        <row r="2152">
          <cell r="A2152">
            <v>42571</v>
          </cell>
          <cell r="B2152">
            <v>52.91872</v>
          </cell>
        </row>
        <row r="2153">
          <cell r="A2153">
            <v>42572</v>
          </cell>
          <cell r="B2153">
            <v>52.973896000000003</v>
          </cell>
        </row>
        <row r="2154">
          <cell r="A2154">
            <v>42573</v>
          </cell>
          <cell r="B2154">
            <v>53.249805000000002</v>
          </cell>
        </row>
        <row r="2155">
          <cell r="A2155">
            <v>42576</v>
          </cell>
          <cell r="B2155">
            <v>53.295783999999998</v>
          </cell>
        </row>
        <row r="2156">
          <cell r="A2156">
            <v>42577</v>
          </cell>
          <cell r="B2156">
            <v>53.626880999999997</v>
          </cell>
        </row>
        <row r="2157">
          <cell r="A2157">
            <v>42578</v>
          </cell>
          <cell r="B2157">
            <v>53.203811999999999</v>
          </cell>
        </row>
        <row r="2158">
          <cell r="A2158">
            <v>42579</v>
          </cell>
          <cell r="B2158">
            <v>53.534892999999997</v>
          </cell>
        </row>
        <row r="2159">
          <cell r="A2159">
            <v>42580</v>
          </cell>
          <cell r="B2159">
            <v>53.387752999999996</v>
          </cell>
        </row>
        <row r="2160">
          <cell r="A2160">
            <v>42583</v>
          </cell>
          <cell r="B2160">
            <v>53.001480000000001</v>
          </cell>
        </row>
        <row r="2161">
          <cell r="A2161">
            <v>42584</v>
          </cell>
          <cell r="B2161">
            <v>52.355468999999999</v>
          </cell>
        </row>
        <row r="2162">
          <cell r="A2162">
            <v>42585</v>
          </cell>
          <cell r="B2162">
            <v>51.626381000000002</v>
          </cell>
        </row>
        <row r="2163">
          <cell r="A2163">
            <v>42586</v>
          </cell>
          <cell r="B2163">
            <v>51.146484000000001</v>
          </cell>
        </row>
        <row r="2164">
          <cell r="A2164">
            <v>42587</v>
          </cell>
          <cell r="B2164">
            <v>51.589474000000003</v>
          </cell>
        </row>
        <row r="2165">
          <cell r="A2165">
            <v>42590</v>
          </cell>
          <cell r="B2165">
            <v>51.09111</v>
          </cell>
        </row>
        <row r="2166">
          <cell r="A2166">
            <v>42591</v>
          </cell>
          <cell r="B2166">
            <v>50.943446999999999</v>
          </cell>
        </row>
        <row r="2167">
          <cell r="A2167">
            <v>42592</v>
          </cell>
          <cell r="B2167">
            <v>51.331054999999999</v>
          </cell>
        </row>
        <row r="2168">
          <cell r="A2168">
            <v>42593</v>
          </cell>
          <cell r="B2168">
            <v>51.192627000000002</v>
          </cell>
        </row>
        <row r="2169">
          <cell r="A2169">
            <v>42594</v>
          </cell>
          <cell r="B2169">
            <v>51.192627000000002</v>
          </cell>
        </row>
        <row r="2170">
          <cell r="A2170">
            <v>42597</v>
          </cell>
          <cell r="B2170">
            <v>50.98959</v>
          </cell>
        </row>
        <row r="2171">
          <cell r="A2171">
            <v>42598</v>
          </cell>
          <cell r="B2171">
            <v>51.100333999999997</v>
          </cell>
        </row>
        <row r="2172">
          <cell r="A2172">
            <v>42599</v>
          </cell>
          <cell r="B2172">
            <v>51.497180999999998</v>
          </cell>
        </row>
        <row r="2173">
          <cell r="A2173">
            <v>42600</v>
          </cell>
          <cell r="B2173">
            <v>51.247996999999998</v>
          </cell>
        </row>
        <row r="2174">
          <cell r="A2174">
            <v>42601</v>
          </cell>
          <cell r="B2174">
            <v>50.703487000000003</v>
          </cell>
        </row>
        <row r="2175">
          <cell r="A2175">
            <v>42604</v>
          </cell>
          <cell r="B2175">
            <v>51.543323999999998</v>
          </cell>
        </row>
        <row r="2176">
          <cell r="A2176">
            <v>42605</v>
          </cell>
          <cell r="B2176">
            <v>52.050919</v>
          </cell>
        </row>
        <row r="2177">
          <cell r="A2177">
            <v>42606</v>
          </cell>
          <cell r="B2177">
            <v>52.687702000000002</v>
          </cell>
        </row>
        <row r="2178">
          <cell r="A2178">
            <v>42607</v>
          </cell>
          <cell r="B2178">
            <v>52.872280000000003</v>
          </cell>
        </row>
        <row r="2179">
          <cell r="A2179">
            <v>42608</v>
          </cell>
          <cell r="B2179">
            <v>52.872280000000003</v>
          </cell>
        </row>
        <row r="2180">
          <cell r="A2180">
            <v>42611</v>
          </cell>
          <cell r="B2180">
            <v>52.420059000000002</v>
          </cell>
        </row>
        <row r="2181">
          <cell r="A2181">
            <v>42612</v>
          </cell>
          <cell r="B2181">
            <v>52.050919</v>
          </cell>
        </row>
        <row r="2182">
          <cell r="A2182">
            <v>42613</v>
          </cell>
          <cell r="B2182">
            <v>51.894016000000001</v>
          </cell>
        </row>
        <row r="2183">
          <cell r="A2183">
            <v>42614</v>
          </cell>
          <cell r="B2183">
            <v>51.967846000000002</v>
          </cell>
        </row>
        <row r="2184">
          <cell r="A2184">
            <v>42615</v>
          </cell>
          <cell r="B2184">
            <v>51.847878000000001</v>
          </cell>
        </row>
        <row r="2185">
          <cell r="A2185">
            <v>42619</v>
          </cell>
          <cell r="B2185">
            <v>51.700211000000003</v>
          </cell>
        </row>
        <row r="2186">
          <cell r="A2186">
            <v>42620</v>
          </cell>
          <cell r="B2186">
            <v>51.977080999999998</v>
          </cell>
        </row>
        <row r="2187">
          <cell r="A2187">
            <v>42621</v>
          </cell>
          <cell r="B2187">
            <v>51.035732000000003</v>
          </cell>
        </row>
        <row r="2188">
          <cell r="A2188">
            <v>42622</v>
          </cell>
          <cell r="B2188">
            <v>50.158985000000001</v>
          </cell>
        </row>
        <row r="2189">
          <cell r="A2189">
            <v>42625</v>
          </cell>
          <cell r="B2189">
            <v>50.491233999999999</v>
          </cell>
        </row>
        <row r="2190">
          <cell r="A2190">
            <v>42626</v>
          </cell>
          <cell r="B2190">
            <v>49.817523999999999</v>
          </cell>
        </row>
        <row r="2191">
          <cell r="A2191">
            <v>42627</v>
          </cell>
          <cell r="B2191">
            <v>49.743698000000002</v>
          </cell>
        </row>
        <row r="2192">
          <cell r="A2192">
            <v>42628</v>
          </cell>
          <cell r="B2192">
            <v>49.937491999999999</v>
          </cell>
        </row>
        <row r="2193">
          <cell r="A2193">
            <v>42629</v>
          </cell>
          <cell r="B2193">
            <v>49.596035000000001</v>
          </cell>
        </row>
        <row r="2194">
          <cell r="A2194">
            <v>42632</v>
          </cell>
          <cell r="B2194">
            <v>48.922325000000001</v>
          </cell>
        </row>
        <row r="2195">
          <cell r="A2195">
            <v>42633</v>
          </cell>
          <cell r="B2195">
            <v>49.189948999999999</v>
          </cell>
        </row>
        <row r="2196">
          <cell r="A2196">
            <v>42634</v>
          </cell>
          <cell r="B2196">
            <v>49.817523999999999</v>
          </cell>
        </row>
        <row r="2197">
          <cell r="A2197">
            <v>42635</v>
          </cell>
          <cell r="B2197">
            <v>50.195908000000003</v>
          </cell>
        </row>
        <row r="2198">
          <cell r="A2198">
            <v>42636</v>
          </cell>
          <cell r="B2198">
            <v>50.232818999999999</v>
          </cell>
        </row>
        <row r="2199">
          <cell r="A2199">
            <v>42639</v>
          </cell>
          <cell r="B2199">
            <v>49.872897999999999</v>
          </cell>
        </row>
        <row r="2200">
          <cell r="A2200">
            <v>42640</v>
          </cell>
          <cell r="B2200">
            <v>50.011330000000001</v>
          </cell>
        </row>
        <row r="2201">
          <cell r="A2201">
            <v>42641</v>
          </cell>
          <cell r="B2201">
            <v>49.817523999999999</v>
          </cell>
        </row>
        <row r="2202">
          <cell r="A2202">
            <v>42642</v>
          </cell>
          <cell r="B2202">
            <v>49.328384</v>
          </cell>
        </row>
        <row r="2203">
          <cell r="A2203">
            <v>42643</v>
          </cell>
          <cell r="B2203">
            <v>49.965178999999999</v>
          </cell>
        </row>
        <row r="2204">
          <cell r="A2204">
            <v>42646</v>
          </cell>
          <cell r="B2204">
            <v>49.688319999999997</v>
          </cell>
        </row>
        <row r="2205">
          <cell r="A2205">
            <v>42647</v>
          </cell>
          <cell r="B2205">
            <v>49.402222000000002</v>
          </cell>
        </row>
        <row r="2206">
          <cell r="A2206">
            <v>42648</v>
          </cell>
          <cell r="B2206">
            <v>49.236099000000003</v>
          </cell>
        </row>
        <row r="2207">
          <cell r="A2207">
            <v>42649</v>
          </cell>
          <cell r="B2207">
            <v>49.042293999999998</v>
          </cell>
        </row>
        <row r="2208">
          <cell r="A2208">
            <v>42650</v>
          </cell>
          <cell r="B2208">
            <v>49.337615999999997</v>
          </cell>
        </row>
        <row r="2209">
          <cell r="A2209">
            <v>42653</v>
          </cell>
          <cell r="B2209">
            <v>49.189948999999999</v>
          </cell>
        </row>
        <row r="2210">
          <cell r="A2210">
            <v>42654</v>
          </cell>
          <cell r="B2210">
            <v>48.839252000000002</v>
          </cell>
        </row>
        <row r="2211">
          <cell r="A2211">
            <v>42655</v>
          </cell>
          <cell r="B2211">
            <v>49.060752999999998</v>
          </cell>
        </row>
        <row r="2212">
          <cell r="A2212">
            <v>42656</v>
          </cell>
          <cell r="B2212">
            <v>48.866947000000003</v>
          </cell>
        </row>
        <row r="2213">
          <cell r="A2213">
            <v>42657</v>
          </cell>
          <cell r="B2213">
            <v>48.986930999999998</v>
          </cell>
        </row>
        <row r="2214">
          <cell r="A2214">
            <v>42660</v>
          </cell>
          <cell r="B2214">
            <v>48.691589</v>
          </cell>
        </row>
        <row r="2215">
          <cell r="A2215">
            <v>42661</v>
          </cell>
          <cell r="B2215">
            <v>48.553158000000003</v>
          </cell>
        </row>
        <row r="2216">
          <cell r="A2216">
            <v>42662</v>
          </cell>
          <cell r="B2216">
            <v>49.051529000000002</v>
          </cell>
        </row>
        <row r="2217">
          <cell r="A2217">
            <v>42663</v>
          </cell>
          <cell r="B2217">
            <v>49.457596000000002</v>
          </cell>
        </row>
        <row r="2218">
          <cell r="A2218">
            <v>42664</v>
          </cell>
          <cell r="B2218">
            <v>49.494506999999999</v>
          </cell>
        </row>
        <row r="2219">
          <cell r="A2219">
            <v>42667</v>
          </cell>
          <cell r="B2219">
            <v>50.002102000000001</v>
          </cell>
        </row>
        <row r="2220">
          <cell r="A2220">
            <v>42668</v>
          </cell>
          <cell r="B2220">
            <v>49.531424999999999</v>
          </cell>
        </row>
        <row r="2221">
          <cell r="A2221">
            <v>42669</v>
          </cell>
          <cell r="B2221">
            <v>49.494506999999999</v>
          </cell>
        </row>
        <row r="2222">
          <cell r="A2222">
            <v>42670</v>
          </cell>
          <cell r="B2222">
            <v>49.457596000000002</v>
          </cell>
        </row>
        <row r="2223">
          <cell r="A2223">
            <v>42671</v>
          </cell>
          <cell r="B2223">
            <v>49.402222000000002</v>
          </cell>
        </row>
        <row r="2224">
          <cell r="A2224">
            <v>42674</v>
          </cell>
          <cell r="B2224">
            <v>48.977699000000001</v>
          </cell>
        </row>
        <row r="2225">
          <cell r="A2225">
            <v>42675</v>
          </cell>
          <cell r="B2225">
            <v>48.451644999999999</v>
          </cell>
        </row>
        <row r="2226">
          <cell r="A2226">
            <v>42676</v>
          </cell>
          <cell r="B2226">
            <v>48.894634000000003</v>
          </cell>
        </row>
        <row r="2227">
          <cell r="A2227">
            <v>42677</v>
          </cell>
          <cell r="B2227">
            <v>47.777934999999999</v>
          </cell>
        </row>
        <row r="2228">
          <cell r="A2228">
            <v>42678</v>
          </cell>
          <cell r="B2228">
            <v>48.682364999999997</v>
          </cell>
        </row>
        <row r="2229">
          <cell r="A2229">
            <v>42681</v>
          </cell>
          <cell r="B2229">
            <v>50.288196999999997</v>
          </cell>
        </row>
        <row r="2230">
          <cell r="A2230">
            <v>42682</v>
          </cell>
          <cell r="B2230">
            <v>50.408172999999998</v>
          </cell>
        </row>
        <row r="2231">
          <cell r="A2231">
            <v>42683</v>
          </cell>
          <cell r="B2231">
            <v>50.371254</v>
          </cell>
        </row>
        <row r="2232">
          <cell r="A2232">
            <v>42684</v>
          </cell>
          <cell r="B2232">
            <v>49.439137000000002</v>
          </cell>
        </row>
        <row r="2233">
          <cell r="A2233">
            <v>42685</v>
          </cell>
          <cell r="B2233">
            <v>49.771377999999999</v>
          </cell>
        </row>
        <row r="2234">
          <cell r="A2234">
            <v>42688</v>
          </cell>
          <cell r="B2234">
            <v>50.039009</v>
          </cell>
        </row>
        <row r="2235">
          <cell r="A2235">
            <v>42689</v>
          </cell>
          <cell r="B2235">
            <v>50.613857000000003</v>
          </cell>
        </row>
        <row r="2236">
          <cell r="A2236">
            <v>42690</v>
          </cell>
          <cell r="B2236">
            <v>51.401938999999999</v>
          </cell>
        </row>
        <row r="2237">
          <cell r="A2237">
            <v>42691</v>
          </cell>
          <cell r="B2237">
            <v>51.782085000000002</v>
          </cell>
        </row>
        <row r="2238">
          <cell r="A2238">
            <v>42692</v>
          </cell>
          <cell r="B2238">
            <v>51.707904999999997</v>
          </cell>
        </row>
        <row r="2239">
          <cell r="A2239">
            <v>42695</v>
          </cell>
          <cell r="B2239">
            <v>52.013869999999997</v>
          </cell>
        </row>
        <row r="2240">
          <cell r="A2240">
            <v>42696</v>
          </cell>
          <cell r="B2240">
            <v>52.959578999999998</v>
          </cell>
        </row>
        <row r="2241">
          <cell r="A2241">
            <v>42697</v>
          </cell>
          <cell r="B2241">
            <v>53.395347999999998</v>
          </cell>
        </row>
        <row r="2242">
          <cell r="A2242">
            <v>42699</v>
          </cell>
          <cell r="B2242">
            <v>53.247005000000001</v>
          </cell>
        </row>
        <row r="2243">
          <cell r="A2243">
            <v>42702</v>
          </cell>
          <cell r="B2243">
            <v>53.395347999999998</v>
          </cell>
        </row>
        <row r="2244">
          <cell r="A2244">
            <v>42703</v>
          </cell>
          <cell r="B2244">
            <v>53.933098000000001</v>
          </cell>
        </row>
        <row r="2245">
          <cell r="A2245">
            <v>42704</v>
          </cell>
          <cell r="B2245">
            <v>53.747661999999998</v>
          </cell>
        </row>
        <row r="2246">
          <cell r="A2246">
            <v>42705</v>
          </cell>
          <cell r="B2246">
            <v>54.248336999999999</v>
          </cell>
        </row>
        <row r="2247">
          <cell r="A2247">
            <v>42706</v>
          </cell>
          <cell r="B2247">
            <v>53.043022000000001</v>
          </cell>
        </row>
        <row r="2248">
          <cell r="A2248">
            <v>42709</v>
          </cell>
          <cell r="B2248">
            <v>53.311892999999998</v>
          </cell>
        </row>
        <row r="2249">
          <cell r="A2249">
            <v>42710</v>
          </cell>
          <cell r="B2249">
            <v>53.256259999999997</v>
          </cell>
        </row>
        <row r="2250">
          <cell r="A2250">
            <v>42711</v>
          </cell>
          <cell r="B2250">
            <v>54.480122000000001</v>
          </cell>
        </row>
        <row r="2251">
          <cell r="A2251">
            <v>42712</v>
          </cell>
          <cell r="B2251">
            <v>54.378138999999997</v>
          </cell>
        </row>
        <row r="2252">
          <cell r="A2252">
            <v>42713</v>
          </cell>
          <cell r="B2252">
            <v>54.470860000000002</v>
          </cell>
        </row>
        <row r="2253">
          <cell r="A2253">
            <v>42716</v>
          </cell>
          <cell r="B2253">
            <v>54.489395000000002</v>
          </cell>
        </row>
        <row r="2254">
          <cell r="A2254">
            <v>42717</v>
          </cell>
          <cell r="B2254">
            <v>54.990067000000003</v>
          </cell>
        </row>
        <row r="2255">
          <cell r="A2255">
            <v>42718</v>
          </cell>
          <cell r="B2255">
            <v>54.470860000000002</v>
          </cell>
        </row>
        <row r="2256">
          <cell r="A2256">
            <v>42719</v>
          </cell>
          <cell r="B2256">
            <v>53.506599000000001</v>
          </cell>
        </row>
        <row r="2257">
          <cell r="A2257">
            <v>42720</v>
          </cell>
          <cell r="B2257">
            <v>53.460247000000003</v>
          </cell>
        </row>
        <row r="2258">
          <cell r="A2258">
            <v>42723</v>
          </cell>
          <cell r="B2258">
            <v>53.450966000000001</v>
          </cell>
        </row>
        <row r="2259">
          <cell r="A2259">
            <v>42724</v>
          </cell>
          <cell r="B2259">
            <v>53.497334000000002</v>
          </cell>
        </row>
        <row r="2260">
          <cell r="A2260">
            <v>42725</v>
          </cell>
          <cell r="B2260">
            <v>53.256259999999997</v>
          </cell>
        </row>
        <row r="2261">
          <cell r="A2261">
            <v>42726</v>
          </cell>
          <cell r="B2261">
            <v>52.950313999999999</v>
          </cell>
        </row>
        <row r="2262">
          <cell r="A2262">
            <v>42727</v>
          </cell>
          <cell r="B2262">
            <v>52.857590000000002</v>
          </cell>
        </row>
        <row r="2263">
          <cell r="A2263">
            <v>42731</v>
          </cell>
          <cell r="B2263">
            <v>52.718521000000003</v>
          </cell>
        </row>
        <row r="2264">
          <cell r="A2264">
            <v>42732</v>
          </cell>
          <cell r="B2264">
            <v>52.245663</v>
          </cell>
        </row>
        <row r="2265">
          <cell r="A2265">
            <v>42733</v>
          </cell>
          <cell r="B2265">
            <v>52.217854000000003</v>
          </cell>
        </row>
        <row r="2266">
          <cell r="A2266">
            <v>42734</v>
          </cell>
          <cell r="B2266">
            <v>51.476115999999998</v>
          </cell>
        </row>
        <row r="2267">
          <cell r="A2267">
            <v>42738</v>
          </cell>
          <cell r="B2267">
            <v>51.318497000000001</v>
          </cell>
        </row>
        <row r="2268">
          <cell r="A2268">
            <v>42739</v>
          </cell>
          <cell r="B2268">
            <v>51.911887999999998</v>
          </cell>
        </row>
        <row r="2269">
          <cell r="A2269">
            <v>42740</v>
          </cell>
          <cell r="B2269">
            <v>52.347645</v>
          </cell>
        </row>
        <row r="2270">
          <cell r="A2270">
            <v>42741</v>
          </cell>
          <cell r="B2270">
            <v>52.968848999999999</v>
          </cell>
        </row>
        <row r="2271">
          <cell r="A2271">
            <v>42744</v>
          </cell>
          <cell r="B2271">
            <v>53.960911000000003</v>
          </cell>
        </row>
        <row r="2272">
          <cell r="A2272">
            <v>42745</v>
          </cell>
          <cell r="B2272">
            <v>53.664226999999997</v>
          </cell>
        </row>
        <row r="2273">
          <cell r="A2273">
            <v>42746</v>
          </cell>
          <cell r="B2273">
            <v>53.868201999999997</v>
          </cell>
        </row>
        <row r="2274">
          <cell r="A2274">
            <v>42747</v>
          </cell>
          <cell r="B2274">
            <v>53.803294999999999</v>
          </cell>
        </row>
        <row r="2275">
          <cell r="A2275">
            <v>42748</v>
          </cell>
          <cell r="B2275">
            <v>53.636414000000002</v>
          </cell>
        </row>
        <row r="2276">
          <cell r="A2276">
            <v>42752</v>
          </cell>
          <cell r="B2276">
            <v>53.775481999999997</v>
          </cell>
        </row>
        <row r="2277">
          <cell r="A2277">
            <v>42753</v>
          </cell>
          <cell r="B2277">
            <v>54.192698999999998</v>
          </cell>
        </row>
        <row r="2278">
          <cell r="A2278">
            <v>42754</v>
          </cell>
          <cell r="B2278">
            <v>53.673488999999996</v>
          </cell>
        </row>
        <row r="2279">
          <cell r="A2279">
            <v>42755</v>
          </cell>
          <cell r="B2279">
            <v>53.460247000000003</v>
          </cell>
        </row>
        <row r="2280">
          <cell r="A2280">
            <v>42758</v>
          </cell>
          <cell r="B2280">
            <v>53.552959000000001</v>
          </cell>
        </row>
        <row r="2281">
          <cell r="A2281">
            <v>42759</v>
          </cell>
          <cell r="B2281">
            <v>54.183433999999998</v>
          </cell>
        </row>
        <row r="2282">
          <cell r="A2282">
            <v>42760</v>
          </cell>
          <cell r="B2282">
            <v>54.424495999999998</v>
          </cell>
        </row>
        <row r="2283">
          <cell r="A2283">
            <v>42761</v>
          </cell>
          <cell r="B2283">
            <v>54.201973000000002</v>
          </cell>
        </row>
        <row r="2284">
          <cell r="A2284">
            <v>42762</v>
          </cell>
          <cell r="B2284">
            <v>52.032409999999999</v>
          </cell>
        </row>
        <row r="2285">
          <cell r="A2285">
            <v>42765</v>
          </cell>
          <cell r="B2285">
            <v>51.828442000000003</v>
          </cell>
        </row>
        <row r="2286">
          <cell r="A2286">
            <v>42766</v>
          </cell>
          <cell r="B2286">
            <v>51.197975</v>
          </cell>
        </row>
        <row r="2287">
          <cell r="A2287">
            <v>42767</v>
          </cell>
          <cell r="B2287">
            <v>49.974120999999997</v>
          </cell>
        </row>
        <row r="2288">
          <cell r="A2288">
            <v>42768</v>
          </cell>
          <cell r="B2288">
            <v>49.946300999999998</v>
          </cell>
        </row>
        <row r="2289">
          <cell r="A2289">
            <v>42769</v>
          </cell>
          <cell r="B2289">
            <v>51.049624999999999</v>
          </cell>
        </row>
        <row r="2290">
          <cell r="A2290">
            <v>42772</v>
          </cell>
          <cell r="B2290">
            <v>51.670817999999997</v>
          </cell>
        </row>
        <row r="2291">
          <cell r="A2291">
            <v>42773</v>
          </cell>
          <cell r="B2291">
            <v>51.447299999999998</v>
          </cell>
        </row>
        <row r="2292">
          <cell r="A2292">
            <v>42774</v>
          </cell>
          <cell r="B2292">
            <v>51.428677</v>
          </cell>
        </row>
        <row r="2293">
          <cell r="A2293">
            <v>42775</v>
          </cell>
          <cell r="B2293">
            <v>51.978161</v>
          </cell>
        </row>
        <row r="2294">
          <cell r="A2294">
            <v>42776</v>
          </cell>
          <cell r="B2294">
            <v>52.360011999999998</v>
          </cell>
        </row>
        <row r="2295">
          <cell r="A2295">
            <v>42779</v>
          </cell>
          <cell r="B2295">
            <v>52.257572000000003</v>
          </cell>
        </row>
        <row r="2296">
          <cell r="A2296">
            <v>42780</v>
          </cell>
          <cell r="B2296">
            <v>52.695292999999999</v>
          </cell>
        </row>
        <row r="2297">
          <cell r="A2297">
            <v>42781</v>
          </cell>
          <cell r="B2297">
            <v>52.956077999999998</v>
          </cell>
        </row>
        <row r="2298">
          <cell r="A2298">
            <v>42782</v>
          </cell>
          <cell r="B2298">
            <v>52.834991000000002</v>
          </cell>
        </row>
        <row r="2299">
          <cell r="A2299">
            <v>42783</v>
          </cell>
          <cell r="B2299">
            <v>53.412430000000001</v>
          </cell>
        </row>
        <row r="2300">
          <cell r="A2300">
            <v>42787</v>
          </cell>
          <cell r="B2300">
            <v>53.589393999999999</v>
          </cell>
        </row>
        <row r="2301">
          <cell r="A2301">
            <v>42788</v>
          </cell>
          <cell r="B2301">
            <v>53.617328999999998</v>
          </cell>
        </row>
        <row r="2302">
          <cell r="A2302">
            <v>42789</v>
          </cell>
          <cell r="B2302">
            <v>53.682521999999999</v>
          </cell>
        </row>
        <row r="2303">
          <cell r="A2303">
            <v>42790</v>
          </cell>
          <cell r="B2303">
            <v>53.533507999999998</v>
          </cell>
        </row>
        <row r="2304">
          <cell r="A2304">
            <v>42793</v>
          </cell>
          <cell r="B2304">
            <v>52.881557000000001</v>
          </cell>
        </row>
        <row r="2305">
          <cell r="A2305">
            <v>42794</v>
          </cell>
          <cell r="B2305">
            <v>52.965384999999998</v>
          </cell>
        </row>
        <row r="2306">
          <cell r="A2306">
            <v>42795</v>
          </cell>
          <cell r="B2306">
            <v>53.216853999999998</v>
          </cell>
        </row>
        <row r="2307">
          <cell r="A2307">
            <v>42796</v>
          </cell>
          <cell r="B2307">
            <v>53.198219000000002</v>
          </cell>
        </row>
        <row r="2308">
          <cell r="A2308">
            <v>42797</v>
          </cell>
          <cell r="B2308">
            <v>53.179595999999997</v>
          </cell>
        </row>
        <row r="2309">
          <cell r="A2309">
            <v>42800</v>
          </cell>
          <cell r="B2309">
            <v>52.788429000000001</v>
          </cell>
        </row>
        <row r="2310">
          <cell r="A2310">
            <v>42801</v>
          </cell>
          <cell r="B2310">
            <v>52.341392999999997</v>
          </cell>
        </row>
        <row r="2311">
          <cell r="A2311">
            <v>42802</v>
          </cell>
          <cell r="B2311">
            <v>51.912970999999999</v>
          </cell>
        </row>
        <row r="2312">
          <cell r="A2312">
            <v>42803</v>
          </cell>
          <cell r="B2312">
            <v>51.400730000000003</v>
          </cell>
        </row>
        <row r="2313">
          <cell r="A2313">
            <v>42804</v>
          </cell>
          <cell r="B2313">
            <v>50.786045000000001</v>
          </cell>
        </row>
        <row r="2314">
          <cell r="A2314">
            <v>42807</v>
          </cell>
          <cell r="B2314">
            <v>50.879181000000003</v>
          </cell>
        </row>
        <row r="2315">
          <cell r="A2315">
            <v>42808</v>
          </cell>
          <cell r="B2315">
            <v>50.543900000000001</v>
          </cell>
        </row>
        <row r="2316">
          <cell r="A2316">
            <v>42809</v>
          </cell>
          <cell r="B2316">
            <v>50.795361</v>
          </cell>
        </row>
        <row r="2317">
          <cell r="A2317">
            <v>42810</v>
          </cell>
          <cell r="B2317">
            <v>51.037509999999997</v>
          </cell>
        </row>
        <row r="2318">
          <cell r="A2318">
            <v>42811</v>
          </cell>
          <cell r="B2318">
            <v>51.950221999999997</v>
          </cell>
        </row>
        <row r="2319">
          <cell r="A2319">
            <v>42814</v>
          </cell>
          <cell r="B2319">
            <v>51.978161</v>
          </cell>
        </row>
        <row r="2320">
          <cell r="A2320">
            <v>42815</v>
          </cell>
          <cell r="B2320">
            <v>51.726706999999998</v>
          </cell>
        </row>
        <row r="2321">
          <cell r="A2321">
            <v>42816</v>
          </cell>
          <cell r="B2321">
            <v>52.052672999999999</v>
          </cell>
        </row>
        <row r="2322">
          <cell r="A2322">
            <v>42817</v>
          </cell>
          <cell r="B2322">
            <v>52.015422999999998</v>
          </cell>
        </row>
        <row r="2323">
          <cell r="A2323">
            <v>42818</v>
          </cell>
          <cell r="B2323">
            <v>52.909500000000001</v>
          </cell>
        </row>
        <row r="2324">
          <cell r="A2324">
            <v>42821</v>
          </cell>
          <cell r="B2324">
            <v>53.300666999999997</v>
          </cell>
        </row>
        <row r="2325">
          <cell r="A2325">
            <v>42822</v>
          </cell>
          <cell r="B2325">
            <v>53.412430000000001</v>
          </cell>
        </row>
        <row r="2326">
          <cell r="A2326">
            <v>42823</v>
          </cell>
          <cell r="B2326">
            <v>53.589393999999999</v>
          </cell>
        </row>
        <row r="2327">
          <cell r="A2327">
            <v>42824</v>
          </cell>
          <cell r="B2327">
            <v>54.166817000000002</v>
          </cell>
        </row>
        <row r="2328">
          <cell r="A2328">
            <v>42825</v>
          </cell>
          <cell r="B2328">
            <v>54.381022999999999</v>
          </cell>
        </row>
        <row r="2329">
          <cell r="A2329">
            <v>42828</v>
          </cell>
          <cell r="B2329">
            <v>54.427593000000002</v>
          </cell>
        </row>
        <row r="2330">
          <cell r="A2330">
            <v>42829</v>
          </cell>
          <cell r="B2330">
            <v>54.315837999999999</v>
          </cell>
        </row>
        <row r="2331">
          <cell r="A2331">
            <v>42830</v>
          </cell>
          <cell r="B2331">
            <v>54.222698000000001</v>
          </cell>
        </row>
        <row r="2332">
          <cell r="A2332">
            <v>42831</v>
          </cell>
          <cell r="B2332">
            <v>53.943291000000002</v>
          </cell>
        </row>
        <row r="2333">
          <cell r="A2333">
            <v>42832</v>
          </cell>
          <cell r="B2333">
            <v>54.036427000000003</v>
          </cell>
        </row>
        <row r="2334">
          <cell r="A2334">
            <v>42835</v>
          </cell>
          <cell r="B2334">
            <v>53.971232999999998</v>
          </cell>
        </row>
        <row r="2335">
          <cell r="A2335">
            <v>42836</v>
          </cell>
          <cell r="B2335">
            <v>53.906044000000001</v>
          </cell>
        </row>
        <row r="2336">
          <cell r="A2336">
            <v>42837</v>
          </cell>
          <cell r="B2336">
            <v>53.626640000000002</v>
          </cell>
        </row>
        <row r="2337">
          <cell r="A2337">
            <v>42838</v>
          </cell>
          <cell r="B2337">
            <v>53.561442999999997</v>
          </cell>
        </row>
        <row r="2338">
          <cell r="A2338">
            <v>42842</v>
          </cell>
          <cell r="B2338">
            <v>54.092312</v>
          </cell>
        </row>
        <row r="2339">
          <cell r="A2339">
            <v>42843</v>
          </cell>
          <cell r="B2339">
            <v>54.343769000000002</v>
          </cell>
        </row>
        <row r="2340">
          <cell r="A2340">
            <v>42844</v>
          </cell>
          <cell r="B2340">
            <v>54.986401000000001</v>
          </cell>
        </row>
        <row r="2341">
          <cell r="A2341">
            <v>42845</v>
          </cell>
          <cell r="B2341">
            <v>55.954990000000002</v>
          </cell>
        </row>
        <row r="2342">
          <cell r="A2342">
            <v>42846</v>
          </cell>
          <cell r="B2342">
            <v>56.448596999999999</v>
          </cell>
        </row>
        <row r="2343">
          <cell r="A2343">
            <v>42849</v>
          </cell>
          <cell r="B2343">
            <v>56.914271999999997</v>
          </cell>
        </row>
        <row r="2344">
          <cell r="A2344">
            <v>42850</v>
          </cell>
          <cell r="B2344">
            <v>56.774574000000001</v>
          </cell>
        </row>
        <row r="2345">
          <cell r="A2345">
            <v>42851</v>
          </cell>
          <cell r="B2345">
            <v>57.333382</v>
          </cell>
        </row>
        <row r="2346">
          <cell r="A2346">
            <v>42852</v>
          </cell>
          <cell r="B2346">
            <v>57.091225000000001</v>
          </cell>
        </row>
        <row r="2347">
          <cell r="A2347">
            <v>42853</v>
          </cell>
          <cell r="B2347">
            <v>55.936366999999997</v>
          </cell>
        </row>
        <row r="2348">
          <cell r="A2348">
            <v>42856</v>
          </cell>
          <cell r="B2348">
            <v>56.048126000000003</v>
          </cell>
        </row>
        <row r="2349">
          <cell r="A2349">
            <v>42857</v>
          </cell>
          <cell r="B2349">
            <v>56.346148999999997</v>
          </cell>
        </row>
        <row r="2350">
          <cell r="A2350">
            <v>42858</v>
          </cell>
          <cell r="B2350">
            <v>56.429974000000001</v>
          </cell>
        </row>
        <row r="2351">
          <cell r="A2351">
            <v>42859</v>
          </cell>
          <cell r="B2351">
            <v>56.653500000000001</v>
          </cell>
        </row>
        <row r="2352">
          <cell r="A2352">
            <v>42860</v>
          </cell>
          <cell r="B2352">
            <v>56.765259</v>
          </cell>
        </row>
        <row r="2353">
          <cell r="A2353">
            <v>42863</v>
          </cell>
          <cell r="B2353">
            <v>56.755943000000002</v>
          </cell>
        </row>
        <row r="2354">
          <cell r="A2354">
            <v>42864</v>
          </cell>
          <cell r="B2354">
            <v>57.027141999999998</v>
          </cell>
        </row>
        <row r="2355">
          <cell r="A2355">
            <v>42865</v>
          </cell>
          <cell r="B2355">
            <v>56.727893999999999</v>
          </cell>
        </row>
        <row r="2356">
          <cell r="A2356">
            <v>42866</v>
          </cell>
          <cell r="B2356">
            <v>56.363174000000001</v>
          </cell>
        </row>
        <row r="2357">
          <cell r="A2357">
            <v>42867</v>
          </cell>
          <cell r="B2357">
            <v>56.045211999999999</v>
          </cell>
        </row>
        <row r="2358">
          <cell r="A2358">
            <v>42870</v>
          </cell>
          <cell r="B2358">
            <v>56.531506</v>
          </cell>
        </row>
        <row r="2359">
          <cell r="A2359">
            <v>42871</v>
          </cell>
          <cell r="B2359">
            <v>56.091968999999999</v>
          </cell>
        </row>
        <row r="2360">
          <cell r="A2360">
            <v>42872</v>
          </cell>
          <cell r="B2360">
            <v>55.858170000000001</v>
          </cell>
        </row>
        <row r="2361">
          <cell r="A2361">
            <v>42873</v>
          </cell>
          <cell r="B2361">
            <v>55.942340999999999</v>
          </cell>
        </row>
        <row r="2362">
          <cell r="A2362">
            <v>42874</v>
          </cell>
          <cell r="B2362">
            <v>57.382506999999997</v>
          </cell>
        </row>
        <row r="2363">
          <cell r="A2363">
            <v>42877</v>
          </cell>
          <cell r="B2363">
            <v>57.260944000000002</v>
          </cell>
        </row>
        <row r="2364">
          <cell r="A2364">
            <v>42878</v>
          </cell>
          <cell r="B2364">
            <v>57.186126999999999</v>
          </cell>
        </row>
        <row r="2365">
          <cell r="A2365">
            <v>42879</v>
          </cell>
          <cell r="B2365">
            <v>57.878158999999997</v>
          </cell>
        </row>
        <row r="2366">
          <cell r="A2366">
            <v>42880</v>
          </cell>
          <cell r="B2366">
            <v>58.822685</v>
          </cell>
        </row>
        <row r="2367">
          <cell r="A2367">
            <v>42881</v>
          </cell>
          <cell r="B2367">
            <v>59.196758000000003</v>
          </cell>
        </row>
        <row r="2368">
          <cell r="A2368">
            <v>42885</v>
          </cell>
          <cell r="B2368">
            <v>59.159354999999998</v>
          </cell>
        </row>
        <row r="2369">
          <cell r="A2369">
            <v>42886</v>
          </cell>
          <cell r="B2369">
            <v>59.486660000000001</v>
          </cell>
        </row>
        <row r="2370">
          <cell r="A2370">
            <v>42887</v>
          </cell>
          <cell r="B2370">
            <v>59.617598999999998</v>
          </cell>
        </row>
        <row r="2371">
          <cell r="A2371">
            <v>42888</v>
          </cell>
          <cell r="B2371">
            <v>60.384433999999999</v>
          </cell>
        </row>
        <row r="2372">
          <cell r="A2372">
            <v>42891</v>
          </cell>
          <cell r="B2372">
            <v>60.103881999999999</v>
          </cell>
        </row>
        <row r="2373">
          <cell r="A2373">
            <v>42892</v>
          </cell>
          <cell r="B2373">
            <v>60.001015000000002</v>
          </cell>
        </row>
        <row r="2374">
          <cell r="A2374">
            <v>42893</v>
          </cell>
          <cell r="B2374">
            <v>59.383797000000001</v>
          </cell>
        </row>
        <row r="2375">
          <cell r="A2375">
            <v>42894</v>
          </cell>
          <cell r="B2375">
            <v>58.205475</v>
          </cell>
        </row>
        <row r="2376">
          <cell r="A2376">
            <v>42895</v>
          </cell>
          <cell r="B2376">
            <v>58.158707</v>
          </cell>
        </row>
        <row r="2377">
          <cell r="A2377">
            <v>42898</v>
          </cell>
          <cell r="B2377">
            <v>57.317055000000003</v>
          </cell>
        </row>
        <row r="2378">
          <cell r="A2378">
            <v>42899</v>
          </cell>
          <cell r="B2378">
            <v>56.971038999999998</v>
          </cell>
        </row>
        <row r="2379">
          <cell r="A2379">
            <v>42900</v>
          </cell>
          <cell r="B2379">
            <v>56.363174000000001</v>
          </cell>
        </row>
        <row r="2380">
          <cell r="A2380">
            <v>42901</v>
          </cell>
          <cell r="B2380">
            <v>56.194847000000003</v>
          </cell>
        </row>
        <row r="2381">
          <cell r="A2381">
            <v>42902</v>
          </cell>
          <cell r="B2381">
            <v>56.241591999999997</v>
          </cell>
        </row>
        <row r="2382">
          <cell r="A2382">
            <v>42905</v>
          </cell>
          <cell r="B2382">
            <v>56.952331999999998</v>
          </cell>
        </row>
        <row r="2383">
          <cell r="A2383">
            <v>42906</v>
          </cell>
          <cell r="B2383">
            <v>55.979743999999997</v>
          </cell>
        </row>
        <row r="2384">
          <cell r="A2384">
            <v>42907</v>
          </cell>
          <cell r="B2384">
            <v>56.073264999999999</v>
          </cell>
        </row>
        <row r="2385">
          <cell r="A2385">
            <v>42908</v>
          </cell>
          <cell r="B2385">
            <v>55.652434999999997</v>
          </cell>
        </row>
        <row r="2386">
          <cell r="A2386">
            <v>42909</v>
          </cell>
          <cell r="B2386">
            <v>55.932986999999997</v>
          </cell>
        </row>
        <row r="2387">
          <cell r="A2387">
            <v>42912</v>
          </cell>
          <cell r="B2387">
            <v>55.774009999999997</v>
          </cell>
        </row>
        <row r="2388">
          <cell r="A2388">
            <v>42913</v>
          </cell>
          <cell r="B2388">
            <v>55.138083999999999</v>
          </cell>
        </row>
        <row r="2389">
          <cell r="A2389">
            <v>42914</v>
          </cell>
          <cell r="B2389">
            <v>55.343826</v>
          </cell>
        </row>
        <row r="2390">
          <cell r="A2390">
            <v>42915</v>
          </cell>
          <cell r="B2390">
            <v>54.576984000000003</v>
          </cell>
        </row>
        <row r="2391">
          <cell r="A2391">
            <v>42916</v>
          </cell>
          <cell r="B2391">
            <v>54.530223999999997</v>
          </cell>
        </row>
        <row r="2392">
          <cell r="A2392">
            <v>42919</v>
          </cell>
          <cell r="B2392">
            <v>54.474113000000003</v>
          </cell>
        </row>
        <row r="2393">
          <cell r="A2393">
            <v>42921</v>
          </cell>
          <cell r="B2393">
            <v>54.184199999999997</v>
          </cell>
        </row>
        <row r="2394">
          <cell r="A2394">
            <v>42922</v>
          </cell>
          <cell r="B2394">
            <v>53.866244999999999</v>
          </cell>
        </row>
        <row r="2395">
          <cell r="A2395">
            <v>42923</v>
          </cell>
          <cell r="B2395">
            <v>54.277732999999998</v>
          </cell>
        </row>
        <row r="2396">
          <cell r="A2396">
            <v>42926</v>
          </cell>
          <cell r="B2396">
            <v>54.062640999999999</v>
          </cell>
        </row>
        <row r="2397">
          <cell r="A2397">
            <v>42927</v>
          </cell>
          <cell r="B2397">
            <v>54.146793000000002</v>
          </cell>
        </row>
        <row r="2398">
          <cell r="A2398">
            <v>42928</v>
          </cell>
          <cell r="B2398">
            <v>54.745316000000003</v>
          </cell>
        </row>
        <row r="2399">
          <cell r="A2399">
            <v>42929</v>
          </cell>
          <cell r="B2399">
            <v>54.595688000000003</v>
          </cell>
        </row>
        <row r="2400">
          <cell r="A2400">
            <v>42930</v>
          </cell>
          <cell r="B2400">
            <v>54.951050000000002</v>
          </cell>
        </row>
        <row r="2401">
          <cell r="A2401">
            <v>42933</v>
          </cell>
          <cell r="B2401">
            <v>54.548923000000002</v>
          </cell>
        </row>
        <row r="2402">
          <cell r="A2402">
            <v>42934</v>
          </cell>
          <cell r="B2402">
            <v>54.436703000000001</v>
          </cell>
        </row>
        <row r="2403">
          <cell r="A2403">
            <v>42935</v>
          </cell>
          <cell r="B2403">
            <v>54.343184999999998</v>
          </cell>
        </row>
        <row r="2404">
          <cell r="A2404">
            <v>42936</v>
          </cell>
          <cell r="B2404">
            <v>54.268368000000002</v>
          </cell>
        </row>
        <row r="2405">
          <cell r="A2405">
            <v>42937</v>
          </cell>
          <cell r="B2405">
            <v>54.221611000000003</v>
          </cell>
        </row>
        <row r="2406">
          <cell r="A2406">
            <v>42940</v>
          </cell>
          <cell r="B2406">
            <v>54.259025999999999</v>
          </cell>
        </row>
        <row r="2407">
          <cell r="A2407">
            <v>42941</v>
          </cell>
          <cell r="B2407">
            <v>54.754662000000003</v>
          </cell>
        </row>
        <row r="2408">
          <cell r="A2408">
            <v>42942</v>
          </cell>
          <cell r="B2408">
            <v>54.184199999999997</v>
          </cell>
        </row>
        <row r="2409">
          <cell r="A2409">
            <v>42943</v>
          </cell>
          <cell r="B2409">
            <v>55.643082</v>
          </cell>
        </row>
        <row r="2410">
          <cell r="A2410">
            <v>42944</v>
          </cell>
          <cell r="B2410">
            <v>50.499606999999997</v>
          </cell>
        </row>
        <row r="2411">
          <cell r="A2411">
            <v>42947</v>
          </cell>
          <cell r="B2411">
            <v>50.480899999999998</v>
          </cell>
        </row>
        <row r="2412">
          <cell r="A2412">
            <v>42948</v>
          </cell>
          <cell r="B2412">
            <v>51.182281000000003</v>
          </cell>
        </row>
        <row r="2413">
          <cell r="A2413">
            <v>42949</v>
          </cell>
          <cell r="B2413">
            <v>51.836914</v>
          </cell>
        </row>
        <row r="2414">
          <cell r="A2414">
            <v>42950</v>
          </cell>
          <cell r="B2414">
            <v>52.070701999999997</v>
          </cell>
        </row>
        <row r="2415">
          <cell r="A2415">
            <v>42951</v>
          </cell>
          <cell r="B2415">
            <v>51.846260000000001</v>
          </cell>
        </row>
        <row r="2416">
          <cell r="A2416">
            <v>42954</v>
          </cell>
          <cell r="B2416">
            <v>52.023949000000002</v>
          </cell>
        </row>
        <row r="2417">
          <cell r="A2417">
            <v>42955</v>
          </cell>
          <cell r="B2417">
            <v>51.216061000000003</v>
          </cell>
        </row>
        <row r="2418">
          <cell r="A2418">
            <v>42956</v>
          </cell>
          <cell r="B2418">
            <v>50.483330000000002</v>
          </cell>
        </row>
        <row r="2419">
          <cell r="A2419">
            <v>42957</v>
          </cell>
          <cell r="B2419">
            <v>49.853928000000003</v>
          </cell>
        </row>
        <row r="2420">
          <cell r="A2420">
            <v>42958</v>
          </cell>
          <cell r="B2420">
            <v>49.957267999999999</v>
          </cell>
        </row>
        <row r="2421">
          <cell r="A2421">
            <v>42961</v>
          </cell>
          <cell r="B2421">
            <v>49.994838999999999</v>
          </cell>
        </row>
        <row r="2422">
          <cell r="A2422">
            <v>42962</v>
          </cell>
          <cell r="B2422">
            <v>49.929085000000001</v>
          </cell>
        </row>
        <row r="2423">
          <cell r="A2423">
            <v>42963</v>
          </cell>
          <cell r="B2423">
            <v>50.257869999999997</v>
          </cell>
        </row>
        <row r="2424">
          <cell r="A2424">
            <v>42964</v>
          </cell>
          <cell r="B2424">
            <v>49.825755999999998</v>
          </cell>
        </row>
        <row r="2425">
          <cell r="A2425">
            <v>42965</v>
          </cell>
          <cell r="B2425">
            <v>49.506354999999999</v>
          </cell>
        </row>
        <row r="2426">
          <cell r="A2426">
            <v>42968</v>
          </cell>
          <cell r="B2426">
            <v>49.929085000000001</v>
          </cell>
        </row>
        <row r="2427">
          <cell r="A2427">
            <v>42969</v>
          </cell>
          <cell r="B2427">
            <v>51.150306999999998</v>
          </cell>
        </row>
        <row r="2428">
          <cell r="A2428">
            <v>42970</v>
          </cell>
          <cell r="B2428">
            <v>50.802723</v>
          </cell>
        </row>
        <row r="2429">
          <cell r="A2429">
            <v>42971</v>
          </cell>
          <cell r="B2429">
            <v>50.671207000000003</v>
          </cell>
        </row>
        <row r="2430">
          <cell r="A2430">
            <v>42972</v>
          </cell>
          <cell r="B2430">
            <v>51.065758000000002</v>
          </cell>
        </row>
        <row r="2431">
          <cell r="A2431">
            <v>42975</v>
          </cell>
          <cell r="B2431">
            <v>51.103332999999999</v>
          </cell>
        </row>
        <row r="2432">
          <cell r="A2432">
            <v>42976</v>
          </cell>
          <cell r="B2432">
            <v>50.821510000000004</v>
          </cell>
        </row>
        <row r="2433">
          <cell r="A2433">
            <v>42977</v>
          </cell>
          <cell r="B2433">
            <v>51.216061000000003</v>
          </cell>
        </row>
        <row r="2434">
          <cell r="A2434">
            <v>42978</v>
          </cell>
          <cell r="B2434">
            <v>51.535454000000001</v>
          </cell>
        </row>
        <row r="2435">
          <cell r="A2435">
            <v>42979</v>
          </cell>
          <cell r="B2435">
            <v>51.601215000000003</v>
          </cell>
        </row>
        <row r="2436">
          <cell r="A2436">
            <v>42983</v>
          </cell>
          <cell r="B2436">
            <v>51.789101000000002</v>
          </cell>
        </row>
        <row r="2437">
          <cell r="A2437">
            <v>42984</v>
          </cell>
          <cell r="B2437">
            <v>51.018783999999997</v>
          </cell>
        </row>
        <row r="2438">
          <cell r="A2438">
            <v>42985</v>
          </cell>
          <cell r="B2438">
            <v>50.229686999999998</v>
          </cell>
        </row>
        <row r="2439">
          <cell r="A2439">
            <v>42986</v>
          </cell>
          <cell r="B2439">
            <v>50.248477999999999</v>
          </cell>
        </row>
        <row r="2440">
          <cell r="A2440">
            <v>42989</v>
          </cell>
          <cell r="B2440">
            <v>50.746361</v>
          </cell>
        </row>
        <row r="2441">
          <cell r="A2441">
            <v>42990</v>
          </cell>
          <cell r="B2441">
            <v>50.295448</v>
          </cell>
        </row>
        <row r="2442">
          <cell r="A2442">
            <v>42991</v>
          </cell>
          <cell r="B2442">
            <v>51.000003999999997</v>
          </cell>
        </row>
        <row r="2443">
          <cell r="A2443">
            <v>42992</v>
          </cell>
          <cell r="B2443">
            <v>51.225456000000001</v>
          </cell>
        </row>
        <row r="2444">
          <cell r="A2444">
            <v>42993</v>
          </cell>
          <cell r="B2444">
            <v>51.356976000000003</v>
          </cell>
        </row>
        <row r="2445">
          <cell r="A2445">
            <v>42996</v>
          </cell>
          <cell r="B2445">
            <v>51.375759000000002</v>
          </cell>
        </row>
        <row r="2446">
          <cell r="A2446">
            <v>42997</v>
          </cell>
          <cell r="B2446">
            <v>51.310004999999997</v>
          </cell>
        </row>
        <row r="2447">
          <cell r="A2447">
            <v>42998</v>
          </cell>
          <cell r="B2447">
            <v>51.807884000000001</v>
          </cell>
        </row>
        <row r="2448">
          <cell r="A2448">
            <v>42999</v>
          </cell>
          <cell r="B2448">
            <v>51.676372999999998</v>
          </cell>
        </row>
        <row r="2449">
          <cell r="A2449">
            <v>43000</v>
          </cell>
          <cell r="B2449">
            <v>51.751517999999997</v>
          </cell>
        </row>
        <row r="2450">
          <cell r="A2450">
            <v>43003</v>
          </cell>
          <cell r="B2450">
            <v>51.620007000000001</v>
          </cell>
        </row>
        <row r="2451">
          <cell r="A2451">
            <v>43004</v>
          </cell>
          <cell r="B2451">
            <v>51.789101000000002</v>
          </cell>
        </row>
        <row r="2452">
          <cell r="A2452">
            <v>43005</v>
          </cell>
          <cell r="B2452">
            <v>51.657578000000001</v>
          </cell>
        </row>
        <row r="2453">
          <cell r="A2453">
            <v>43006</v>
          </cell>
          <cell r="B2453">
            <v>51.197268999999999</v>
          </cell>
        </row>
        <row r="2454">
          <cell r="A2454">
            <v>43007</v>
          </cell>
          <cell r="B2454">
            <v>50.455143</v>
          </cell>
        </row>
        <row r="2455">
          <cell r="A2455">
            <v>43010</v>
          </cell>
          <cell r="B2455">
            <v>50.549087999999998</v>
          </cell>
        </row>
        <row r="2456">
          <cell r="A2456">
            <v>43011</v>
          </cell>
          <cell r="B2456">
            <v>50.718181999999999</v>
          </cell>
        </row>
        <row r="2457">
          <cell r="A2457">
            <v>43012</v>
          </cell>
          <cell r="B2457">
            <v>50.661819000000001</v>
          </cell>
        </row>
        <row r="2458">
          <cell r="A2458">
            <v>43013</v>
          </cell>
          <cell r="B2458">
            <v>51.29121</v>
          </cell>
        </row>
        <row r="2459">
          <cell r="A2459">
            <v>43014</v>
          </cell>
          <cell r="B2459">
            <v>51.826672000000002</v>
          </cell>
        </row>
        <row r="2460">
          <cell r="A2460">
            <v>43017</v>
          </cell>
          <cell r="B2460">
            <v>51.685763999999999</v>
          </cell>
        </row>
        <row r="2461">
          <cell r="A2461">
            <v>43018</v>
          </cell>
          <cell r="B2461">
            <v>52.061512</v>
          </cell>
        </row>
        <row r="2462">
          <cell r="A2462">
            <v>43019</v>
          </cell>
          <cell r="B2462">
            <v>52.268188000000002</v>
          </cell>
        </row>
        <row r="2463">
          <cell r="A2463">
            <v>43020</v>
          </cell>
          <cell r="B2463">
            <v>52.578189999999999</v>
          </cell>
        </row>
        <row r="2464">
          <cell r="A2464">
            <v>43021</v>
          </cell>
          <cell r="B2464">
            <v>52.343342</v>
          </cell>
        </row>
        <row r="2465">
          <cell r="A2465">
            <v>43024</v>
          </cell>
          <cell r="B2465">
            <v>51.582424000000003</v>
          </cell>
        </row>
        <row r="2466">
          <cell r="A2466">
            <v>43025</v>
          </cell>
          <cell r="B2466">
            <v>51.206668999999998</v>
          </cell>
        </row>
        <row r="2467">
          <cell r="A2467">
            <v>43026</v>
          </cell>
          <cell r="B2467">
            <v>51.864246000000001</v>
          </cell>
        </row>
        <row r="2468">
          <cell r="A2468">
            <v>43027</v>
          </cell>
          <cell r="B2468">
            <v>52.042732000000001</v>
          </cell>
        </row>
        <row r="2469">
          <cell r="A2469">
            <v>43028</v>
          </cell>
          <cell r="B2469">
            <v>51.263027000000001</v>
          </cell>
        </row>
        <row r="2470">
          <cell r="A2470">
            <v>43031</v>
          </cell>
          <cell r="B2470">
            <v>50.981212999999997</v>
          </cell>
        </row>
        <row r="2471">
          <cell r="A2471">
            <v>43032</v>
          </cell>
          <cell r="B2471">
            <v>50.990603999999998</v>
          </cell>
        </row>
        <row r="2472">
          <cell r="A2472">
            <v>43033</v>
          </cell>
          <cell r="B2472">
            <v>50.877879999999998</v>
          </cell>
        </row>
        <row r="2473">
          <cell r="A2473">
            <v>43034</v>
          </cell>
          <cell r="B2473">
            <v>51.582424000000003</v>
          </cell>
        </row>
        <row r="2474">
          <cell r="A2474">
            <v>43035</v>
          </cell>
          <cell r="B2474">
            <v>51.554253000000003</v>
          </cell>
        </row>
        <row r="2475">
          <cell r="A2475">
            <v>43038</v>
          </cell>
          <cell r="B2475">
            <v>51.826672000000002</v>
          </cell>
        </row>
        <row r="2476">
          <cell r="A2476">
            <v>43039</v>
          </cell>
          <cell r="B2476">
            <v>51.516669999999998</v>
          </cell>
        </row>
        <row r="2477">
          <cell r="A2477">
            <v>43040</v>
          </cell>
          <cell r="B2477">
            <v>51.789101000000002</v>
          </cell>
        </row>
        <row r="2478">
          <cell r="A2478">
            <v>43041</v>
          </cell>
          <cell r="B2478">
            <v>51.544848999999999</v>
          </cell>
        </row>
        <row r="2479">
          <cell r="A2479">
            <v>43042</v>
          </cell>
          <cell r="B2479">
            <v>52.634556000000003</v>
          </cell>
        </row>
        <row r="2480">
          <cell r="A2480">
            <v>43045</v>
          </cell>
          <cell r="B2480">
            <v>53.141826999999999</v>
          </cell>
        </row>
        <row r="2481">
          <cell r="A2481">
            <v>43046</v>
          </cell>
          <cell r="B2481">
            <v>53.752437999999998</v>
          </cell>
        </row>
        <row r="2482">
          <cell r="A2482">
            <v>43047</v>
          </cell>
          <cell r="B2482">
            <v>54.400627</v>
          </cell>
        </row>
        <row r="2483">
          <cell r="A2483">
            <v>43048</v>
          </cell>
          <cell r="B2483">
            <v>53.883952999999998</v>
          </cell>
        </row>
        <row r="2484">
          <cell r="A2484">
            <v>43049</v>
          </cell>
          <cell r="B2484">
            <v>53.583351</v>
          </cell>
        </row>
        <row r="2485">
          <cell r="A2485">
            <v>43052</v>
          </cell>
          <cell r="B2485">
            <v>53.207583999999997</v>
          </cell>
        </row>
        <row r="2486">
          <cell r="A2486">
            <v>43053</v>
          </cell>
          <cell r="B2486">
            <v>53.480010999999998</v>
          </cell>
        </row>
        <row r="2487">
          <cell r="A2487">
            <v>43054</v>
          </cell>
          <cell r="B2487">
            <v>53.546120000000002</v>
          </cell>
        </row>
        <row r="2488">
          <cell r="A2488">
            <v>43055</v>
          </cell>
          <cell r="B2488">
            <v>54.056080000000001</v>
          </cell>
        </row>
        <row r="2489">
          <cell r="A2489">
            <v>43056</v>
          </cell>
          <cell r="B2489">
            <v>53.763328999999999</v>
          </cell>
        </row>
        <row r="2490">
          <cell r="A2490">
            <v>43059</v>
          </cell>
          <cell r="B2490">
            <v>53.650005</v>
          </cell>
        </row>
        <row r="2491">
          <cell r="A2491">
            <v>43060</v>
          </cell>
          <cell r="B2491">
            <v>54.07497</v>
          </cell>
        </row>
        <row r="2492">
          <cell r="A2492">
            <v>43061</v>
          </cell>
          <cell r="B2492">
            <v>53.961646999999999</v>
          </cell>
        </row>
        <row r="2493">
          <cell r="A2493">
            <v>43063</v>
          </cell>
          <cell r="B2493">
            <v>53.640555999999997</v>
          </cell>
        </row>
        <row r="2494">
          <cell r="A2494">
            <v>43066</v>
          </cell>
          <cell r="B2494">
            <v>52.800068000000003</v>
          </cell>
        </row>
        <row r="2495">
          <cell r="A2495">
            <v>43067</v>
          </cell>
          <cell r="B2495">
            <v>53.508347000000001</v>
          </cell>
        </row>
        <row r="2496">
          <cell r="A2496">
            <v>43068</v>
          </cell>
          <cell r="B2496">
            <v>54.311062</v>
          </cell>
        </row>
        <row r="2497">
          <cell r="A2497">
            <v>43069</v>
          </cell>
          <cell r="B2497">
            <v>54.603825000000001</v>
          </cell>
        </row>
        <row r="2498">
          <cell r="A2498">
            <v>43070</v>
          </cell>
          <cell r="B2498">
            <v>54.131633999999998</v>
          </cell>
        </row>
        <row r="2499">
          <cell r="A2499">
            <v>43073</v>
          </cell>
          <cell r="B2499">
            <v>55.491528000000002</v>
          </cell>
        </row>
        <row r="2500">
          <cell r="A2500">
            <v>43074</v>
          </cell>
          <cell r="B2500">
            <v>56.039276000000001</v>
          </cell>
        </row>
        <row r="2501">
          <cell r="A2501">
            <v>43075</v>
          </cell>
          <cell r="B2501">
            <v>55.982616</v>
          </cell>
        </row>
        <row r="2502">
          <cell r="A2502">
            <v>43076</v>
          </cell>
          <cell r="B2502">
            <v>55.850391000000002</v>
          </cell>
        </row>
        <row r="2503">
          <cell r="A2503">
            <v>43077</v>
          </cell>
          <cell r="B2503">
            <v>55.349879999999999</v>
          </cell>
        </row>
        <row r="2504">
          <cell r="A2504">
            <v>43080</v>
          </cell>
          <cell r="B2504">
            <v>55.784294000000003</v>
          </cell>
        </row>
        <row r="2505">
          <cell r="A2505">
            <v>43081</v>
          </cell>
          <cell r="B2505">
            <v>55.973166999999997</v>
          </cell>
        </row>
        <row r="2506">
          <cell r="A2506">
            <v>43082</v>
          </cell>
          <cell r="B2506">
            <v>56.180931000000001</v>
          </cell>
        </row>
        <row r="2507">
          <cell r="A2507">
            <v>43083</v>
          </cell>
          <cell r="B2507">
            <v>56.379249999999999</v>
          </cell>
        </row>
        <row r="2508">
          <cell r="A2508">
            <v>43084</v>
          </cell>
          <cell r="B2508">
            <v>55.047676000000003</v>
          </cell>
        </row>
        <row r="2509">
          <cell r="A2509">
            <v>43087</v>
          </cell>
          <cell r="B2509">
            <v>54.802143000000001</v>
          </cell>
        </row>
        <row r="2510">
          <cell r="A2510">
            <v>43088</v>
          </cell>
          <cell r="B2510">
            <v>54.783248999999998</v>
          </cell>
        </row>
        <row r="2511">
          <cell r="A2511">
            <v>43089</v>
          </cell>
          <cell r="B2511">
            <v>54.518833000000001</v>
          </cell>
        </row>
        <row r="2512">
          <cell r="A2512">
            <v>43090</v>
          </cell>
          <cell r="B2512">
            <v>54.377170999999997</v>
          </cell>
        </row>
        <row r="2513">
          <cell r="A2513">
            <v>43091</v>
          </cell>
          <cell r="B2513">
            <v>54.112743000000002</v>
          </cell>
        </row>
        <row r="2514">
          <cell r="A2514">
            <v>43095</v>
          </cell>
          <cell r="B2514">
            <v>53.961646999999999</v>
          </cell>
        </row>
        <row r="2515">
          <cell r="A2515">
            <v>43096</v>
          </cell>
          <cell r="B2515">
            <v>54.084412</v>
          </cell>
        </row>
        <row r="2516">
          <cell r="A2516">
            <v>43097</v>
          </cell>
          <cell r="B2516">
            <v>54.594383000000001</v>
          </cell>
        </row>
        <row r="2517">
          <cell r="A2517">
            <v>43098</v>
          </cell>
          <cell r="B2517">
            <v>54.235508000000003</v>
          </cell>
        </row>
        <row r="2518">
          <cell r="A2518">
            <v>43102</v>
          </cell>
          <cell r="B2518">
            <v>54.424399999999999</v>
          </cell>
        </row>
        <row r="2519">
          <cell r="A2519">
            <v>43103</v>
          </cell>
          <cell r="B2519">
            <v>55.444313000000001</v>
          </cell>
        </row>
        <row r="2520">
          <cell r="A2520">
            <v>43104</v>
          </cell>
          <cell r="B2520">
            <v>55.652081000000003</v>
          </cell>
        </row>
        <row r="2521">
          <cell r="A2521">
            <v>43105</v>
          </cell>
          <cell r="B2521">
            <v>56.294257999999999</v>
          </cell>
        </row>
        <row r="2522">
          <cell r="A2522">
            <v>43108</v>
          </cell>
          <cell r="B2522">
            <v>56.010941000000003</v>
          </cell>
        </row>
        <row r="2523">
          <cell r="A2523">
            <v>43109</v>
          </cell>
          <cell r="B2523">
            <v>55.888168</v>
          </cell>
        </row>
        <row r="2524">
          <cell r="A2524">
            <v>43110</v>
          </cell>
          <cell r="B2524">
            <v>56.492579999999997</v>
          </cell>
        </row>
        <row r="2525">
          <cell r="A2525">
            <v>43111</v>
          </cell>
          <cell r="B2525">
            <v>56.662562999999999</v>
          </cell>
        </row>
        <row r="2526">
          <cell r="A2526">
            <v>43112</v>
          </cell>
          <cell r="B2526">
            <v>57.040317999999999</v>
          </cell>
        </row>
        <row r="2527">
          <cell r="A2527">
            <v>43116</v>
          </cell>
          <cell r="B2527">
            <v>57.191417999999999</v>
          </cell>
        </row>
        <row r="2528">
          <cell r="A2528">
            <v>43117</v>
          </cell>
          <cell r="B2528">
            <v>57.285854</v>
          </cell>
        </row>
        <row r="2529">
          <cell r="A2529">
            <v>43118</v>
          </cell>
          <cell r="B2529">
            <v>57.691935999999998</v>
          </cell>
        </row>
        <row r="2530">
          <cell r="A2530">
            <v>43119</v>
          </cell>
          <cell r="B2530">
            <v>57.852477999999998</v>
          </cell>
        </row>
        <row r="2531">
          <cell r="A2531">
            <v>43122</v>
          </cell>
          <cell r="B2531">
            <v>57.994129000000001</v>
          </cell>
        </row>
        <row r="2532">
          <cell r="A2532">
            <v>43123</v>
          </cell>
          <cell r="B2532">
            <v>58.258555999999999</v>
          </cell>
        </row>
        <row r="2533">
          <cell r="A2533">
            <v>43124</v>
          </cell>
          <cell r="B2533">
            <v>57.446396</v>
          </cell>
        </row>
        <row r="2534">
          <cell r="A2534">
            <v>43125</v>
          </cell>
          <cell r="B2534">
            <v>57.181972999999999</v>
          </cell>
        </row>
        <row r="2535">
          <cell r="A2535">
            <v>43126</v>
          </cell>
          <cell r="B2535">
            <v>54.76437</v>
          </cell>
        </row>
        <row r="2536">
          <cell r="A2536">
            <v>43129</v>
          </cell>
          <cell r="B2536">
            <v>53.848328000000002</v>
          </cell>
        </row>
        <row r="2537">
          <cell r="A2537">
            <v>43130</v>
          </cell>
          <cell r="B2537">
            <v>54.008862000000001</v>
          </cell>
        </row>
        <row r="2538">
          <cell r="A2538">
            <v>43131</v>
          </cell>
          <cell r="B2538">
            <v>53.650005</v>
          </cell>
        </row>
        <row r="2539">
          <cell r="A2539">
            <v>43132</v>
          </cell>
          <cell r="B2539">
            <v>52.885063000000002</v>
          </cell>
        </row>
        <row r="2540">
          <cell r="A2540">
            <v>43133</v>
          </cell>
          <cell r="B2540">
            <v>52.667850000000001</v>
          </cell>
        </row>
        <row r="2541">
          <cell r="A2541">
            <v>43136</v>
          </cell>
          <cell r="B2541">
            <v>51.647925999999998</v>
          </cell>
        </row>
        <row r="2542">
          <cell r="A2542">
            <v>43137</v>
          </cell>
          <cell r="B2542">
            <v>52.516753999999999</v>
          </cell>
        </row>
        <row r="2543">
          <cell r="A2543">
            <v>43138</v>
          </cell>
          <cell r="B2543">
            <v>51.709679000000001</v>
          </cell>
        </row>
        <row r="2544">
          <cell r="A2544">
            <v>43139</v>
          </cell>
          <cell r="B2544">
            <v>51.054523000000003</v>
          </cell>
        </row>
        <row r="2545">
          <cell r="A2545">
            <v>43140</v>
          </cell>
          <cell r="B2545">
            <v>51.823616000000001</v>
          </cell>
        </row>
        <row r="2546">
          <cell r="A2546">
            <v>43143</v>
          </cell>
          <cell r="B2546">
            <v>52.583218000000002</v>
          </cell>
        </row>
        <row r="2547">
          <cell r="A2547">
            <v>43144</v>
          </cell>
          <cell r="B2547">
            <v>52.858566000000003</v>
          </cell>
        </row>
        <row r="2548">
          <cell r="A2548">
            <v>43145</v>
          </cell>
          <cell r="B2548">
            <v>53.162402999999998</v>
          </cell>
        </row>
        <row r="2549">
          <cell r="A2549">
            <v>43146</v>
          </cell>
          <cell r="B2549">
            <v>53.722617999999997</v>
          </cell>
        </row>
        <row r="2550">
          <cell r="A2550">
            <v>43147</v>
          </cell>
          <cell r="B2550">
            <v>53.627662999999998</v>
          </cell>
        </row>
        <row r="2551">
          <cell r="A2551">
            <v>43151</v>
          </cell>
          <cell r="B2551">
            <v>53.143416999999999</v>
          </cell>
        </row>
        <row r="2552">
          <cell r="A2552">
            <v>43152</v>
          </cell>
          <cell r="B2552">
            <v>53.266852999999998</v>
          </cell>
        </row>
        <row r="2553">
          <cell r="A2553">
            <v>43153</v>
          </cell>
          <cell r="B2553">
            <v>52.602207</v>
          </cell>
        </row>
        <row r="2554">
          <cell r="A2554">
            <v>43154</v>
          </cell>
          <cell r="B2554">
            <v>53.304828999999998</v>
          </cell>
        </row>
        <row r="2555">
          <cell r="A2555">
            <v>43157</v>
          </cell>
          <cell r="B2555">
            <v>54.282809999999998</v>
          </cell>
        </row>
        <row r="2556">
          <cell r="A2556">
            <v>43158</v>
          </cell>
          <cell r="B2556">
            <v>53.713123000000003</v>
          </cell>
        </row>
        <row r="2557">
          <cell r="A2557">
            <v>43159</v>
          </cell>
          <cell r="B2557">
            <v>54.216351000000003</v>
          </cell>
        </row>
        <row r="2558">
          <cell r="A2558">
            <v>43160</v>
          </cell>
          <cell r="B2558">
            <v>53.333312999999997</v>
          </cell>
        </row>
        <row r="2559">
          <cell r="A2559">
            <v>43161</v>
          </cell>
          <cell r="B2559">
            <v>54.054938999999997</v>
          </cell>
        </row>
        <row r="2560">
          <cell r="A2560">
            <v>43164</v>
          </cell>
          <cell r="B2560">
            <v>54.111904000000003</v>
          </cell>
        </row>
        <row r="2561">
          <cell r="A2561">
            <v>43165</v>
          </cell>
          <cell r="B2561">
            <v>54.149883000000003</v>
          </cell>
        </row>
        <row r="2562">
          <cell r="A2562">
            <v>43166</v>
          </cell>
          <cell r="B2562">
            <v>54.149883000000003</v>
          </cell>
        </row>
        <row r="2563">
          <cell r="A2563">
            <v>43167</v>
          </cell>
          <cell r="B2563">
            <v>54.567669000000002</v>
          </cell>
        </row>
        <row r="2564">
          <cell r="A2564">
            <v>43168</v>
          </cell>
          <cell r="B2564">
            <v>55.507668000000002</v>
          </cell>
        </row>
        <row r="2565">
          <cell r="A2565">
            <v>43171</v>
          </cell>
          <cell r="B2565">
            <v>56.400196000000001</v>
          </cell>
        </row>
        <row r="2566">
          <cell r="A2566">
            <v>43172</v>
          </cell>
          <cell r="B2566">
            <v>56.067870999999997</v>
          </cell>
        </row>
        <row r="2567">
          <cell r="A2567">
            <v>43173</v>
          </cell>
          <cell r="B2567">
            <v>55.858989999999999</v>
          </cell>
        </row>
        <row r="2568">
          <cell r="A2568">
            <v>43174</v>
          </cell>
          <cell r="B2568">
            <v>56.371707999999998</v>
          </cell>
        </row>
        <row r="2569">
          <cell r="A2569">
            <v>43175</v>
          </cell>
          <cell r="B2569">
            <v>56.020397000000003</v>
          </cell>
        </row>
        <row r="2570">
          <cell r="A2570">
            <v>43178</v>
          </cell>
          <cell r="B2570">
            <v>55.355747000000001</v>
          </cell>
        </row>
        <row r="2571">
          <cell r="A2571">
            <v>43179</v>
          </cell>
          <cell r="B2571">
            <v>55.697566999999999</v>
          </cell>
        </row>
        <row r="2572">
          <cell r="A2572">
            <v>43180</v>
          </cell>
          <cell r="B2572">
            <v>55.517166000000003</v>
          </cell>
        </row>
        <row r="2573">
          <cell r="A2573">
            <v>43181</v>
          </cell>
          <cell r="B2573">
            <v>54.852511999999997</v>
          </cell>
        </row>
        <row r="2574">
          <cell r="A2574">
            <v>43182</v>
          </cell>
          <cell r="B2574">
            <v>53.466248</v>
          </cell>
        </row>
        <row r="2575">
          <cell r="A2575">
            <v>43185</v>
          </cell>
          <cell r="B2575">
            <v>54.881000999999998</v>
          </cell>
        </row>
        <row r="2576">
          <cell r="A2576">
            <v>43186</v>
          </cell>
          <cell r="B2576">
            <v>54.558169999999997</v>
          </cell>
        </row>
        <row r="2577">
          <cell r="A2577">
            <v>43187</v>
          </cell>
          <cell r="B2577">
            <v>54.975951999999999</v>
          </cell>
        </row>
        <row r="2578">
          <cell r="A2578">
            <v>43188</v>
          </cell>
          <cell r="B2578">
            <v>54.966453999999999</v>
          </cell>
        </row>
        <row r="2579">
          <cell r="A2579">
            <v>43192</v>
          </cell>
          <cell r="B2579">
            <v>53.399788000000001</v>
          </cell>
        </row>
        <row r="2580">
          <cell r="A2580">
            <v>43193</v>
          </cell>
          <cell r="B2580">
            <v>55.070895999999998</v>
          </cell>
        </row>
        <row r="2581">
          <cell r="A2581">
            <v>43194</v>
          </cell>
          <cell r="B2581">
            <v>55.858989999999999</v>
          </cell>
        </row>
        <row r="2582">
          <cell r="A2582">
            <v>43195</v>
          </cell>
          <cell r="B2582">
            <v>56.153323999999998</v>
          </cell>
        </row>
        <row r="2583">
          <cell r="A2583">
            <v>43196</v>
          </cell>
          <cell r="B2583">
            <v>55.393729999999998</v>
          </cell>
        </row>
        <row r="2584">
          <cell r="A2584">
            <v>43199</v>
          </cell>
          <cell r="B2584">
            <v>55.735557999999997</v>
          </cell>
        </row>
        <row r="2585">
          <cell r="A2585">
            <v>43200</v>
          </cell>
          <cell r="B2585">
            <v>56.409694999999999</v>
          </cell>
        </row>
        <row r="2586">
          <cell r="A2586">
            <v>43201</v>
          </cell>
          <cell r="B2586">
            <v>56.419186000000003</v>
          </cell>
        </row>
        <row r="2587">
          <cell r="A2587">
            <v>43202</v>
          </cell>
          <cell r="B2587">
            <v>56.428683999999997</v>
          </cell>
        </row>
        <row r="2588">
          <cell r="A2588">
            <v>43203</v>
          </cell>
          <cell r="B2588">
            <v>56.248280000000001</v>
          </cell>
        </row>
        <row r="2589">
          <cell r="A2589">
            <v>43206</v>
          </cell>
          <cell r="B2589">
            <v>56.428683999999997</v>
          </cell>
        </row>
        <row r="2590">
          <cell r="A2590">
            <v>43207</v>
          </cell>
          <cell r="B2590">
            <v>56.808487</v>
          </cell>
        </row>
        <row r="2591">
          <cell r="A2591">
            <v>43208</v>
          </cell>
          <cell r="B2591">
            <v>56.495148</v>
          </cell>
        </row>
        <row r="2592">
          <cell r="A2592">
            <v>43209</v>
          </cell>
          <cell r="B2592">
            <v>56.229286000000002</v>
          </cell>
        </row>
        <row r="2593">
          <cell r="A2593">
            <v>43210</v>
          </cell>
          <cell r="B2593">
            <v>55.070895999999998</v>
          </cell>
        </row>
        <row r="2594">
          <cell r="A2594">
            <v>43213</v>
          </cell>
          <cell r="B2594">
            <v>55.222816000000002</v>
          </cell>
        </row>
        <row r="2595">
          <cell r="A2595">
            <v>43214</v>
          </cell>
          <cell r="B2595">
            <v>54.890503000000002</v>
          </cell>
        </row>
        <row r="2596">
          <cell r="A2596">
            <v>43215</v>
          </cell>
          <cell r="B2596">
            <v>54.795544</v>
          </cell>
        </row>
        <row r="2597">
          <cell r="A2597">
            <v>43216</v>
          </cell>
          <cell r="B2597">
            <v>56.381207000000003</v>
          </cell>
        </row>
        <row r="2598">
          <cell r="A2598">
            <v>43217</v>
          </cell>
          <cell r="B2598">
            <v>55.412726999999997</v>
          </cell>
        </row>
        <row r="2599">
          <cell r="A2599">
            <v>43220</v>
          </cell>
          <cell r="B2599">
            <v>54.662621000000001</v>
          </cell>
        </row>
        <row r="2600">
          <cell r="A2600">
            <v>43221</v>
          </cell>
          <cell r="B2600">
            <v>55.194344000000001</v>
          </cell>
        </row>
        <row r="2601">
          <cell r="A2601">
            <v>43222</v>
          </cell>
          <cell r="B2601">
            <v>53.836551999999998</v>
          </cell>
        </row>
        <row r="2602">
          <cell r="A2602">
            <v>43223</v>
          </cell>
          <cell r="B2602">
            <v>53.295341000000001</v>
          </cell>
        </row>
        <row r="2603">
          <cell r="A2603">
            <v>43224</v>
          </cell>
          <cell r="B2603">
            <v>54.767066999999997</v>
          </cell>
        </row>
        <row r="2604">
          <cell r="A2604">
            <v>43227</v>
          </cell>
          <cell r="B2604">
            <v>54.548679</v>
          </cell>
        </row>
        <row r="2605">
          <cell r="A2605">
            <v>43228</v>
          </cell>
          <cell r="B2605">
            <v>54.757565</v>
          </cell>
        </row>
        <row r="2606">
          <cell r="A2606">
            <v>43229</v>
          </cell>
          <cell r="B2606">
            <v>54.442596000000002</v>
          </cell>
        </row>
        <row r="2607">
          <cell r="A2607">
            <v>43230</v>
          </cell>
          <cell r="B2607">
            <v>55.024811</v>
          </cell>
        </row>
        <row r="2608">
          <cell r="A2608">
            <v>43231</v>
          </cell>
          <cell r="B2608">
            <v>54.662120999999999</v>
          </cell>
        </row>
        <row r="2609">
          <cell r="A2609">
            <v>43234</v>
          </cell>
          <cell r="B2609">
            <v>54.528500000000001</v>
          </cell>
        </row>
        <row r="2610">
          <cell r="A2610">
            <v>43235</v>
          </cell>
          <cell r="B2610">
            <v>54.060805999999999</v>
          </cell>
        </row>
        <row r="2611">
          <cell r="A2611">
            <v>43236</v>
          </cell>
          <cell r="B2611">
            <v>54.547584999999998</v>
          </cell>
        </row>
        <row r="2612">
          <cell r="A2612">
            <v>43237</v>
          </cell>
          <cell r="B2612">
            <v>54.595306000000001</v>
          </cell>
        </row>
        <row r="2613">
          <cell r="A2613">
            <v>43238</v>
          </cell>
          <cell r="B2613">
            <v>54.557124999999999</v>
          </cell>
        </row>
        <row r="2614">
          <cell r="A2614">
            <v>43241</v>
          </cell>
          <cell r="B2614">
            <v>54.728938999999997</v>
          </cell>
        </row>
        <row r="2615">
          <cell r="A2615">
            <v>43242</v>
          </cell>
          <cell r="B2615">
            <v>54.366238000000003</v>
          </cell>
        </row>
        <row r="2616">
          <cell r="A2616">
            <v>43243</v>
          </cell>
          <cell r="B2616">
            <v>54.872104999999998</v>
          </cell>
        </row>
        <row r="2617">
          <cell r="A2617">
            <v>43244</v>
          </cell>
          <cell r="B2617">
            <v>55.053452</v>
          </cell>
        </row>
        <row r="2618">
          <cell r="A2618">
            <v>43245</v>
          </cell>
          <cell r="B2618">
            <v>55.282516000000001</v>
          </cell>
        </row>
        <row r="2619">
          <cell r="A2619">
            <v>43249</v>
          </cell>
          <cell r="B2619">
            <v>54.623939999999997</v>
          </cell>
        </row>
        <row r="2620">
          <cell r="A2620">
            <v>43250</v>
          </cell>
          <cell r="B2620">
            <v>54.862555999999998</v>
          </cell>
        </row>
        <row r="2621">
          <cell r="A2621">
            <v>43251</v>
          </cell>
          <cell r="B2621">
            <v>54.089435999999999</v>
          </cell>
        </row>
        <row r="2622">
          <cell r="A2622">
            <v>43252</v>
          </cell>
          <cell r="B2622">
            <v>54.318511999999998</v>
          </cell>
        </row>
        <row r="2623">
          <cell r="A2623">
            <v>43255</v>
          </cell>
          <cell r="B2623">
            <v>54.471226000000001</v>
          </cell>
        </row>
        <row r="2624">
          <cell r="A2624">
            <v>43256</v>
          </cell>
          <cell r="B2624">
            <v>53.144523999999997</v>
          </cell>
        </row>
        <row r="2625">
          <cell r="A2625">
            <v>43257</v>
          </cell>
          <cell r="B2625">
            <v>54.566665999999998</v>
          </cell>
        </row>
        <row r="2626">
          <cell r="A2626">
            <v>43258</v>
          </cell>
          <cell r="B2626">
            <v>54.538040000000002</v>
          </cell>
        </row>
        <row r="2627">
          <cell r="A2627">
            <v>43259</v>
          </cell>
          <cell r="B2627">
            <v>54.022629000000002</v>
          </cell>
        </row>
        <row r="2628">
          <cell r="A2628">
            <v>43262</v>
          </cell>
          <cell r="B2628">
            <v>53.908088999999997</v>
          </cell>
        </row>
        <row r="2629">
          <cell r="A2629">
            <v>43263</v>
          </cell>
          <cell r="B2629">
            <v>53.908088999999997</v>
          </cell>
        </row>
        <row r="2630">
          <cell r="A2630">
            <v>43264</v>
          </cell>
          <cell r="B2630">
            <v>53.650390999999999</v>
          </cell>
        </row>
        <row r="2631">
          <cell r="A2631">
            <v>43265</v>
          </cell>
          <cell r="B2631">
            <v>54.423504000000001</v>
          </cell>
        </row>
        <row r="2632">
          <cell r="A2632">
            <v>43266</v>
          </cell>
          <cell r="B2632">
            <v>54.509407000000003</v>
          </cell>
        </row>
        <row r="2633">
          <cell r="A2633">
            <v>43269</v>
          </cell>
          <cell r="B2633">
            <v>54.614395000000002</v>
          </cell>
        </row>
        <row r="2634">
          <cell r="A2634">
            <v>43270</v>
          </cell>
          <cell r="B2634">
            <v>54.814830999999998</v>
          </cell>
        </row>
        <row r="2635">
          <cell r="A2635">
            <v>43271</v>
          </cell>
          <cell r="B2635">
            <v>49.842075000000001</v>
          </cell>
        </row>
        <row r="2636">
          <cell r="A2636">
            <v>43272</v>
          </cell>
          <cell r="B2636">
            <v>48.314934000000001</v>
          </cell>
        </row>
        <row r="2637">
          <cell r="A2637">
            <v>43273</v>
          </cell>
          <cell r="B2637">
            <v>48.906708000000002</v>
          </cell>
        </row>
        <row r="2638">
          <cell r="A2638">
            <v>43276</v>
          </cell>
          <cell r="B2638">
            <v>48.353115000000003</v>
          </cell>
        </row>
        <row r="2639">
          <cell r="A2639">
            <v>43277</v>
          </cell>
          <cell r="B2639">
            <v>48.085869000000002</v>
          </cell>
        </row>
        <row r="2640">
          <cell r="A2640">
            <v>43278</v>
          </cell>
          <cell r="B2640">
            <v>47.570456999999998</v>
          </cell>
        </row>
        <row r="2641">
          <cell r="A2641">
            <v>43279</v>
          </cell>
          <cell r="B2641">
            <v>46.329655000000002</v>
          </cell>
        </row>
        <row r="2642">
          <cell r="A2642">
            <v>43280</v>
          </cell>
          <cell r="B2642">
            <v>46.625534000000002</v>
          </cell>
        </row>
        <row r="2643">
          <cell r="A2643">
            <v>43283</v>
          </cell>
          <cell r="B2643">
            <v>46.825980999999999</v>
          </cell>
        </row>
        <row r="2644">
          <cell r="A2644">
            <v>43284</v>
          </cell>
          <cell r="B2644">
            <v>46.549179000000002</v>
          </cell>
        </row>
        <row r="2645">
          <cell r="A2645">
            <v>43286</v>
          </cell>
          <cell r="B2645">
            <v>46.396464999999999</v>
          </cell>
        </row>
        <row r="2646">
          <cell r="A2646">
            <v>43287</v>
          </cell>
          <cell r="B2646">
            <v>46.749622000000002</v>
          </cell>
        </row>
        <row r="2647">
          <cell r="A2647">
            <v>43290</v>
          </cell>
          <cell r="B2647">
            <v>47.627727999999998</v>
          </cell>
        </row>
        <row r="2648">
          <cell r="A2648">
            <v>43291</v>
          </cell>
          <cell r="B2648">
            <v>48.124046</v>
          </cell>
        </row>
        <row r="2649">
          <cell r="A2649">
            <v>43292</v>
          </cell>
          <cell r="B2649">
            <v>47.856796000000003</v>
          </cell>
        </row>
        <row r="2650">
          <cell r="A2650">
            <v>43293</v>
          </cell>
          <cell r="B2650">
            <v>47.961781000000002</v>
          </cell>
        </row>
        <row r="2651">
          <cell r="A2651">
            <v>43294</v>
          </cell>
          <cell r="B2651">
            <v>49.269401999999999</v>
          </cell>
        </row>
        <row r="2652">
          <cell r="A2652">
            <v>43297</v>
          </cell>
          <cell r="B2652">
            <v>48.620368999999997</v>
          </cell>
        </row>
        <row r="2653">
          <cell r="A2653">
            <v>43298</v>
          </cell>
          <cell r="B2653">
            <v>48.944878000000003</v>
          </cell>
        </row>
        <row r="2654">
          <cell r="A2654">
            <v>43299</v>
          </cell>
          <cell r="B2654">
            <v>48.820805</v>
          </cell>
        </row>
        <row r="2655">
          <cell r="A2655">
            <v>43300</v>
          </cell>
          <cell r="B2655">
            <v>49.002147999999998</v>
          </cell>
        </row>
        <row r="2656">
          <cell r="A2656">
            <v>43301</v>
          </cell>
          <cell r="B2656">
            <v>48.591735999999997</v>
          </cell>
        </row>
        <row r="2657">
          <cell r="A2657">
            <v>43304</v>
          </cell>
          <cell r="B2657">
            <v>48.858981999999997</v>
          </cell>
        </row>
        <row r="2658">
          <cell r="A2658">
            <v>43305</v>
          </cell>
          <cell r="B2658">
            <v>48.839893000000004</v>
          </cell>
        </row>
        <row r="2659">
          <cell r="A2659">
            <v>43306</v>
          </cell>
          <cell r="B2659">
            <v>49.269401999999999</v>
          </cell>
        </row>
        <row r="2660">
          <cell r="A2660">
            <v>43307</v>
          </cell>
          <cell r="B2660">
            <v>49.107135999999997</v>
          </cell>
        </row>
        <row r="2661">
          <cell r="A2661">
            <v>43308</v>
          </cell>
          <cell r="B2661">
            <v>49.775269000000002</v>
          </cell>
        </row>
        <row r="2662">
          <cell r="A2662">
            <v>43311</v>
          </cell>
          <cell r="B2662">
            <v>49.536655000000003</v>
          </cell>
        </row>
        <row r="2663">
          <cell r="A2663">
            <v>43312</v>
          </cell>
          <cell r="B2663">
            <v>50.004340999999997</v>
          </cell>
        </row>
        <row r="2664">
          <cell r="A2664">
            <v>43313</v>
          </cell>
          <cell r="B2664">
            <v>49.565289</v>
          </cell>
        </row>
        <row r="2665">
          <cell r="A2665">
            <v>43314</v>
          </cell>
          <cell r="B2665">
            <v>49.326667999999998</v>
          </cell>
        </row>
        <row r="2666">
          <cell r="A2666">
            <v>43315</v>
          </cell>
          <cell r="B2666">
            <v>49.851624000000001</v>
          </cell>
        </row>
        <row r="2667">
          <cell r="A2667">
            <v>43318</v>
          </cell>
          <cell r="B2667">
            <v>49.698909999999998</v>
          </cell>
        </row>
        <row r="2668">
          <cell r="A2668">
            <v>43319</v>
          </cell>
          <cell r="B2668">
            <v>49.698909999999998</v>
          </cell>
        </row>
        <row r="2669">
          <cell r="A2669">
            <v>43320</v>
          </cell>
          <cell r="B2669">
            <v>49.545127999999998</v>
          </cell>
        </row>
        <row r="2670">
          <cell r="A2670">
            <v>43321</v>
          </cell>
          <cell r="B2670">
            <v>49.900742000000001</v>
          </cell>
        </row>
        <row r="2671">
          <cell r="A2671">
            <v>43322</v>
          </cell>
          <cell r="B2671">
            <v>49.506683000000002</v>
          </cell>
        </row>
        <row r="2672">
          <cell r="A2672">
            <v>43325</v>
          </cell>
          <cell r="B2672">
            <v>49.795025000000003</v>
          </cell>
        </row>
        <row r="2673">
          <cell r="A2673">
            <v>43326</v>
          </cell>
          <cell r="B2673">
            <v>50.544685000000001</v>
          </cell>
        </row>
        <row r="2674">
          <cell r="A2674">
            <v>43327</v>
          </cell>
          <cell r="B2674">
            <v>50.698459999999997</v>
          </cell>
        </row>
        <row r="2675">
          <cell r="A2675">
            <v>43328</v>
          </cell>
          <cell r="B2675">
            <v>50.977184000000001</v>
          </cell>
        </row>
        <row r="2676">
          <cell r="A2676">
            <v>43329</v>
          </cell>
          <cell r="B2676">
            <v>51.476962999999998</v>
          </cell>
        </row>
        <row r="2677">
          <cell r="A2677">
            <v>43332</v>
          </cell>
          <cell r="B2677">
            <v>51.822963999999999</v>
          </cell>
        </row>
        <row r="2678">
          <cell r="A2678">
            <v>43333</v>
          </cell>
          <cell r="B2678">
            <v>51.899849000000003</v>
          </cell>
        </row>
        <row r="2679">
          <cell r="A2679">
            <v>43334</v>
          </cell>
          <cell r="B2679">
            <v>50.765739000000004</v>
          </cell>
        </row>
        <row r="2680">
          <cell r="A2680">
            <v>43335</v>
          </cell>
          <cell r="B2680">
            <v>50.611961000000001</v>
          </cell>
        </row>
        <row r="2681">
          <cell r="A2681">
            <v>43336</v>
          </cell>
          <cell r="B2681">
            <v>50.698459999999997</v>
          </cell>
        </row>
        <row r="2682">
          <cell r="A2682">
            <v>43339</v>
          </cell>
          <cell r="B2682">
            <v>50.909903999999997</v>
          </cell>
        </row>
        <row r="2683">
          <cell r="A2683">
            <v>43340</v>
          </cell>
          <cell r="B2683">
            <v>50.986794000000003</v>
          </cell>
        </row>
        <row r="2684">
          <cell r="A2684">
            <v>43341</v>
          </cell>
          <cell r="B2684">
            <v>51.179015999999997</v>
          </cell>
        </row>
        <row r="2685">
          <cell r="A2685">
            <v>43342</v>
          </cell>
          <cell r="B2685">
            <v>51.034851000000003</v>
          </cell>
        </row>
        <row r="2686">
          <cell r="A2686">
            <v>43343</v>
          </cell>
          <cell r="B2686">
            <v>51.371239000000003</v>
          </cell>
        </row>
        <row r="2687">
          <cell r="A2687">
            <v>43347</v>
          </cell>
          <cell r="B2687">
            <v>51.448127999999997</v>
          </cell>
        </row>
        <row r="2688">
          <cell r="A2688">
            <v>43348</v>
          </cell>
          <cell r="B2688">
            <v>51.698013000000003</v>
          </cell>
        </row>
        <row r="2689">
          <cell r="A2689">
            <v>43349</v>
          </cell>
          <cell r="B2689">
            <v>52.101677000000002</v>
          </cell>
        </row>
        <row r="2690">
          <cell r="A2690">
            <v>43350</v>
          </cell>
          <cell r="B2690">
            <v>52.726398000000003</v>
          </cell>
        </row>
        <row r="2691">
          <cell r="A2691">
            <v>43353</v>
          </cell>
          <cell r="B2691">
            <v>52.832118999999999</v>
          </cell>
        </row>
        <row r="2692">
          <cell r="A2692">
            <v>43354</v>
          </cell>
          <cell r="B2692">
            <v>52.976292000000001</v>
          </cell>
        </row>
        <row r="2693">
          <cell r="A2693">
            <v>43355</v>
          </cell>
          <cell r="B2693">
            <v>52.832118999999999</v>
          </cell>
        </row>
        <row r="2694">
          <cell r="A2694">
            <v>43356</v>
          </cell>
          <cell r="B2694">
            <v>52.755237999999999</v>
          </cell>
        </row>
        <row r="2695">
          <cell r="A2695">
            <v>43357</v>
          </cell>
          <cell r="B2695">
            <v>52.620674000000001</v>
          </cell>
        </row>
        <row r="2696">
          <cell r="A2696">
            <v>43360</v>
          </cell>
          <cell r="B2696">
            <v>52.447681000000003</v>
          </cell>
        </row>
        <row r="2697">
          <cell r="A2697">
            <v>43361</v>
          </cell>
          <cell r="B2697">
            <v>52.928234000000003</v>
          </cell>
        </row>
        <row r="2698">
          <cell r="A2698">
            <v>43362</v>
          </cell>
          <cell r="B2698">
            <v>53.274231</v>
          </cell>
        </row>
        <row r="2699">
          <cell r="A2699">
            <v>43363</v>
          </cell>
          <cell r="B2699">
            <v>54.235340000000001</v>
          </cell>
        </row>
        <row r="2700">
          <cell r="A2700">
            <v>43364</v>
          </cell>
          <cell r="B2700">
            <v>55.215671999999998</v>
          </cell>
        </row>
        <row r="2701">
          <cell r="A2701">
            <v>43367</v>
          </cell>
          <cell r="B2701">
            <v>54.485225999999997</v>
          </cell>
        </row>
        <row r="2702">
          <cell r="A2702">
            <v>43368</v>
          </cell>
          <cell r="B2702">
            <v>54.687057000000003</v>
          </cell>
        </row>
        <row r="2703">
          <cell r="A2703">
            <v>43369</v>
          </cell>
          <cell r="B2703">
            <v>55.042670999999999</v>
          </cell>
        </row>
        <row r="2704">
          <cell r="A2704">
            <v>43370</v>
          </cell>
          <cell r="B2704">
            <v>55.109946999999998</v>
          </cell>
        </row>
        <row r="2705">
          <cell r="A2705">
            <v>43371</v>
          </cell>
          <cell r="B2705">
            <v>54.629395000000002</v>
          </cell>
        </row>
        <row r="2706">
          <cell r="A2706">
            <v>43374</v>
          </cell>
          <cell r="B2706">
            <v>53.418399999999998</v>
          </cell>
        </row>
        <row r="2707">
          <cell r="A2707">
            <v>43375</v>
          </cell>
          <cell r="B2707">
            <v>53.428013</v>
          </cell>
        </row>
        <row r="2708">
          <cell r="A2708">
            <v>43376</v>
          </cell>
          <cell r="B2708">
            <v>53.312674999999999</v>
          </cell>
        </row>
        <row r="2709">
          <cell r="A2709">
            <v>43377</v>
          </cell>
          <cell r="B2709">
            <v>53.716338999999998</v>
          </cell>
        </row>
        <row r="2710">
          <cell r="A2710">
            <v>43378</v>
          </cell>
          <cell r="B2710">
            <v>53.591396000000003</v>
          </cell>
        </row>
        <row r="2711">
          <cell r="A2711">
            <v>43381</v>
          </cell>
          <cell r="B2711">
            <v>54.341061000000003</v>
          </cell>
        </row>
        <row r="2712">
          <cell r="A2712">
            <v>43382</v>
          </cell>
          <cell r="B2712">
            <v>55.465556999999997</v>
          </cell>
        </row>
        <row r="2713">
          <cell r="A2713">
            <v>43383</v>
          </cell>
          <cell r="B2713">
            <v>53.831676000000002</v>
          </cell>
        </row>
        <row r="2714">
          <cell r="A2714">
            <v>43384</v>
          </cell>
          <cell r="B2714">
            <v>52.726398000000003</v>
          </cell>
        </row>
        <row r="2715">
          <cell r="A2715">
            <v>43385</v>
          </cell>
          <cell r="B2715">
            <v>54.254562</v>
          </cell>
        </row>
        <row r="2716">
          <cell r="A2716">
            <v>43388</v>
          </cell>
          <cell r="B2716">
            <v>54.542895999999999</v>
          </cell>
        </row>
        <row r="2717">
          <cell r="A2717">
            <v>43389</v>
          </cell>
          <cell r="B2717">
            <v>55.561667999999997</v>
          </cell>
        </row>
        <row r="2718">
          <cell r="A2718">
            <v>43390</v>
          </cell>
          <cell r="B2718">
            <v>56.801498000000002</v>
          </cell>
        </row>
        <row r="2719">
          <cell r="A2719">
            <v>43391</v>
          </cell>
          <cell r="B2719">
            <v>56.359389999999998</v>
          </cell>
        </row>
        <row r="2720">
          <cell r="A2720">
            <v>43392</v>
          </cell>
          <cell r="B2720">
            <v>56.378608999999997</v>
          </cell>
        </row>
        <row r="2721">
          <cell r="A2721">
            <v>43395</v>
          </cell>
          <cell r="B2721">
            <v>56.609279999999998</v>
          </cell>
        </row>
        <row r="2722">
          <cell r="A2722">
            <v>43396</v>
          </cell>
          <cell r="B2722">
            <v>56.522781000000002</v>
          </cell>
        </row>
        <row r="2723">
          <cell r="A2723">
            <v>43397</v>
          </cell>
          <cell r="B2723">
            <v>55.801949</v>
          </cell>
        </row>
        <row r="2724">
          <cell r="A2724">
            <v>43398</v>
          </cell>
          <cell r="B2724">
            <v>56.666946000000003</v>
          </cell>
        </row>
        <row r="2725">
          <cell r="A2725">
            <v>43399</v>
          </cell>
          <cell r="B2725">
            <v>55.811562000000002</v>
          </cell>
        </row>
        <row r="2726">
          <cell r="A2726">
            <v>43402</v>
          </cell>
          <cell r="B2726">
            <v>56.099894999999997</v>
          </cell>
        </row>
        <row r="2727">
          <cell r="A2727">
            <v>43403</v>
          </cell>
          <cell r="B2727">
            <v>56.311340000000001</v>
          </cell>
        </row>
        <row r="2728">
          <cell r="A2728">
            <v>43404</v>
          </cell>
          <cell r="B2728">
            <v>56.003779999999999</v>
          </cell>
        </row>
        <row r="2729">
          <cell r="A2729">
            <v>43405</v>
          </cell>
          <cell r="B2729">
            <v>56.349777000000003</v>
          </cell>
        </row>
        <row r="2730">
          <cell r="A2730">
            <v>43406</v>
          </cell>
          <cell r="B2730">
            <v>61.818480999999998</v>
          </cell>
        </row>
        <row r="2731">
          <cell r="A2731">
            <v>43409</v>
          </cell>
          <cell r="B2731">
            <v>61.972267000000002</v>
          </cell>
        </row>
        <row r="2732">
          <cell r="A2732">
            <v>43410</v>
          </cell>
          <cell r="B2732">
            <v>63.442753000000003</v>
          </cell>
        </row>
        <row r="2733">
          <cell r="A2733">
            <v>43411</v>
          </cell>
          <cell r="B2733">
            <v>65.509147999999996</v>
          </cell>
        </row>
        <row r="2734">
          <cell r="A2734">
            <v>43412</v>
          </cell>
          <cell r="B2734">
            <v>66.047370999999998</v>
          </cell>
        </row>
        <row r="2735">
          <cell r="A2735">
            <v>43413</v>
          </cell>
          <cell r="B2735">
            <v>65.932022000000003</v>
          </cell>
        </row>
        <row r="2736">
          <cell r="A2736">
            <v>43416</v>
          </cell>
          <cell r="B2736">
            <v>65.268860000000004</v>
          </cell>
        </row>
        <row r="2737">
          <cell r="A2737">
            <v>43417</v>
          </cell>
          <cell r="B2737">
            <v>64.788307000000003</v>
          </cell>
        </row>
        <row r="2738">
          <cell r="A2738">
            <v>43418</v>
          </cell>
          <cell r="B2738">
            <v>64.778648000000004</v>
          </cell>
        </row>
        <row r="2739">
          <cell r="A2739">
            <v>43419</v>
          </cell>
          <cell r="B2739">
            <v>65.339072999999999</v>
          </cell>
        </row>
        <row r="2740">
          <cell r="A2740">
            <v>43420</v>
          </cell>
          <cell r="B2740">
            <v>65.860870000000006</v>
          </cell>
        </row>
        <row r="2741">
          <cell r="A2741">
            <v>43423</v>
          </cell>
          <cell r="B2741">
            <v>65.619308000000004</v>
          </cell>
        </row>
        <row r="2742">
          <cell r="A2742">
            <v>43424</v>
          </cell>
          <cell r="B2742">
            <v>64.913933</v>
          </cell>
        </row>
        <row r="2743">
          <cell r="A2743">
            <v>43425</v>
          </cell>
          <cell r="B2743">
            <v>64.517760999999993</v>
          </cell>
        </row>
        <row r="2744">
          <cell r="A2744">
            <v>43427</v>
          </cell>
          <cell r="B2744">
            <v>63.483848999999999</v>
          </cell>
        </row>
        <row r="2745">
          <cell r="A2745">
            <v>43430</v>
          </cell>
          <cell r="B2745">
            <v>63.474186000000003</v>
          </cell>
        </row>
        <row r="2746">
          <cell r="A2746">
            <v>43431</v>
          </cell>
          <cell r="B2746">
            <v>63.851027999999999</v>
          </cell>
        </row>
        <row r="2747">
          <cell r="A2747">
            <v>43432</v>
          </cell>
          <cell r="B2747">
            <v>64.566070999999994</v>
          </cell>
        </row>
        <row r="2748">
          <cell r="A2748">
            <v>43433</v>
          </cell>
          <cell r="B2748">
            <v>64.624038999999996</v>
          </cell>
        </row>
        <row r="2749">
          <cell r="A2749">
            <v>43434</v>
          </cell>
          <cell r="B2749">
            <v>64.469443999999996</v>
          </cell>
        </row>
        <row r="2750">
          <cell r="A2750">
            <v>43437</v>
          </cell>
          <cell r="B2750">
            <v>65.223122000000004</v>
          </cell>
        </row>
        <row r="2751">
          <cell r="A2751">
            <v>43438</v>
          </cell>
          <cell r="B2751">
            <v>64.401802000000004</v>
          </cell>
        </row>
        <row r="2752">
          <cell r="A2752">
            <v>43440</v>
          </cell>
          <cell r="B2752">
            <v>64.305176000000003</v>
          </cell>
        </row>
        <row r="2753">
          <cell r="A2753">
            <v>43441</v>
          </cell>
          <cell r="B2753">
            <v>63.261600000000001</v>
          </cell>
        </row>
        <row r="2754">
          <cell r="A2754">
            <v>43444</v>
          </cell>
          <cell r="B2754">
            <v>63.280929999999998</v>
          </cell>
        </row>
        <row r="2755">
          <cell r="A2755">
            <v>43445</v>
          </cell>
          <cell r="B2755">
            <v>63.696429999999999</v>
          </cell>
        </row>
        <row r="2756">
          <cell r="A2756">
            <v>43446</v>
          </cell>
          <cell r="B2756">
            <v>63.899334000000003</v>
          </cell>
        </row>
        <row r="2757">
          <cell r="A2757">
            <v>43447</v>
          </cell>
          <cell r="B2757">
            <v>64.653037999999995</v>
          </cell>
        </row>
        <row r="2758">
          <cell r="A2758">
            <v>43448</v>
          </cell>
          <cell r="B2758">
            <v>63.135983000000003</v>
          </cell>
        </row>
        <row r="2759">
          <cell r="A2759">
            <v>43451</v>
          </cell>
          <cell r="B2759">
            <v>62.295341000000001</v>
          </cell>
        </row>
        <row r="2760">
          <cell r="A2760">
            <v>43452</v>
          </cell>
          <cell r="B2760">
            <v>62.730159999999998</v>
          </cell>
        </row>
        <row r="2761">
          <cell r="A2761">
            <v>43453</v>
          </cell>
          <cell r="B2761">
            <v>61.899166000000001</v>
          </cell>
        </row>
        <row r="2762">
          <cell r="A2762">
            <v>43454</v>
          </cell>
          <cell r="B2762">
            <v>60.053589000000002</v>
          </cell>
        </row>
        <row r="2763">
          <cell r="A2763">
            <v>43455</v>
          </cell>
          <cell r="B2763">
            <v>59.319229</v>
          </cell>
        </row>
        <row r="2764">
          <cell r="A2764">
            <v>43458</v>
          </cell>
          <cell r="B2764">
            <v>58.517223000000001</v>
          </cell>
        </row>
        <row r="2765">
          <cell r="A2765">
            <v>43460</v>
          </cell>
          <cell r="B2765">
            <v>60.952224999999999</v>
          </cell>
        </row>
        <row r="2766">
          <cell r="A2766">
            <v>43461</v>
          </cell>
          <cell r="B2766">
            <v>61.068179999999998</v>
          </cell>
        </row>
        <row r="2767">
          <cell r="A2767">
            <v>43462</v>
          </cell>
          <cell r="B2767">
            <v>61.251761999999999</v>
          </cell>
        </row>
        <row r="2768">
          <cell r="A2768">
            <v>43465</v>
          </cell>
          <cell r="B2768">
            <v>62.227694999999997</v>
          </cell>
        </row>
        <row r="2769">
          <cell r="A2769">
            <v>43467</v>
          </cell>
          <cell r="B2769">
            <v>62.150398000000003</v>
          </cell>
        </row>
        <row r="2770">
          <cell r="A2770">
            <v>43468</v>
          </cell>
          <cell r="B2770">
            <v>59.454501999999998</v>
          </cell>
        </row>
        <row r="2771">
          <cell r="A2771">
            <v>43469</v>
          </cell>
          <cell r="B2771">
            <v>61.425697</v>
          </cell>
        </row>
        <row r="2772">
          <cell r="A2772">
            <v>43472</v>
          </cell>
          <cell r="B2772">
            <v>61.425697</v>
          </cell>
        </row>
        <row r="2773">
          <cell r="A2773">
            <v>43473</v>
          </cell>
          <cell r="B2773">
            <v>61.474007</v>
          </cell>
        </row>
        <row r="2774">
          <cell r="A2774">
            <v>43474</v>
          </cell>
          <cell r="B2774">
            <v>61.725242999999999</v>
          </cell>
        </row>
        <row r="2775">
          <cell r="A2775">
            <v>43475</v>
          </cell>
          <cell r="B2775">
            <v>62.02478</v>
          </cell>
        </row>
        <row r="2776">
          <cell r="A2776">
            <v>43476</v>
          </cell>
          <cell r="B2776">
            <v>61.580295999999997</v>
          </cell>
        </row>
        <row r="2777">
          <cell r="A2777">
            <v>43479</v>
          </cell>
          <cell r="B2777">
            <v>61.232441000000001</v>
          </cell>
        </row>
        <row r="2778">
          <cell r="A2778">
            <v>43480</v>
          </cell>
          <cell r="B2778">
            <v>61.918495</v>
          </cell>
        </row>
        <row r="2779">
          <cell r="A2779">
            <v>43481</v>
          </cell>
          <cell r="B2779">
            <v>61.618949999999998</v>
          </cell>
        </row>
        <row r="2780">
          <cell r="A2780">
            <v>43482</v>
          </cell>
          <cell r="B2780">
            <v>62.111744000000002</v>
          </cell>
        </row>
        <row r="2781">
          <cell r="A2781">
            <v>43483</v>
          </cell>
          <cell r="B2781">
            <v>62.517574000000003</v>
          </cell>
        </row>
        <row r="2782">
          <cell r="A2782">
            <v>43487</v>
          </cell>
          <cell r="B2782">
            <v>63.184311000000001</v>
          </cell>
        </row>
        <row r="2783">
          <cell r="A2783">
            <v>43488</v>
          </cell>
          <cell r="B2783">
            <v>64.189223999999996</v>
          </cell>
        </row>
        <row r="2784">
          <cell r="A2784">
            <v>43489</v>
          </cell>
          <cell r="B2784">
            <v>62.556232000000001</v>
          </cell>
        </row>
        <row r="2785">
          <cell r="A2785">
            <v>43490</v>
          </cell>
          <cell r="B2785">
            <v>64.826958000000005</v>
          </cell>
        </row>
        <row r="2786">
          <cell r="A2786">
            <v>43493</v>
          </cell>
          <cell r="B2786">
            <v>64.643371999999999</v>
          </cell>
        </row>
        <row r="2787">
          <cell r="A2787">
            <v>43494</v>
          </cell>
          <cell r="B2787">
            <v>64.778648000000004</v>
          </cell>
        </row>
        <row r="2788">
          <cell r="A2788">
            <v>43495</v>
          </cell>
          <cell r="B2788">
            <v>65.851212000000004</v>
          </cell>
        </row>
        <row r="2789">
          <cell r="A2789">
            <v>43496</v>
          </cell>
          <cell r="B2789">
            <v>65.841544999999996</v>
          </cell>
        </row>
        <row r="2790">
          <cell r="A2790">
            <v>43497</v>
          </cell>
          <cell r="B2790">
            <v>65.812561000000002</v>
          </cell>
        </row>
        <row r="2791">
          <cell r="A2791">
            <v>43500</v>
          </cell>
          <cell r="B2791">
            <v>65.300430000000006</v>
          </cell>
        </row>
        <row r="2792">
          <cell r="A2792">
            <v>43501</v>
          </cell>
          <cell r="B2792">
            <v>67.001059999999995</v>
          </cell>
        </row>
        <row r="2793">
          <cell r="A2793">
            <v>43502</v>
          </cell>
          <cell r="B2793">
            <v>66.874802000000003</v>
          </cell>
        </row>
        <row r="2794">
          <cell r="A2794">
            <v>43503</v>
          </cell>
          <cell r="B2794">
            <v>67.156464</v>
          </cell>
        </row>
        <row r="2795">
          <cell r="A2795">
            <v>43504</v>
          </cell>
          <cell r="B2795">
            <v>67.74897</v>
          </cell>
        </row>
        <row r="2796">
          <cell r="A2796">
            <v>43507</v>
          </cell>
          <cell r="B2796">
            <v>67.982085999999995</v>
          </cell>
        </row>
        <row r="2797">
          <cell r="A2797">
            <v>43508</v>
          </cell>
          <cell r="B2797">
            <v>67.74897</v>
          </cell>
        </row>
        <row r="2798">
          <cell r="A2798">
            <v>43509</v>
          </cell>
          <cell r="B2798">
            <v>68.487166999999999</v>
          </cell>
        </row>
        <row r="2799">
          <cell r="A2799">
            <v>43510</v>
          </cell>
          <cell r="B2799">
            <v>68.807700999999994</v>
          </cell>
        </row>
        <row r="2800">
          <cell r="A2800">
            <v>43511</v>
          </cell>
          <cell r="B2800">
            <v>68.681434999999993</v>
          </cell>
        </row>
        <row r="2801">
          <cell r="A2801">
            <v>43515</v>
          </cell>
          <cell r="B2801">
            <v>68.186065999999997</v>
          </cell>
        </row>
        <row r="2802">
          <cell r="A2802">
            <v>43516</v>
          </cell>
          <cell r="B2802">
            <v>68.370621</v>
          </cell>
        </row>
        <row r="2803">
          <cell r="A2803">
            <v>43517</v>
          </cell>
          <cell r="B2803">
            <v>68.671722000000003</v>
          </cell>
        </row>
        <row r="2804">
          <cell r="A2804">
            <v>43518</v>
          </cell>
          <cell r="B2804">
            <v>69.254517000000007</v>
          </cell>
        </row>
        <row r="2805">
          <cell r="A2805">
            <v>43521</v>
          </cell>
          <cell r="B2805">
            <v>69.011680999999996</v>
          </cell>
        </row>
        <row r="2806">
          <cell r="A2806">
            <v>43522</v>
          </cell>
          <cell r="B2806">
            <v>69.099097999999998</v>
          </cell>
        </row>
        <row r="2807">
          <cell r="A2807">
            <v>43523</v>
          </cell>
          <cell r="B2807">
            <v>68.137496999999996</v>
          </cell>
        </row>
        <row r="2808">
          <cell r="A2808">
            <v>43524</v>
          </cell>
          <cell r="B2808">
            <v>68.244347000000005</v>
          </cell>
        </row>
        <row r="2809">
          <cell r="A2809">
            <v>43525</v>
          </cell>
          <cell r="B2809">
            <v>68.817413000000002</v>
          </cell>
        </row>
        <row r="2810">
          <cell r="A2810">
            <v>43528</v>
          </cell>
          <cell r="B2810">
            <v>68.914542999999995</v>
          </cell>
        </row>
        <row r="2811">
          <cell r="A2811">
            <v>43529</v>
          </cell>
          <cell r="B2811">
            <v>69.526482000000001</v>
          </cell>
        </row>
        <row r="2812">
          <cell r="A2812">
            <v>43530</v>
          </cell>
          <cell r="B2812">
            <v>69.225357000000002</v>
          </cell>
        </row>
        <row r="2813">
          <cell r="A2813">
            <v>43531</v>
          </cell>
          <cell r="B2813">
            <v>68.584297000000007</v>
          </cell>
        </row>
        <row r="2814">
          <cell r="A2814">
            <v>43532</v>
          </cell>
          <cell r="B2814">
            <v>67.370163000000005</v>
          </cell>
        </row>
        <row r="2815">
          <cell r="A2815">
            <v>43535</v>
          </cell>
          <cell r="B2815">
            <v>67.680983999999995</v>
          </cell>
        </row>
        <row r="2816">
          <cell r="A2816">
            <v>43536</v>
          </cell>
          <cell r="B2816">
            <v>68.040374999999997</v>
          </cell>
        </row>
        <row r="2817">
          <cell r="A2817">
            <v>43537</v>
          </cell>
          <cell r="B2817">
            <v>68.088920999999999</v>
          </cell>
        </row>
        <row r="2818">
          <cell r="A2818">
            <v>43538</v>
          </cell>
          <cell r="B2818">
            <v>68.710564000000005</v>
          </cell>
        </row>
        <row r="2819">
          <cell r="A2819">
            <v>43539</v>
          </cell>
          <cell r="B2819">
            <v>68.642578</v>
          </cell>
        </row>
        <row r="2820">
          <cell r="A2820">
            <v>43542</v>
          </cell>
          <cell r="B2820">
            <v>68.807700999999994</v>
          </cell>
        </row>
        <row r="2821">
          <cell r="A2821">
            <v>43543</v>
          </cell>
          <cell r="B2821">
            <v>69.332222000000002</v>
          </cell>
        </row>
        <row r="2822">
          <cell r="A2822">
            <v>43544</v>
          </cell>
          <cell r="B2822">
            <v>69.575035</v>
          </cell>
        </row>
        <row r="2823">
          <cell r="A2823">
            <v>43545</v>
          </cell>
          <cell r="B2823">
            <v>70.186974000000006</v>
          </cell>
        </row>
        <row r="2824">
          <cell r="A2824">
            <v>43546</v>
          </cell>
          <cell r="B2824">
            <v>69.895576000000005</v>
          </cell>
        </row>
        <row r="2825">
          <cell r="A2825">
            <v>43549</v>
          </cell>
          <cell r="B2825">
            <v>70.225821999999994</v>
          </cell>
        </row>
        <row r="2826">
          <cell r="A2826">
            <v>43550</v>
          </cell>
          <cell r="B2826">
            <v>70.866882000000004</v>
          </cell>
        </row>
        <row r="2827">
          <cell r="A2827">
            <v>43551</v>
          </cell>
          <cell r="B2827">
            <v>70.653191000000007</v>
          </cell>
        </row>
        <row r="2828">
          <cell r="A2828">
            <v>43552</v>
          </cell>
          <cell r="B2828">
            <v>71.838202999999993</v>
          </cell>
        </row>
        <row r="2829">
          <cell r="A2829">
            <v>43553</v>
          </cell>
          <cell r="B2829">
            <v>72.207283000000004</v>
          </cell>
        </row>
        <row r="2830">
          <cell r="A2830">
            <v>43556</v>
          </cell>
          <cell r="B2830">
            <v>71.838202999999993</v>
          </cell>
        </row>
        <row r="2831">
          <cell r="A2831">
            <v>43557</v>
          </cell>
          <cell r="B2831">
            <v>72.139304999999993</v>
          </cell>
        </row>
        <row r="2832">
          <cell r="A2832">
            <v>43558</v>
          </cell>
          <cell r="B2832">
            <v>72.197570999999996</v>
          </cell>
        </row>
        <row r="2833">
          <cell r="A2833">
            <v>43559</v>
          </cell>
          <cell r="B2833">
            <v>72.217003000000005</v>
          </cell>
        </row>
        <row r="2834">
          <cell r="A2834">
            <v>43560</v>
          </cell>
          <cell r="B2834">
            <v>72.877502000000007</v>
          </cell>
        </row>
        <row r="2835">
          <cell r="A2835">
            <v>43563</v>
          </cell>
          <cell r="B2835">
            <v>73.042618000000004</v>
          </cell>
        </row>
        <row r="2836">
          <cell r="A2836">
            <v>43564</v>
          </cell>
          <cell r="B2836">
            <v>72.964920000000006</v>
          </cell>
        </row>
        <row r="2837">
          <cell r="A2837">
            <v>43565</v>
          </cell>
          <cell r="B2837">
            <v>73.314598000000004</v>
          </cell>
        </row>
        <row r="2838">
          <cell r="A2838">
            <v>43566</v>
          </cell>
          <cell r="B2838">
            <v>73.693398000000002</v>
          </cell>
        </row>
        <row r="2839">
          <cell r="A2839">
            <v>43567</v>
          </cell>
          <cell r="B2839">
            <v>74.451026999999996</v>
          </cell>
        </row>
        <row r="2840">
          <cell r="A2840">
            <v>43570</v>
          </cell>
          <cell r="B2840">
            <v>73.975089999999994</v>
          </cell>
        </row>
        <row r="2841">
          <cell r="A2841">
            <v>43571</v>
          </cell>
          <cell r="B2841">
            <v>73.528274999999994</v>
          </cell>
        </row>
        <row r="2842">
          <cell r="A2842">
            <v>43572</v>
          </cell>
          <cell r="B2842">
            <v>72.964920000000006</v>
          </cell>
        </row>
        <row r="2843">
          <cell r="A2843">
            <v>43573</v>
          </cell>
          <cell r="B2843">
            <v>73.877944999999997</v>
          </cell>
        </row>
        <row r="2844">
          <cell r="A2844">
            <v>43577</v>
          </cell>
          <cell r="B2844">
            <v>73.236885000000001</v>
          </cell>
        </row>
        <row r="2845">
          <cell r="A2845">
            <v>43578</v>
          </cell>
          <cell r="B2845">
            <v>73.809959000000006</v>
          </cell>
        </row>
        <row r="2846">
          <cell r="A2846">
            <v>43579</v>
          </cell>
          <cell r="B2846">
            <v>74.198470999999998</v>
          </cell>
        </row>
        <row r="2847">
          <cell r="A2847">
            <v>43580</v>
          </cell>
          <cell r="B2847">
            <v>74.897835000000001</v>
          </cell>
        </row>
        <row r="2848">
          <cell r="A2848">
            <v>43581</v>
          </cell>
          <cell r="B2848">
            <v>75.228072999999995</v>
          </cell>
        </row>
        <row r="2849">
          <cell r="A2849">
            <v>43584</v>
          </cell>
          <cell r="B2849">
            <v>74.703568000000004</v>
          </cell>
        </row>
        <row r="2850">
          <cell r="A2850">
            <v>43585</v>
          </cell>
          <cell r="B2850">
            <v>75.451476999999997</v>
          </cell>
        </row>
        <row r="2851">
          <cell r="A2851">
            <v>43586</v>
          </cell>
          <cell r="B2851">
            <v>75.296059</v>
          </cell>
        </row>
        <row r="2852">
          <cell r="A2852">
            <v>43587</v>
          </cell>
          <cell r="B2852">
            <v>75.247497999999993</v>
          </cell>
        </row>
        <row r="2853">
          <cell r="A2853">
            <v>43588</v>
          </cell>
          <cell r="B2853">
            <v>75.810867000000002</v>
          </cell>
        </row>
        <row r="2854">
          <cell r="A2854">
            <v>43591</v>
          </cell>
          <cell r="B2854">
            <v>75.820571999999999</v>
          </cell>
        </row>
        <row r="2855">
          <cell r="A2855">
            <v>43592</v>
          </cell>
          <cell r="B2855">
            <v>75.723442000000006</v>
          </cell>
        </row>
        <row r="2856">
          <cell r="A2856">
            <v>43593</v>
          </cell>
          <cell r="B2856">
            <v>76.162566999999996</v>
          </cell>
        </row>
        <row r="2857">
          <cell r="A2857">
            <v>43594</v>
          </cell>
          <cell r="B2857">
            <v>76.016182000000001</v>
          </cell>
        </row>
        <row r="2858">
          <cell r="A2858">
            <v>43595</v>
          </cell>
          <cell r="B2858">
            <v>76.523612999999997</v>
          </cell>
        </row>
        <row r="2859">
          <cell r="A2859">
            <v>43598</v>
          </cell>
          <cell r="B2859">
            <v>74.825683999999995</v>
          </cell>
        </row>
        <row r="2860">
          <cell r="A2860">
            <v>43599</v>
          </cell>
          <cell r="B2860">
            <v>75.196494999999999</v>
          </cell>
        </row>
        <row r="2861">
          <cell r="A2861">
            <v>43600</v>
          </cell>
          <cell r="B2861">
            <v>75.879577999999995</v>
          </cell>
        </row>
        <row r="2862">
          <cell r="A2862">
            <v>43601</v>
          </cell>
          <cell r="B2862">
            <v>76.992003999999994</v>
          </cell>
        </row>
        <row r="2863">
          <cell r="A2863">
            <v>43602</v>
          </cell>
          <cell r="B2863">
            <v>77.001761999999999</v>
          </cell>
        </row>
        <row r="2864">
          <cell r="A2864">
            <v>43605</v>
          </cell>
          <cell r="B2864">
            <v>74.806174999999996</v>
          </cell>
        </row>
        <row r="2865">
          <cell r="A2865">
            <v>43606</v>
          </cell>
          <cell r="B2865">
            <v>75.655135999999999</v>
          </cell>
        </row>
        <row r="2866">
          <cell r="A2866">
            <v>43607</v>
          </cell>
          <cell r="B2866">
            <v>75.381905000000003</v>
          </cell>
        </row>
        <row r="2867">
          <cell r="A2867">
            <v>43608</v>
          </cell>
          <cell r="B2867">
            <v>74.562218000000001</v>
          </cell>
        </row>
        <row r="2868">
          <cell r="A2868">
            <v>43609</v>
          </cell>
          <cell r="B2868">
            <v>74.308502000000004</v>
          </cell>
        </row>
        <row r="2869">
          <cell r="A2869">
            <v>43613</v>
          </cell>
          <cell r="B2869">
            <v>73.869377</v>
          </cell>
        </row>
        <row r="2870">
          <cell r="A2870">
            <v>43614</v>
          </cell>
          <cell r="B2870">
            <v>73.459541000000002</v>
          </cell>
        </row>
        <row r="2871">
          <cell r="A2871">
            <v>43615</v>
          </cell>
          <cell r="B2871">
            <v>74.328018</v>
          </cell>
        </row>
        <row r="2872">
          <cell r="A2872">
            <v>43616</v>
          </cell>
          <cell r="B2872">
            <v>74.220680000000002</v>
          </cell>
        </row>
        <row r="2873">
          <cell r="A2873">
            <v>43619</v>
          </cell>
          <cell r="B2873">
            <v>74.376816000000005</v>
          </cell>
        </row>
        <row r="2874">
          <cell r="A2874">
            <v>43620</v>
          </cell>
          <cell r="B2874">
            <v>76.621184999999997</v>
          </cell>
        </row>
        <row r="2875">
          <cell r="A2875">
            <v>43621</v>
          </cell>
          <cell r="B2875">
            <v>78.026366999999993</v>
          </cell>
        </row>
        <row r="2876">
          <cell r="A2876">
            <v>43622</v>
          </cell>
          <cell r="B2876">
            <v>79.431549000000004</v>
          </cell>
        </row>
        <row r="2877">
          <cell r="A2877">
            <v>43623</v>
          </cell>
          <cell r="B2877">
            <v>80.485427999999999</v>
          </cell>
        </row>
        <row r="2878">
          <cell r="A2878">
            <v>43626</v>
          </cell>
          <cell r="B2878">
            <v>79.948723000000001</v>
          </cell>
        </row>
        <row r="2879">
          <cell r="A2879">
            <v>43627</v>
          </cell>
          <cell r="B2879">
            <v>80.378097999999994</v>
          </cell>
        </row>
        <row r="2880">
          <cell r="A2880">
            <v>43628</v>
          </cell>
          <cell r="B2880">
            <v>80.924544999999995</v>
          </cell>
        </row>
        <row r="2881">
          <cell r="A2881">
            <v>43629</v>
          </cell>
          <cell r="B2881">
            <v>81.334380999999993</v>
          </cell>
        </row>
        <row r="2882">
          <cell r="A2882">
            <v>43630</v>
          </cell>
          <cell r="B2882">
            <v>82.202866</v>
          </cell>
        </row>
        <row r="2883">
          <cell r="A2883">
            <v>43633</v>
          </cell>
          <cell r="B2883">
            <v>81.012366999999998</v>
          </cell>
        </row>
        <row r="2884">
          <cell r="A2884">
            <v>43634</v>
          </cell>
          <cell r="B2884">
            <v>80.914787000000004</v>
          </cell>
        </row>
        <row r="2885">
          <cell r="A2885">
            <v>43635</v>
          </cell>
          <cell r="B2885">
            <v>81.783264000000003</v>
          </cell>
        </row>
        <row r="2886">
          <cell r="A2886">
            <v>43636</v>
          </cell>
          <cell r="B2886">
            <v>82.641982999999996</v>
          </cell>
        </row>
        <row r="2887">
          <cell r="A2887">
            <v>43637</v>
          </cell>
          <cell r="B2887">
            <v>81.793021999999993</v>
          </cell>
        </row>
        <row r="2888">
          <cell r="A2888">
            <v>43640</v>
          </cell>
          <cell r="B2888">
            <v>81.627135999999993</v>
          </cell>
        </row>
        <row r="2889">
          <cell r="A2889">
            <v>43641</v>
          </cell>
          <cell r="B2889">
            <v>82.212631000000002</v>
          </cell>
        </row>
        <row r="2890">
          <cell r="A2890">
            <v>43642</v>
          </cell>
          <cell r="B2890">
            <v>81.363663000000003</v>
          </cell>
        </row>
        <row r="2891">
          <cell r="A2891">
            <v>43643</v>
          </cell>
          <cell r="B2891">
            <v>81.539314000000005</v>
          </cell>
        </row>
        <row r="2892">
          <cell r="A2892">
            <v>43644</v>
          </cell>
          <cell r="B2892">
            <v>81.802779999999998</v>
          </cell>
        </row>
        <row r="2893">
          <cell r="A2893">
            <v>43647</v>
          </cell>
          <cell r="B2893">
            <v>82.505379000000005</v>
          </cell>
        </row>
        <row r="2894">
          <cell r="A2894">
            <v>43648</v>
          </cell>
          <cell r="B2894">
            <v>83.442161999999996</v>
          </cell>
        </row>
        <row r="2895">
          <cell r="A2895">
            <v>43649</v>
          </cell>
          <cell r="B2895">
            <v>85.667015000000006</v>
          </cell>
        </row>
        <row r="2896">
          <cell r="A2896">
            <v>43651</v>
          </cell>
          <cell r="B2896">
            <v>85.667015000000006</v>
          </cell>
        </row>
        <row r="2897">
          <cell r="A2897">
            <v>43654</v>
          </cell>
          <cell r="B2897">
            <v>85.325492999999994</v>
          </cell>
        </row>
        <row r="2898">
          <cell r="A2898">
            <v>43655</v>
          </cell>
          <cell r="B2898">
            <v>85.120566999999994</v>
          </cell>
        </row>
        <row r="2899">
          <cell r="A2899">
            <v>43656</v>
          </cell>
          <cell r="B2899">
            <v>86.242751999999996</v>
          </cell>
        </row>
        <row r="2900">
          <cell r="A2900">
            <v>43657</v>
          </cell>
          <cell r="B2900">
            <v>86.916060999999999</v>
          </cell>
        </row>
        <row r="2901">
          <cell r="A2901">
            <v>43658</v>
          </cell>
          <cell r="B2901">
            <v>87.599136000000001</v>
          </cell>
        </row>
        <row r="2902">
          <cell r="A2902">
            <v>43661</v>
          </cell>
          <cell r="B2902">
            <v>87.979705999999993</v>
          </cell>
        </row>
        <row r="2903">
          <cell r="A2903">
            <v>43662</v>
          </cell>
          <cell r="B2903">
            <v>87.901641999999995</v>
          </cell>
        </row>
        <row r="2904">
          <cell r="A2904">
            <v>43663</v>
          </cell>
          <cell r="B2904">
            <v>88.067535000000007</v>
          </cell>
        </row>
        <row r="2905">
          <cell r="A2905">
            <v>43664</v>
          </cell>
          <cell r="B2905">
            <v>89.287307999999996</v>
          </cell>
        </row>
        <row r="2906">
          <cell r="A2906">
            <v>43665</v>
          </cell>
          <cell r="B2906">
            <v>88.116325000000003</v>
          </cell>
        </row>
        <row r="2907">
          <cell r="A2907">
            <v>43668</v>
          </cell>
          <cell r="B2907">
            <v>88.721321000000003</v>
          </cell>
        </row>
        <row r="2908">
          <cell r="A2908">
            <v>43669</v>
          </cell>
          <cell r="B2908">
            <v>87.930923000000007</v>
          </cell>
        </row>
        <row r="2909">
          <cell r="A2909">
            <v>43670</v>
          </cell>
          <cell r="B2909">
            <v>88.45787</v>
          </cell>
        </row>
        <row r="2910">
          <cell r="A2910">
            <v>43671</v>
          </cell>
          <cell r="B2910">
            <v>88.779883999999996</v>
          </cell>
        </row>
        <row r="2911">
          <cell r="A2911">
            <v>43672</v>
          </cell>
          <cell r="B2911">
            <v>96.713279999999997</v>
          </cell>
        </row>
        <row r="2912">
          <cell r="A2912">
            <v>43675</v>
          </cell>
          <cell r="B2912">
            <v>95.649635000000004</v>
          </cell>
        </row>
        <row r="2913">
          <cell r="A2913">
            <v>43676</v>
          </cell>
          <cell r="B2913">
            <v>94.312766999999994</v>
          </cell>
        </row>
        <row r="2914">
          <cell r="A2914">
            <v>43677</v>
          </cell>
          <cell r="B2914">
            <v>92.400169000000005</v>
          </cell>
        </row>
        <row r="2915">
          <cell r="A2915">
            <v>43678</v>
          </cell>
          <cell r="B2915">
            <v>93.073470999999998</v>
          </cell>
        </row>
        <row r="2916">
          <cell r="A2916">
            <v>43679</v>
          </cell>
          <cell r="B2916">
            <v>93.200333000000001</v>
          </cell>
        </row>
        <row r="2917">
          <cell r="A2917">
            <v>43682</v>
          </cell>
          <cell r="B2917">
            <v>91.434105000000002</v>
          </cell>
        </row>
        <row r="2918">
          <cell r="A2918">
            <v>43683</v>
          </cell>
          <cell r="B2918">
            <v>93.034439000000006</v>
          </cell>
        </row>
        <row r="2919">
          <cell r="A2919">
            <v>43684</v>
          </cell>
          <cell r="B2919">
            <v>93.269531000000001</v>
          </cell>
        </row>
        <row r="2920">
          <cell r="A2920">
            <v>43685</v>
          </cell>
          <cell r="B2920">
            <v>94.298012</v>
          </cell>
        </row>
        <row r="2921">
          <cell r="A2921">
            <v>43686</v>
          </cell>
          <cell r="B2921">
            <v>94.327408000000005</v>
          </cell>
        </row>
        <row r="2922">
          <cell r="A2922">
            <v>43689</v>
          </cell>
          <cell r="B2922">
            <v>92.965880999999996</v>
          </cell>
        </row>
        <row r="2923">
          <cell r="A2923">
            <v>43690</v>
          </cell>
          <cell r="B2923">
            <v>94.650634999999994</v>
          </cell>
        </row>
        <row r="2924">
          <cell r="A2924">
            <v>43691</v>
          </cell>
          <cell r="B2924">
            <v>92.975669999999994</v>
          </cell>
        </row>
        <row r="2925">
          <cell r="A2925">
            <v>43692</v>
          </cell>
          <cell r="B2925">
            <v>93.573181000000005</v>
          </cell>
        </row>
        <row r="2926">
          <cell r="A2926">
            <v>43693</v>
          </cell>
          <cell r="B2926">
            <v>94.542900000000003</v>
          </cell>
        </row>
        <row r="2927">
          <cell r="A2927">
            <v>43696</v>
          </cell>
          <cell r="B2927">
            <v>94.680037999999996</v>
          </cell>
        </row>
        <row r="2928">
          <cell r="A2928">
            <v>43697</v>
          </cell>
          <cell r="B2928">
            <v>93.671126999999998</v>
          </cell>
        </row>
        <row r="2929">
          <cell r="A2929">
            <v>43698</v>
          </cell>
          <cell r="B2929">
            <v>94.346992</v>
          </cell>
        </row>
        <row r="2930">
          <cell r="A2930">
            <v>43699</v>
          </cell>
          <cell r="B2930">
            <v>94.513512000000006</v>
          </cell>
        </row>
        <row r="2931">
          <cell r="A2931">
            <v>43700</v>
          </cell>
          <cell r="B2931">
            <v>92.760185000000007</v>
          </cell>
        </row>
        <row r="2932">
          <cell r="A2932">
            <v>43703</v>
          </cell>
          <cell r="B2932">
            <v>94.523308</v>
          </cell>
        </row>
        <row r="2933">
          <cell r="A2933">
            <v>43704</v>
          </cell>
          <cell r="B2933">
            <v>94.121703999999994</v>
          </cell>
        </row>
        <row r="2934">
          <cell r="A2934">
            <v>43705</v>
          </cell>
          <cell r="B2934">
            <v>95.081635000000006</v>
          </cell>
        </row>
        <row r="2935">
          <cell r="A2935">
            <v>43706</v>
          </cell>
          <cell r="B2935">
            <v>95.698723000000001</v>
          </cell>
        </row>
        <row r="2936">
          <cell r="A2936">
            <v>43707</v>
          </cell>
          <cell r="B2936">
            <v>94.582076999999998</v>
          </cell>
        </row>
        <row r="2937">
          <cell r="A2937">
            <v>43711</v>
          </cell>
          <cell r="B2937">
            <v>94.787773000000001</v>
          </cell>
        </row>
        <row r="2938">
          <cell r="A2938">
            <v>43712</v>
          </cell>
          <cell r="B2938">
            <v>94.141304000000005</v>
          </cell>
        </row>
        <row r="2939">
          <cell r="A2939">
            <v>43713</v>
          </cell>
          <cell r="B2939">
            <v>93.602562000000006</v>
          </cell>
        </row>
        <row r="2940">
          <cell r="A2940">
            <v>43714</v>
          </cell>
          <cell r="B2940">
            <v>93.778869999999998</v>
          </cell>
        </row>
        <row r="2941">
          <cell r="A2941">
            <v>43717</v>
          </cell>
          <cell r="B2941">
            <v>92.231246999999996</v>
          </cell>
        </row>
        <row r="2942">
          <cell r="A2942">
            <v>43718</v>
          </cell>
          <cell r="B2942">
            <v>88.499283000000005</v>
          </cell>
        </row>
        <row r="2943">
          <cell r="A2943">
            <v>43719</v>
          </cell>
          <cell r="B2943">
            <v>89.116378999999995</v>
          </cell>
        </row>
        <row r="2944">
          <cell r="A2944">
            <v>43720</v>
          </cell>
          <cell r="B2944">
            <v>90.174255000000002</v>
          </cell>
        </row>
        <row r="2945">
          <cell r="A2945">
            <v>43721</v>
          </cell>
          <cell r="B2945">
            <v>88.626625000000004</v>
          </cell>
        </row>
        <row r="2946">
          <cell r="A2946">
            <v>43724</v>
          </cell>
          <cell r="B2946">
            <v>87.588333000000006</v>
          </cell>
        </row>
        <row r="2947">
          <cell r="A2947">
            <v>43725</v>
          </cell>
          <cell r="B2947">
            <v>88.891090000000005</v>
          </cell>
        </row>
        <row r="2948">
          <cell r="A2948">
            <v>43726</v>
          </cell>
          <cell r="B2948">
            <v>89.096785999999994</v>
          </cell>
        </row>
        <row r="2949">
          <cell r="A2949">
            <v>43727</v>
          </cell>
          <cell r="B2949">
            <v>89.684486000000007</v>
          </cell>
        </row>
        <row r="2950">
          <cell r="A2950">
            <v>43728</v>
          </cell>
          <cell r="B2950">
            <v>88.225020999999998</v>
          </cell>
        </row>
        <row r="2951">
          <cell r="A2951">
            <v>43731</v>
          </cell>
          <cell r="B2951">
            <v>88.949852000000007</v>
          </cell>
        </row>
        <row r="2952">
          <cell r="A2952">
            <v>43732</v>
          </cell>
          <cell r="B2952">
            <v>88.078086999999996</v>
          </cell>
        </row>
        <row r="2953">
          <cell r="A2953">
            <v>43733</v>
          </cell>
          <cell r="B2953">
            <v>88.499283000000005</v>
          </cell>
        </row>
        <row r="2954">
          <cell r="A2954">
            <v>43734</v>
          </cell>
          <cell r="B2954">
            <v>87.960555999999997</v>
          </cell>
        </row>
        <row r="2955">
          <cell r="A2955">
            <v>43735</v>
          </cell>
          <cell r="B2955">
            <v>86.559844999999996</v>
          </cell>
        </row>
        <row r="2956">
          <cell r="A2956">
            <v>43738</v>
          </cell>
          <cell r="B2956">
            <v>86.608810000000005</v>
          </cell>
        </row>
        <row r="2957">
          <cell r="A2957">
            <v>43739</v>
          </cell>
          <cell r="B2957">
            <v>84.737945999999994</v>
          </cell>
        </row>
        <row r="2958">
          <cell r="A2958">
            <v>43740</v>
          </cell>
          <cell r="B2958">
            <v>82.592804000000001</v>
          </cell>
        </row>
        <row r="2959">
          <cell r="A2959">
            <v>43741</v>
          </cell>
          <cell r="B2959">
            <v>82.935623000000007</v>
          </cell>
        </row>
        <row r="2960">
          <cell r="A2960">
            <v>43742</v>
          </cell>
          <cell r="B2960">
            <v>84.160026999999999</v>
          </cell>
        </row>
        <row r="2961">
          <cell r="A2961">
            <v>43745</v>
          </cell>
          <cell r="B2961">
            <v>84.091469000000004</v>
          </cell>
        </row>
        <row r="2962">
          <cell r="A2962">
            <v>43746</v>
          </cell>
          <cell r="B2962">
            <v>83.170715000000001</v>
          </cell>
        </row>
        <row r="2963">
          <cell r="A2963">
            <v>43747</v>
          </cell>
          <cell r="B2963">
            <v>84.091469000000004</v>
          </cell>
        </row>
        <row r="2964">
          <cell r="A2964">
            <v>43748</v>
          </cell>
          <cell r="B2964">
            <v>84.199211000000005</v>
          </cell>
        </row>
        <row r="2965">
          <cell r="A2965">
            <v>43749</v>
          </cell>
          <cell r="B2965">
            <v>84.591010999999995</v>
          </cell>
        </row>
        <row r="2966">
          <cell r="A2966">
            <v>43752</v>
          </cell>
          <cell r="B2966">
            <v>84.845695000000006</v>
          </cell>
        </row>
        <row r="2967">
          <cell r="A2967">
            <v>43753</v>
          </cell>
          <cell r="B2967">
            <v>84.679169000000002</v>
          </cell>
        </row>
        <row r="2968">
          <cell r="A2968">
            <v>43754</v>
          </cell>
          <cell r="B2968">
            <v>84.933852999999999</v>
          </cell>
        </row>
        <row r="2969">
          <cell r="A2969">
            <v>43755</v>
          </cell>
          <cell r="B2969">
            <v>84.522452999999999</v>
          </cell>
        </row>
        <row r="2970">
          <cell r="A2970">
            <v>43756</v>
          </cell>
          <cell r="B2970">
            <v>84.267775999999998</v>
          </cell>
        </row>
        <row r="2971">
          <cell r="A2971">
            <v>43759</v>
          </cell>
          <cell r="B2971">
            <v>83.601699999999994</v>
          </cell>
        </row>
        <row r="2972">
          <cell r="A2972">
            <v>43760</v>
          </cell>
          <cell r="B2972">
            <v>81.750411999999997</v>
          </cell>
        </row>
        <row r="2973">
          <cell r="A2973">
            <v>43761</v>
          </cell>
          <cell r="B2973">
            <v>81.045165999999995</v>
          </cell>
        </row>
        <row r="2974">
          <cell r="A2974">
            <v>43762</v>
          </cell>
          <cell r="B2974">
            <v>81.476151000000002</v>
          </cell>
        </row>
        <row r="2975">
          <cell r="A2975">
            <v>43763</v>
          </cell>
          <cell r="B2975">
            <v>81.672049999999999</v>
          </cell>
        </row>
        <row r="2976">
          <cell r="A2976">
            <v>43766</v>
          </cell>
          <cell r="B2976">
            <v>81.887550000000005</v>
          </cell>
        </row>
        <row r="2977">
          <cell r="A2977">
            <v>43767</v>
          </cell>
          <cell r="B2977">
            <v>82.406684999999996</v>
          </cell>
        </row>
        <row r="2978">
          <cell r="A2978">
            <v>43768</v>
          </cell>
          <cell r="B2978">
            <v>82.465462000000002</v>
          </cell>
        </row>
        <row r="2979">
          <cell r="A2979">
            <v>43769</v>
          </cell>
          <cell r="B2979">
            <v>82.827881000000005</v>
          </cell>
        </row>
        <row r="2980">
          <cell r="A2980">
            <v>43770</v>
          </cell>
          <cell r="B2980">
            <v>81.505538999999999</v>
          </cell>
        </row>
        <row r="2981">
          <cell r="A2981">
            <v>43773</v>
          </cell>
          <cell r="B2981">
            <v>80.682747000000006</v>
          </cell>
        </row>
        <row r="2982">
          <cell r="A2982">
            <v>43774</v>
          </cell>
          <cell r="B2982">
            <v>80.212577999999993</v>
          </cell>
        </row>
        <row r="2983">
          <cell r="A2983">
            <v>43775</v>
          </cell>
          <cell r="B2983">
            <v>81.290038999999993</v>
          </cell>
        </row>
        <row r="2984">
          <cell r="A2984">
            <v>43776</v>
          </cell>
          <cell r="B2984">
            <v>80.271347000000006</v>
          </cell>
        </row>
        <row r="2985">
          <cell r="A2985">
            <v>43777</v>
          </cell>
          <cell r="B2985">
            <v>80.095032000000003</v>
          </cell>
        </row>
        <row r="2986">
          <cell r="A2986">
            <v>43780</v>
          </cell>
          <cell r="B2986">
            <v>80.741516000000004</v>
          </cell>
        </row>
        <row r="2987">
          <cell r="A2987">
            <v>43781</v>
          </cell>
          <cell r="B2987">
            <v>82.021254999999996</v>
          </cell>
        </row>
        <row r="2988">
          <cell r="A2988">
            <v>43782</v>
          </cell>
          <cell r="B2988">
            <v>82.631591999999998</v>
          </cell>
        </row>
        <row r="2989">
          <cell r="A2989">
            <v>43783</v>
          </cell>
          <cell r="B2989">
            <v>83.064728000000002</v>
          </cell>
        </row>
        <row r="2990">
          <cell r="A2990">
            <v>43784</v>
          </cell>
          <cell r="B2990">
            <v>82.897377000000006</v>
          </cell>
        </row>
        <row r="2991">
          <cell r="A2991">
            <v>43787</v>
          </cell>
          <cell r="B2991">
            <v>82.710327000000007</v>
          </cell>
        </row>
        <row r="2992">
          <cell r="A2992">
            <v>43788</v>
          </cell>
          <cell r="B2992">
            <v>82.355957000000004</v>
          </cell>
        </row>
        <row r="2993">
          <cell r="A2993">
            <v>43789</v>
          </cell>
          <cell r="B2993">
            <v>82.296882999999994</v>
          </cell>
        </row>
        <row r="2994">
          <cell r="A2994">
            <v>43790</v>
          </cell>
          <cell r="B2994">
            <v>81.017150999999998</v>
          </cell>
        </row>
        <row r="2995">
          <cell r="A2995">
            <v>43791</v>
          </cell>
          <cell r="B2995">
            <v>81.725921999999997</v>
          </cell>
        </row>
        <row r="2996">
          <cell r="A2996">
            <v>43794</v>
          </cell>
          <cell r="B2996">
            <v>82.444550000000007</v>
          </cell>
        </row>
        <row r="2997">
          <cell r="A2997">
            <v>43795</v>
          </cell>
          <cell r="B2997">
            <v>83.241919999999993</v>
          </cell>
        </row>
        <row r="2998">
          <cell r="A2998">
            <v>43796</v>
          </cell>
          <cell r="B2998">
            <v>84.433052000000004</v>
          </cell>
        </row>
        <row r="2999">
          <cell r="A2999">
            <v>43798</v>
          </cell>
          <cell r="B2999">
            <v>84.098358000000005</v>
          </cell>
        </row>
        <row r="3000">
          <cell r="A3000">
            <v>43801</v>
          </cell>
          <cell r="B3000">
            <v>83.251761999999999</v>
          </cell>
        </row>
        <row r="3001">
          <cell r="A3001">
            <v>43802</v>
          </cell>
          <cell r="B3001">
            <v>83.497871000000004</v>
          </cell>
        </row>
        <row r="3002">
          <cell r="A3002">
            <v>43803</v>
          </cell>
          <cell r="B3002">
            <v>84.068832</v>
          </cell>
        </row>
        <row r="3003">
          <cell r="A3003">
            <v>43804</v>
          </cell>
          <cell r="B3003">
            <v>83.133628999999999</v>
          </cell>
        </row>
        <row r="3004">
          <cell r="A3004">
            <v>43805</v>
          </cell>
          <cell r="B3004">
            <v>84.97448</v>
          </cell>
        </row>
        <row r="3005">
          <cell r="A3005">
            <v>43808</v>
          </cell>
          <cell r="B3005">
            <v>84.935112000000004</v>
          </cell>
        </row>
        <row r="3006">
          <cell r="A3006">
            <v>43809</v>
          </cell>
          <cell r="B3006">
            <v>84.698853</v>
          </cell>
        </row>
        <row r="3007">
          <cell r="A3007">
            <v>43810</v>
          </cell>
          <cell r="B3007">
            <v>85.240273000000002</v>
          </cell>
        </row>
        <row r="3008">
          <cell r="A3008">
            <v>43811</v>
          </cell>
          <cell r="B3008">
            <v>86.835021999999995</v>
          </cell>
        </row>
        <row r="3009">
          <cell r="A3009">
            <v>43812</v>
          </cell>
          <cell r="B3009">
            <v>87.287857000000002</v>
          </cell>
        </row>
        <row r="3010">
          <cell r="A3010">
            <v>43815</v>
          </cell>
          <cell r="B3010">
            <v>87.396141</v>
          </cell>
        </row>
        <row r="3011">
          <cell r="A3011">
            <v>43816</v>
          </cell>
          <cell r="B3011">
            <v>86.756270999999998</v>
          </cell>
        </row>
        <row r="3012">
          <cell r="A3012">
            <v>43817</v>
          </cell>
          <cell r="B3012">
            <v>86.618454</v>
          </cell>
        </row>
        <row r="3013">
          <cell r="A3013">
            <v>43818</v>
          </cell>
          <cell r="B3013">
            <v>87.140190000000004</v>
          </cell>
        </row>
        <row r="3014">
          <cell r="A3014">
            <v>43819</v>
          </cell>
          <cell r="B3014">
            <v>87.081130999999999</v>
          </cell>
        </row>
        <row r="3015">
          <cell r="A3015">
            <v>43822</v>
          </cell>
          <cell r="B3015">
            <v>86.854720999999998</v>
          </cell>
        </row>
        <row r="3016">
          <cell r="A3016">
            <v>43823</v>
          </cell>
          <cell r="B3016">
            <v>87.140190000000004</v>
          </cell>
        </row>
        <row r="3017">
          <cell r="A3017">
            <v>43825</v>
          </cell>
          <cell r="B3017">
            <v>86.707053999999999</v>
          </cell>
        </row>
        <row r="3018">
          <cell r="A3018">
            <v>43826</v>
          </cell>
          <cell r="B3018">
            <v>86.756270999999998</v>
          </cell>
        </row>
        <row r="3019">
          <cell r="A3019">
            <v>43829</v>
          </cell>
          <cell r="B3019">
            <v>86.077033999999998</v>
          </cell>
        </row>
        <row r="3020">
          <cell r="A3020">
            <v>43830</v>
          </cell>
          <cell r="B3020">
            <v>86.549553000000003</v>
          </cell>
        </row>
        <row r="3021">
          <cell r="A3021">
            <v>43832</v>
          </cell>
          <cell r="B3021">
            <v>87.957260000000005</v>
          </cell>
        </row>
        <row r="3022">
          <cell r="A3022">
            <v>43833</v>
          </cell>
          <cell r="B3022">
            <v>87.445357999999999</v>
          </cell>
        </row>
        <row r="3023">
          <cell r="A3023">
            <v>43836</v>
          </cell>
          <cell r="B3023">
            <v>86.756270999999998</v>
          </cell>
        </row>
        <row r="3024">
          <cell r="A3024">
            <v>43837</v>
          </cell>
          <cell r="B3024">
            <v>86.490478999999993</v>
          </cell>
        </row>
        <row r="3025">
          <cell r="A3025">
            <v>43838</v>
          </cell>
          <cell r="B3025">
            <v>87.494583000000006</v>
          </cell>
        </row>
        <row r="3026">
          <cell r="A3026">
            <v>43839</v>
          </cell>
          <cell r="B3026">
            <v>89.118858000000003</v>
          </cell>
        </row>
        <row r="3027">
          <cell r="A3027">
            <v>43840</v>
          </cell>
          <cell r="B3027">
            <v>88.754631000000003</v>
          </cell>
        </row>
        <row r="3028">
          <cell r="A3028">
            <v>43843</v>
          </cell>
          <cell r="B3028">
            <v>89.660293999999993</v>
          </cell>
        </row>
        <row r="3029">
          <cell r="A3029">
            <v>43844</v>
          </cell>
          <cell r="B3029">
            <v>89.571692999999996</v>
          </cell>
        </row>
        <row r="3030">
          <cell r="A3030">
            <v>43845</v>
          </cell>
          <cell r="B3030">
            <v>90.113129000000001</v>
          </cell>
        </row>
        <row r="3031">
          <cell r="A3031">
            <v>43846</v>
          </cell>
          <cell r="B3031">
            <v>91.136916999999997</v>
          </cell>
        </row>
        <row r="3032">
          <cell r="A3032">
            <v>43847</v>
          </cell>
          <cell r="B3032">
            <v>92.160706000000005</v>
          </cell>
        </row>
        <row r="3033">
          <cell r="A3033">
            <v>43851</v>
          </cell>
          <cell r="B3033">
            <v>91.087684999999993</v>
          </cell>
        </row>
        <row r="3034">
          <cell r="A3034">
            <v>43852</v>
          </cell>
          <cell r="B3034">
            <v>91.087684999999993</v>
          </cell>
        </row>
        <row r="3035">
          <cell r="A3035">
            <v>43853</v>
          </cell>
          <cell r="B3035">
            <v>92.288666000000006</v>
          </cell>
        </row>
        <row r="3036">
          <cell r="A3036">
            <v>43854</v>
          </cell>
          <cell r="B3036">
            <v>90.595482000000004</v>
          </cell>
        </row>
        <row r="3037">
          <cell r="A3037">
            <v>43857</v>
          </cell>
          <cell r="B3037">
            <v>87.346924000000001</v>
          </cell>
        </row>
        <row r="3038">
          <cell r="A3038">
            <v>43858</v>
          </cell>
          <cell r="B3038">
            <v>87.218947999999997</v>
          </cell>
        </row>
        <row r="3039">
          <cell r="A3039">
            <v>43859</v>
          </cell>
          <cell r="B3039">
            <v>85.368256000000002</v>
          </cell>
        </row>
        <row r="3040">
          <cell r="A3040">
            <v>43860</v>
          </cell>
          <cell r="B3040">
            <v>84.501968000000005</v>
          </cell>
        </row>
        <row r="3041">
          <cell r="A3041">
            <v>43861</v>
          </cell>
          <cell r="B3041">
            <v>83.507712999999995</v>
          </cell>
        </row>
        <row r="3042">
          <cell r="A3042">
            <v>43864</v>
          </cell>
          <cell r="B3042">
            <v>84.669319000000002</v>
          </cell>
        </row>
        <row r="3043">
          <cell r="A3043">
            <v>43865</v>
          </cell>
          <cell r="B3043">
            <v>87.002373000000006</v>
          </cell>
        </row>
        <row r="3044">
          <cell r="A3044">
            <v>43866</v>
          </cell>
          <cell r="B3044">
            <v>86.596885999999998</v>
          </cell>
        </row>
        <row r="3045">
          <cell r="A3045">
            <v>43867</v>
          </cell>
          <cell r="B3045">
            <v>85.202393000000001</v>
          </cell>
        </row>
        <row r="3046">
          <cell r="A3046">
            <v>43868</v>
          </cell>
          <cell r="B3046">
            <v>85.469420999999997</v>
          </cell>
        </row>
        <row r="3047">
          <cell r="A3047">
            <v>43871</v>
          </cell>
          <cell r="B3047">
            <v>86.567215000000004</v>
          </cell>
        </row>
        <row r="3048">
          <cell r="A3048">
            <v>43872</v>
          </cell>
          <cell r="B3048">
            <v>86.547432000000001</v>
          </cell>
        </row>
        <row r="3049">
          <cell r="A3049">
            <v>43873</v>
          </cell>
          <cell r="B3049">
            <v>87.595778999999993</v>
          </cell>
        </row>
        <row r="3050">
          <cell r="A3050">
            <v>43874</v>
          </cell>
          <cell r="B3050">
            <v>88.940810999999997</v>
          </cell>
        </row>
        <row r="3051">
          <cell r="A3051">
            <v>43875</v>
          </cell>
          <cell r="B3051">
            <v>88.297957999999994</v>
          </cell>
        </row>
        <row r="3052">
          <cell r="A3052">
            <v>43879</v>
          </cell>
          <cell r="B3052">
            <v>88.248519999999999</v>
          </cell>
        </row>
        <row r="3053">
          <cell r="A3053">
            <v>43880</v>
          </cell>
          <cell r="B3053">
            <v>89.148499000000001</v>
          </cell>
        </row>
        <row r="3054">
          <cell r="A3054">
            <v>43881</v>
          </cell>
          <cell r="B3054">
            <v>87.625443000000004</v>
          </cell>
        </row>
        <row r="3055">
          <cell r="A3055">
            <v>43882</v>
          </cell>
          <cell r="B3055">
            <v>86.399085999999997</v>
          </cell>
        </row>
        <row r="3056">
          <cell r="A3056">
            <v>43885</v>
          </cell>
          <cell r="B3056">
            <v>83.590323999999995</v>
          </cell>
        </row>
        <row r="3057">
          <cell r="A3057">
            <v>43886</v>
          </cell>
          <cell r="B3057">
            <v>81.28595</v>
          </cell>
        </row>
        <row r="3058">
          <cell r="A3058">
            <v>43887</v>
          </cell>
          <cell r="B3058">
            <v>79.782668999999999</v>
          </cell>
        </row>
        <row r="3059">
          <cell r="A3059">
            <v>43888</v>
          </cell>
          <cell r="B3059">
            <v>77.428855999999996</v>
          </cell>
        </row>
        <row r="3060">
          <cell r="A3060">
            <v>43889</v>
          </cell>
          <cell r="B3060">
            <v>77.567307</v>
          </cell>
        </row>
        <row r="3061">
          <cell r="A3061">
            <v>43892</v>
          </cell>
          <cell r="B3061">
            <v>81.473854000000003</v>
          </cell>
        </row>
        <row r="3062">
          <cell r="A3062">
            <v>43893</v>
          </cell>
          <cell r="B3062">
            <v>77.735434999999995</v>
          </cell>
        </row>
        <row r="3063">
          <cell r="A3063">
            <v>43894</v>
          </cell>
          <cell r="B3063">
            <v>78.793671000000003</v>
          </cell>
        </row>
        <row r="3064">
          <cell r="A3064">
            <v>43895</v>
          </cell>
          <cell r="B3064">
            <v>75.351951999999997</v>
          </cell>
        </row>
        <row r="3065">
          <cell r="A3065">
            <v>43896</v>
          </cell>
          <cell r="B3065">
            <v>74.511298999999994</v>
          </cell>
        </row>
        <row r="3066">
          <cell r="A3066">
            <v>43899</v>
          </cell>
          <cell r="B3066">
            <v>70.050910999999999</v>
          </cell>
        </row>
        <row r="3067">
          <cell r="A3067">
            <v>43900</v>
          </cell>
          <cell r="B3067">
            <v>74.046470999999997</v>
          </cell>
        </row>
        <row r="3068">
          <cell r="A3068">
            <v>43901</v>
          </cell>
          <cell r="B3068">
            <v>67.548737000000003</v>
          </cell>
        </row>
        <row r="3069">
          <cell r="A3069">
            <v>43902</v>
          </cell>
          <cell r="B3069">
            <v>61.416930999999998</v>
          </cell>
        </row>
        <row r="3070">
          <cell r="A3070">
            <v>43903</v>
          </cell>
          <cell r="B3070">
            <v>69.150908999999999</v>
          </cell>
        </row>
        <row r="3071">
          <cell r="A3071">
            <v>43906</v>
          </cell>
          <cell r="B3071">
            <v>57.945540999999999</v>
          </cell>
        </row>
        <row r="3072">
          <cell r="A3072">
            <v>43907</v>
          </cell>
          <cell r="B3072">
            <v>58.331249</v>
          </cell>
        </row>
        <row r="3073">
          <cell r="A3073">
            <v>43908</v>
          </cell>
          <cell r="B3073">
            <v>55.7104</v>
          </cell>
        </row>
        <row r="3074">
          <cell r="A3074">
            <v>43909</v>
          </cell>
          <cell r="B3074">
            <v>60.734520000000003</v>
          </cell>
        </row>
        <row r="3075">
          <cell r="A3075">
            <v>43910</v>
          </cell>
          <cell r="B3075">
            <v>57.391697000000001</v>
          </cell>
        </row>
        <row r="3076">
          <cell r="A3076">
            <v>43913</v>
          </cell>
          <cell r="B3076">
            <v>55.927975000000004</v>
          </cell>
        </row>
        <row r="3077">
          <cell r="A3077">
            <v>43914</v>
          </cell>
          <cell r="B3077">
            <v>64.166343999999995</v>
          </cell>
        </row>
        <row r="3078">
          <cell r="A3078">
            <v>43915</v>
          </cell>
          <cell r="B3078">
            <v>65.086121000000006</v>
          </cell>
        </row>
        <row r="3079">
          <cell r="A3079">
            <v>43916</v>
          </cell>
          <cell r="B3079">
            <v>69.131141999999997</v>
          </cell>
        </row>
        <row r="3080">
          <cell r="A3080">
            <v>43917</v>
          </cell>
          <cell r="B3080">
            <v>65.610291000000004</v>
          </cell>
        </row>
        <row r="3081">
          <cell r="A3081">
            <v>43920</v>
          </cell>
          <cell r="B3081">
            <v>67.113570999999993</v>
          </cell>
        </row>
        <row r="3082">
          <cell r="A3082">
            <v>43921</v>
          </cell>
          <cell r="B3082">
            <v>65.016891000000001</v>
          </cell>
        </row>
        <row r="3083">
          <cell r="A3083">
            <v>43922</v>
          </cell>
          <cell r="B3083">
            <v>61.93121</v>
          </cell>
        </row>
        <row r="3084">
          <cell r="A3084">
            <v>43923</v>
          </cell>
          <cell r="B3084">
            <v>64.285026999999999</v>
          </cell>
        </row>
        <row r="3085">
          <cell r="A3085">
            <v>43924</v>
          </cell>
          <cell r="B3085">
            <v>62.356479999999998</v>
          </cell>
        </row>
        <row r="3086">
          <cell r="A3086">
            <v>43927</v>
          </cell>
          <cell r="B3086">
            <v>67.044349999999994</v>
          </cell>
        </row>
        <row r="3087">
          <cell r="A3087">
            <v>43928</v>
          </cell>
          <cell r="B3087">
            <v>67.954223999999996</v>
          </cell>
        </row>
        <row r="3088">
          <cell r="A3088">
            <v>43929</v>
          </cell>
          <cell r="B3088">
            <v>70.782760999999994</v>
          </cell>
        </row>
        <row r="3089">
          <cell r="A3089">
            <v>43930</v>
          </cell>
          <cell r="B3089">
            <v>73.067352</v>
          </cell>
        </row>
        <row r="3090">
          <cell r="A3090">
            <v>43934</v>
          </cell>
          <cell r="B3090">
            <v>70.970680000000002</v>
          </cell>
        </row>
        <row r="3091">
          <cell r="A3091">
            <v>43935</v>
          </cell>
          <cell r="B3091">
            <v>72.859665000000007</v>
          </cell>
        </row>
        <row r="3092">
          <cell r="A3092">
            <v>43936</v>
          </cell>
          <cell r="B3092">
            <v>71.751991000000004</v>
          </cell>
        </row>
        <row r="3093">
          <cell r="A3093">
            <v>43937</v>
          </cell>
          <cell r="B3093">
            <v>72.701424000000003</v>
          </cell>
        </row>
        <row r="3094">
          <cell r="A3094">
            <v>43938</v>
          </cell>
          <cell r="B3094">
            <v>76.251937999999996</v>
          </cell>
        </row>
        <row r="3095">
          <cell r="A3095">
            <v>43941</v>
          </cell>
          <cell r="B3095">
            <v>74.491516000000004</v>
          </cell>
        </row>
        <row r="3096">
          <cell r="A3096">
            <v>43942</v>
          </cell>
          <cell r="B3096">
            <v>71.920119999999997</v>
          </cell>
        </row>
        <row r="3097">
          <cell r="A3097">
            <v>43943</v>
          </cell>
          <cell r="B3097">
            <v>76.598083000000003</v>
          </cell>
        </row>
        <row r="3098">
          <cell r="A3098">
            <v>43944</v>
          </cell>
          <cell r="B3098">
            <v>74.323386999999997</v>
          </cell>
        </row>
        <row r="3099">
          <cell r="A3099">
            <v>43945</v>
          </cell>
          <cell r="B3099">
            <v>74.748665000000003</v>
          </cell>
        </row>
        <row r="3100">
          <cell r="A3100">
            <v>43948</v>
          </cell>
          <cell r="B3100">
            <v>76.884895</v>
          </cell>
        </row>
        <row r="3101">
          <cell r="A3101">
            <v>43949</v>
          </cell>
          <cell r="B3101">
            <v>77.824448000000004</v>
          </cell>
        </row>
        <row r="3102">
          <cell r="A3102">
            <v>43950</v>
          </cell>
          <cell r="B3102">
            <v>76.014579999999995</v>
          </cell>
        </row>
        <row r="3103">
          <cell r="A3103">
            <v>43951</v>
          </cell>
          <cell r="B3103">
            <v>75.886009000000001</v>
          </cell>
        </row>
        <row r="3104">
          <cell r="A3104">
            <v>43952</v>
          </cell>
          <cell r="B3104">
            <v>72.978347999999997</v>
          </cell>
        </row>
        <row r="3105">
          <cell r="A3105">
            <v>43955</v>
          </cell>
          <cell r="B3105">
            <v>71.099243000000001</v>
          </cell>
        </row>
        <row r="3106">
          <cell r="A3106">
            <v>43956</v>
          </cell>
          <cell r="B3106">
            <v>72.098136999999994</v>
          </cell>
        </row>
        <row r="3107">
          <cell r="A3107">
            <v>43957</v>
          </cell>
          <cell r="B3107">
            <v>72.157477999999998</v>
          </cell>
        </row>
        <row r="3108">
          <cell r="A3108">
            <v>43958</v>
          </cell>
          <cell r="B3108">
            <v>75.588813999999999</v>
          </cell>
        </row>
        <row r="3109">
          <cell r="A3109">
            <v>43959</v>
          </cell>
          <cell r="B3109">
            <v>77.448700000000002</v>
          </cell>
        </row>
        <row r="3110">
          <cell r="A3110">
            <v>43962</v>
          </cell>
          <cell r="B3110">
            <v>75.459518000000003</v>
          </cell>
        </row>
        <row r="3111">
          <cell r="A3111">
            <v>43963</v>
          </cell>
          <cell r="B3111">
            <v>73.947738999999999</v>
          </cell>
        </row>
        <row r="3112">
          <cell r="A3112">
            <v>43964</v>
          </cell>
          <cell r="B3112">
            <v>73.221687000000003</v>
          </cell>
        </row>
        <row r="3113">
          <cell r="A3113">
            <v>43965</v>
          </cell>
          <cell r="B3113">
            <v>73.788605000000004</v>
          </cell>
        </row>
        <row r="3114">
          <cell r="A3114">
            <v>43966</v>
          </cell>
          <cell r="B3114">
            <v>73.758774000000003</v>
          </cell>
        </row>
        <row r="3115">
          <cell r="A3115">
            <v>43969</v>
          </cell>
          <cell r="B3115">
            <v>75.817573999999993</v>
          </cell>
        </row>
        <row r="3116">
          <cell r="A3116">
            <v>43970</v>
          </cell>
          <cell r="B3116">
            <v>75.449569999999994</v>
          </cell>
        </row>
        <row r="3117">
          <cell r="A3117">
            <v>43971</v>
          </cell>
          <cell r="B3117">
            <v>77.339293999999995</v>
          </cell>
        </row>
        <row r="3118">
          <cell r="A3118">
            <v>43972</v>
          </cell>
          <cell r="B3118">
            <v>77.627724000000001</v>
          </cell>
        </row>
        <row r="3119">
          <cell r="A3119">
            <v>43973</v>
          </cell>
          <cell r="B3119">
            <v>77.200050000000005</v>
          </cell>
        </row>
        <row r="3120">
          <cell r="A3120">
            <v>43977</v>
          </cell>
          <cell r="B3120">
            <v>77.339293999999995</v>
          </cell>
        </row>
        <row r="3121">
          <cell r="A3121">
            <v>43978</v>
          </cell>
          <cell r="B3121">
            <v>78.174744000000004</v>
          </cell>
        </row>
        <row r="3122">
          <cell r="A3122">
            <v>43979</v>
          </cell>
          <cell r="B3122">
            <v>78.115066999999996</v>
          </cell>
        </row>
        <row r="3123">
          <cell r="A3123">
            <v>43980</v>
          </cell>
          <cell r="B3123">
            <v>77.568047000000007</v>
          </cell>
        </row>
        <row r="3124">
          <cell r="A3124">
            <v>43983</v>
          </cell>
          <cell r="B3124">
            <v>77.896254999999996</v>
          </cell>
        </row>
        <row r="3125">
          <cell r="A3125">
            <v>43984</v>
          </cell>
          <cell r="B3125">
            <v>77.359177000000003</v>
          </cell>
        </row>
        <row r="3126">
          <cell r="A3126">
            <v>43985</v>
          </cell>
          <cell r="B3126">
            <v>79.149445</v>
          </cell>
        </row>
        <row r="3127">
          <cell r="A3127">
            <v>43986</v>
          </cell>
          <cell r="B3127">
            <v>78.313987999999995</v>
          </cell>
        </row>
        <row r="3128">
          <cell r="A3128">
            <v>43987</v>
          </cell>
          <cell r="B3128">
            <v>81.695594999999997</v>
          </cell>
        </row>
        <row r="3129">
          <cell r="A3129">
            <v>43990</v>
          </cell>
          <cell r="B3129">
            <v>83.107910000000004</v>
          </cell>
        </row>
        <row r="3130">
          <cell r="A3130">
            <v>43991</v>
          </cell>
          <cell r="B3130">
            <v>81.924346999999997</v>
          </cell>
        </row>
        <row r="3131">
          <cell r="A3131">
            <v>43992</v>
          </cell>
          <cell r="B3131">
            <v>78.582526999999999</v>
          </cell>
        </row>
        <row r="3132">
          <cell r="A3132">
            <v>43993</v>
          </cell>
          <cell r="B3132">
            <v>72.177368000000001</v>
          </cell>
        </row>
        <row r="3133">
          <cell r="A3133">
            <v>43994</v>
          </cell>
          <cell r="B3133">
            <v>75.966751000000002</v>
          </cell>
        </row>
        <row r="3134">
          <cell r="A3134">
            <v>43997</v>
          </cell>
          <cell r="B3134">
            <v>76.543616999999998</v>
          </cell>
        </row>
        <row r="3135">
          <cell r="A3135">
            <v>43998</v>
          </cell>
          <cell r="B3135">
            <v>77.418853999999996</v>
          </cell>
        </row>
        <row r="3136">
          <cell r="A3136">
            <v>43999</v>
          </cell>
          <cell r="B3136">
            <v>76.682861000000003</v>
          </cell>
        </row>
        <row r="3137">
          <cell r="A3137">
            <v>44000</v>
          </cell>
          <cell r="B3137">
            <v>75.897132999999997</v>
          </cell>
        </row>
        <row r="3138">
          <cell r="A3138">
            <v>44001</v>
          </cell>
          <cell r="B3138">
            <v>74.992058</v>
          </cell>
        </row>
        <row r="3139">
          <cell r="A3139">
            <v>44004</v>
          </cell>
          <cell r="B3139">
            <v>74.992058</v>
          </cell>
        </row>
        <row r="3140">
          <cell r="A3140">
            <v>44005</v>
          </cell>
          <cell r="B3140">
            <v>75.081565999999995</v>
          </cell>
        </row>
        <row r="3141">
          <cell r="A3141">
            <v>44006</v>
          </cell>
          <cell r="B3141">
            <v>73.241577000000007</v>
          </cell>
        </row>
        <row r="3142">
          <cell r="A3142">
            <v>44007</v>
          </cell>
          <cell r="B3142">
            <v>73.450439000000003</v>
          </cell>
        </row>
        <row r="3143">
          <cell r="A3143">
            <v>44008</v>
          </cell>
          <cell r="B3143">
            <v>71.182777000000002</v>
          </cell>
        </row>
        <row r="3144">
          <cell r="A3144">
            <v>44011</v>
          </cell>
          <cell r="B3144">
            <v>73.082451000000006</v>
          </cell>
        </row>
        <row r="3145">
          <cell r="A3145">
            <v>44012</v>
          </cell>
          <cell r="B3145">
            <v>73.191849000000005</v>
          </cell>
        </row>
        <row r="3146">
          <cell r="A3146">
            <v>44013</v>
          </cell>
          <cell r="B3146">
            <v>73.629470999999995</v>
          </cell>
        </row>
        <row r="3147">
          <cell r="A3147">
            <v>44014</v>
          </cell>
          <cell r="B3147">
            <v>73.380820999999997</v>
          </cell>
        </row>
        <row r="3148">
          <cell r="A3148">
            <v>44018</v>
          </cell>
          <cell r="B3148">
            <v>75.031845000000004</v>
          </cell>
        </row>
        <row r="3149">
          <cell r="A3149">
            <v>44019</v>
          </cell>
          <cell r="B3149">
            <v>73.848281999999998</v>
          </cell>
        </row>
        <row r="3150">
          <cell r="A3150">
            <v>44020</v>
          </cell>
          <cell r="B3150">
            <v>73.738876000000005</v>
          </cell>
        </row>
        <row r="3151">
          <cell r="A3151">
            <v>44021</v>
          </cell>
          <cell r="B3151">
            <v>73.171959000000001</v>
          </cell>
        </row>
        <row r="3152">
          <cell r="A3152">
            <v>44022</v>
          </cell>
          <cell r="B3152">
            <v>73.888062000000005</v>
          </cell>
        </row>
        <row r="3153">
          <cell r="A3153">
            <v>44025</v>
          </cell>
          <cell r="B3153">
            <v>72.256934999999999</v>
          </cell>
        </row>
        <row r="3154">
          <cell r="A3154">
            <v>44026</v>
          </cell>
          <cell r="B3154">
            <v>72.336510000000004</v>
          </cell>
        </row>
        <row r="3155">
          <cell r="A3155">
            <v>44027</v>
          </cell>
          <cell r="B3155">
            <v>75.200919999999996</v>
          </cell>
        </row>
        <row r="3156">
          <cell r="A3156">
            <v>44028</v>
          </cell>
          <cell r="B3156">
            <v>73.987517999999994</v>
          </cell>
        </row>
        <row r="3157">
          <cell r="A3157">
            <v>44029</v>
          </cell>
          <cell r="B3157">
            <v>73.758774000000003</v>
          </cell>
        </row>
        <row r="3158">
          <cell r="A3158">
            <v>44032</v>
          </cell>
          <cell r="B3158">
            <v>74.554435999999995</v>
          </cell>
        </row>
        <row r="3159">
          <cell r="A3159">
            <v>44033</v>
          </cell>
          <cell r="B3159">
            <v>75.031845000000004</v>
          </cell>
        </row>
        <row r="3160">
          <cell r="A3160">
            <v>44034</v>
          </cell>
          <cell r="B3160">
            <v>76.822097999999997</v>
          </cell>
        </row>
        <row r="3161">
          <cell r="A3161">
            <v>44035</v>
          </cell>
          <cell r="B3161">
            <v>74.952278000000007</v>
          </cell>
        </row>
        <row r="3162">
          <cell r="A3162">
            <v>44036</v>
          </cell>
          <cell r="B3162">
            <v>75.370002999999997</v>
          </cell>
        </row>
        <row r="3163">
          <cell r="A3163">
            <v>44039</v>
          </cell>
          <cell r="B3163">
            <v>76.046325999999993</v>
          </cell>
        </row>
        <row r="3164">
          <cell r="A3164">
            <v>44040</v>
          </cell>
          <cell r="B3164">
            <v>74.236168000000006</v>
          </cell>
        </row>
        <row r="3165">
          <cell r="A3165">
            <v>44041</v>
          </cell>
          <cell r="B3165">
            <v>77.001129000000006</v>
          </cell>
        </row>
        <row r="3166">
          <cell r="A3166">
            <v>44042</v>
          </cell>
          <cell r="B3166">
            <v>76.225348999999994</v>
          </cell>
        </row>
        <row r="3167">
          <cell r="A3167">
            <v>44043</v>
          </cell>
          <cell r="B3167">
            <v>76.115943999999999</v>
          </cell>
        </row>
        <row r="3168">
          <cell r="A3168">
            <v>44046</v>
          </cell>
          <cell r="B3168">
            <v>75.091515000000001</v>
          </cell>
        </row>
        <row r="3169">
          <cell r="A3169">
            <v>44047</v>
          </cell>
          <cell r="B3169">
            <v>74.723517999999999</v>
          </cell>
        </row>
        <row r="3170">
          <cell r="A3170">
            <v>44048</v>
          </cell>
          <cell r="B3170">
            <v>75.370002999999997</v>
          </cell>
        </row>
        <row r="3171">
          <cell r="A3171">
            <v>44049</v>
          </cell>
          <cell r="B3171">
            <v>75.660004000000001</v>
          </cell>
        </row>
        <row r="3172">
          <cell r="A3172">
            <v>44050</v>
          </cell>
          <cell r="B3172">
            <v>75.790001000000004</v>
          </cell>
        </row>
        <row r="3173">
          <cell r="A3173">
            <v>44053</v>
          </cell>
          <cell r="B3173">
            <v>77.470000999999996</v>
          </cell>
        </row>
        <row r="3174">
          <cell r="A3174">
            <v>44054</v>
          </cell>
          <cell r="B3174">
            <v>78.870002999999997</v>
          </cell>
        </row>
        <row r="3175">
          <cell r="A3175">
            <v>44055</v>
          </cell>
          <cell r="B3175">
            <v>79.290001000000004</v>
          </cell>
        </row>
        <row r="3176">
          <cell r="A3176">
            <v>44056</v>
          </cell>
          <cell r="B3176">
            <v>79.019997000000004</v>
          </cell>
        </row>
        <row r="3177">
          <cell r="A3177">
            <v>44057</v>
          </cell>
          <cell r="B3177">
            <v>78.370002999999997</v>
          </cell>
        </row>
        <row r="3178">
          <cell r="A3178">
            <v>44060</v>
          </cell>
          <cell r="B3178">
            <v>78.949996999999996</v>
          </cell>
        </row>
        <row r="3179">
          <cell r="A3179">
            <v>44061</v>
          </cell>
          <cell r="B3179">
            <v>78.989998</v>
          </cell>
        </row>
        <row r="3180">
          <cell r="A3180">
            <v>44062</v>
          </cell>
          <cell r="B3180">
            <v>77.629997000000003</v>
          </cell>
        </row>
        <row r="3181">
          <cell r="A3181">
            <v>44063</v>
          </cell>
          <cell r="B3181">
            <v>77.220000999999996</v>
          </cell>
        </row>
        <row r="3182">
          <cell r="A3182">
            <v>44064</v>
          </cell>
          <cell r="B3182">
            <v>77.069999999999993</v>
          </cell>
        </row>
        <row r="3183">
          <cell r="A3183">
            <v>44067</v>
          </cell>
          <cell r="B3183">
            <v>78.680000000000007</v>
          </cell>
        </row>
        <row r="3184">
          <cell r="A3184">
            <v>44068</v>
          </cell>
          <cell r="B3184">
            <v>82.720000999999996</v>
          </cell>
        </row>
        <row r="3185">
          <cell r="A3185">
            <v>44069</v>
          </cell>
          <cell r="B3185">
            <v>82.410004000000001</v>
          </cell>
        </row>
        <row r="3186">
          <cell r="A3186">
            <v>44070</v>
          </cell>
          <cell r="B3186">
            <v>83.410004000000001</v>
          </cell>
        </row>
        <row r="3187">
          <cell r="A3187">
            <v>44071</v>
          </cell>
          <cell r="B3187">
            <v>85</v>
          </cell>
        </row>
        <row r="3188">
          <cell r="A3188">
            <v>44074</v>
          </cell>
          <cell r="B3188">
            <v>84.470000999999996</v>
          </cell>
        </row>
        <row r="3189">
          <cell r="A3189">
            <v>44075</v>
          </cell>
          <cell r="B3189">
            <v>86.050003000000004</v>
          </cell>
        </row>
        <row r="3190">
          <cell r="A3190">
            <v>44076</v>
          </cell>
          <cell r="B3190">
            <v>88.349997999999999</v>
          </cell>
        </row>
        <row r="3191">
          <cell r="A3191">
            <v>44077</v>
          </cell>
          <cell r="B3191">
            <v>86.480002999999996</v>
          </cell>
        </row>
        <row r="3192">
          <cell r="A3192">
            <v>44078</v>
          </cell>
          <cell r="B3192">
            <v>86.269997000000004</v>
          </cell>
        </row>
        <row r="3193">
          <cell r="A3193">
            <v>44082</v>
          </cell>
          <cell r="B3193">
            <v>85.410004000000001</v>
          </cell>
        </row>
        <row r="3194">
          <cell r="A3194">
            <v>44083</v>
          </cell>
          <cell r="B3194">
            <v>85.860000999999997</v>
          </cell>
        </row>
        <row r="3195">
          <cell r="A3195">
            <v>44084</v>
          </cell>
          <cell r="B3195">
            <v>84.879997000000003</v>
          </cell>
        </row>
        <row r="3196">
          <cell r="A3196">
            <v>44085</v>
          </cell>
          <cell r="B3196">
            <v>85.269997000000004</v>
          </cell>
        </row>
        <row r="3197">
          <cell r="A3197">
            <v>44088</v>
          </cell>
          <cell r="B3197">
            <v>86.629997000000003</v>
          </cell>
        </row>
        <row r="3198">
          <cell r="A3198">
            <v>44089</v>
          </cell>
          <cell r="B3198">
            <v>87.709998999999996</v>
          </cell>
        </row>
        <row r="3199">
          <cell r="A3199">
            <v>44090</v>
          </cell>
          <cell r="B3199">
            <v>88.379997000000003</v>
          </cell>
        </row>
        <row r="3200">
          <cell r="A3200">
            <v>44091</v>
          </cell>
          <cell r="B3200">
            <v>86.75</v>
          </cell>
        </row>
        <row r="3201">
          <cell r="A3201">
            <v>44092</v>
          </cell>
          <cell r="B3201">
            <v>84.949996999999996</v>
          </cell>
        </row>
        <row r="3202">
          <cell r="A3202">
            <v>44095</v>
          </cell>
          <cell r="B3202">
            <v>83.889999000000003</v>
          </cell>
        </row>
        <row r="3203">
          <cell r="A3203">
            <v>44096</v>
          </cell>
          <cell r="B3203">
            <v>83.949996999999996</v>
          </cell>
        </row>
        <row r="3204">
          <cell r="A3204">
            <v>44097</v>
          </cell>
          <cell r="B3204">
            <v>82.989998</v>
          </cell>
        </row>
        <row r="3205">
          <cell r="A3205">
            <v>44098</v>
          </cell>
          <cell r="B3205">
            <v>83.040001000000004</v>
          </cell>
        </row>
        <row r="3206">
          <cell r="A3206">
            <v>44099</v>
          </cell>
          <cell r="B3206">
            <v>84.300003000000004</v>
          </cell>
        </row>
        <row r="3207">
          <cell r="A3207">
            <v>44102</v>
          </cell>
          <cell r="B3207">
            <v>86.07</v>
          </cell>
        </row>
        <row r="3208">
          <cell r="A3208">
            <v>44103</v>
          </cell>
          <cell r="B3208">
            <v>84.800003000000004</v>
          </cell>
        </row>
        <row r="3209">
          <cell r="A3209">
            <v>44104</v>
          </cell>
          <cell r="B3209">
            <v>85.919998000000007</v>
          </cell>
        </row>
        <row r="3210">
          <cell r="A3210">
            <v>44105</v>
          </cell>
          <cell r="B3210">
            <v>86.739998</v>
          </cell>
        </row>
        <row r="3211">
          <cell r="A3211">
            <v>44106</v>
          </cell>
          <cell r="B3211">
            <v>86.57</v>
          </cell>
        </row>
        <row r="3212">
          <cell r="A3212">
            <v>44109</v>
          </cell>
          <cell r="B3212">
            <v>88.470000999999996</v>
          </cell>
        </row>
        <row r="3213">
          <cell r="A3213">
            <v>44110</v>
          </cell>
          <cell r="B3213">
            <v>87.010002</v>
          </cell>
        </row>
        <row r="3214">
          <cell r="A3214">
            <v>44111</v>
          </cell>
          <cell r="B3214">
            <v>88.449996999999996</v>
          </cell>
        </row>
        <row r="3215">
          <cell r="A3215">
            <v>44112</v>
          </cell>
          <cell r="B3215">
            <v>89.529999000000004</v>
          </cell>
        </row>
        <row r="3216">
          <cell r="A3216">
            <v>44113</v>
          </cell>
          <cell r="B3216">
            <v>90.010002</v>
          </cell>
        </row>
        <row r="3217">
          <cell r="A3217">
            <v>44116</v>
          </cell>
          <cell r="B3217">
            <v>90.779999000000004</v>
          </cell>
        </row>
      </sheetData>
      <sheetData sheetId="3">
        <row r="1">
          <cell r="A1" t="str">
            <v xml:space="preserve">Effective date </v>
          </cell>
          <cell r="B1" t="str">
            <v>S&amp;P 500 (TR)</v>
          </cell>
          <cell r="C1" t="str">
            <v>S&amp;P 500 (Net TR)</v>
          </cell>
          <cell r="D1" t="str">
            <v>S&amp;P 500</v>
          </cell>
        </row>
        <row r="2">
          <cell r="A2">
            <v>38686</v>
          </cell>
          <cell r="B2">
            <v>1887.28</v>
          </cell>
          <cell r="C2">
            <v>1826.37</v>
          </cell>
          <cell r="D2">
            <v>1249.48</v>
          </cell>
        </row>
        <row r="3">
          <cell r="A3">
            <v>38687</v>
          </cell>
          <cell r="B3">
            <v>1910.23</v>
          </cell>
          <cell r="C3">
            <v>1848.57</v>
          </cell>
          <cell r="D3">
            <v>1264.67</v>
          </cell>
        </row>
        <row r="4">
          <cell r="A4">
            <v>38688</v>
          </cell>
          <cell r="B4">
            <v>1910.86</v>
          </cell>
          <cell r="C4">
            <v>1849.18</v>
          </cell>
          <cell r="D4">
            <v>1265.08</v>
          </cell>
        </row>
        <row r="5">
          <cell r="A5">
            <v>38691</v>
          </cell>
          <cell r="B5">
            <v>1906.42</v>
          </cell>
          <cell r="C5">
            <v>1844.86</v>
          </cell>
          <cell r="D5">
            <v>1262.0899999999999</v>
          </cell>
        </row>
        <row r="6">
          <cell r="A6">
            <v>38692</v>
          </cell>
          <cell r="B6">
            <v>1908.89</v>
          </cell>
          <cell r="C6">
            <v>1847.24</v>
          </cell>
          <cell r="D6">
            <v>1263.7</v>
          </cell>
        </row>
        <row r="7">
          <cell r="A7">
            <v>38693</v>
          </cell>
          <cell r="B7">
            <v>1899.69</v>
          </cell>
          <cell r="C7">
            <v>1838.23</v>
          </cell>
          <cell r="D7">
            <v>1257.3699999999999</v>
          </cell>
        </row>
        <row r="8">
          <cell r="A8">
            <v>38694</v>
          </cell>
          <cell r="B8">
            <v>1897.57</v>
          </cell>
          <cell r="C8">
            <v>1836.13</v>
          </cell>
          <cell r="D8">
            <v>1255.8399999999999</v>
          </cell>
        </row>
        <row r="9">
          <cell r="A9">
            <v>38695</v>
          </cell>
          <cell r="B9">
            <v>1902.92</v>
          </cell>
          <cell r="C9">
            <v>1841.3</v>
          </cell>
          <cell r="D9">
            <v>1259.3699999999999</v>
          </cell>
        </row>
        <row r="10">
          <cell r="A10">
            <v>38698</v>
          </cell>
          <cell r="B10">
            <v>1904.59</v>
          </cell>
          <cell r="C10">
            <v>1842.9</v>
          </cell>
          <cell r="D10">
            <v>1260.43</v>
          </cell>
        </row>
        <row r="11">
          <cell r="A11">
            <v>38699</v>
          </cell>
          <cell r="B11">
            <v>1915.3</v>
          </cell>
          <cell r="C11">
            <v>1853.22</v>
          </cell>
          <cell r="D11">
            <v>1267.43</v>
          </cell>
        </row>
        <row r="12">
          <cell r="A12">
            <v>38700</v>
          </cell>
          <cell r="B12">
            <v>1923.43</v>
          </cell>
          <cell r="C12">
            <v>1861.06</v>
          </cell>
          <cell r="D12">
            <v>1272.74</v>
          </cell>
        </row>
        <row r="13">
          <cell r="A13">
            <v>38701</v>
          </cell>
          <cell r="B13">
            <v>1920.85</v>
          </cell>
          <cell r="C13">
            <v>1858.52</v>
          </cell>
          <cell r="D13">
            <v>1270.94</v>
          </cell>
        </row>
        <row r="14">
          <cell r="A14">
            <v>38702</v>
          </cell>
          <cell r="B14">
            <v>1915.4</v>
          </cell>
          <cell r="C14">
            <v>1853.24</v>
          </cell>
          <cell r="D14">
            <v>1267.32</v>
          </cell>
        </row>
        <row r="15">
          <cell r="A15">
            <v>38705</v>
          </cell>
          <cell r="B15">
            <v>1904.21</v>
          </cell>
          <cell r="C15">
            <v>1842.42</v>
          </cell>
          <cell r="D15">
            <v>1259.92</v>
          </cell>
        </row>
        <row r="16">
          <cell r="A16">
            <v>38706</v>
          </cell>
          <cell r="B16">
            <v>1903.81</v>
          </cell>
          <cell r="C16">
            <v>1842.01</v>
          </cell>
          <cell r="D16">
            <v>1259.6199999999999</v>
          </cell>
        </row>
        <row r="17">
          <cell r="A17">
            <v>38707</v>
          </cell>
          <cell r="B17">
            <v>1908.65</v>
          </cell>
          <cell r="C17">
            <v>1846.68</v>
          </cell>
          <cell r="D17">
            <v>1262.79</v>
          </cell>
        </row>
        <row r="18">
          <cell r="A18">
            <v>38708</v>
          </cell>
          <cell r="B18">
            <v>1917.16</v>
          </cell>
          <cell r="C18">
            <v>1854.78</v>
          </cell>
          <cell r="D18">
            <v>1268.1199999999999</v>
          </cell>
        </row>
        <row r="19">
          <cell r="A19">
            <v>38709</v>
          </cell>
          <cell r="B19">
            <v>1918.25</v>
          </cell>
          <cell r="C19">
            <v>1855.76</v>
          </cell>
          <cell r="D19">
            <v>1268.6600000000001</v>
          </cell>
        </row>
        <row r="20">
          <cell r="A20">
            <v>38713</v>
          </cell>
          <cell r="B20">
            <v>1899.93</v>
          </cell>
          <cell r="C20">
            <v>1838.03</v>
          </cell>
          <cell r="D20">
            <v>1256.54</v>
          </cell>
        </row>
        <row r="21">
          <cell r="A21">
            <v>38714</v>
          </cell>
          <cell r="B21">
            <v>1902.74</v>
          </cell>
          <cell r="C21">
            <v>1840.65</v>
          </cell>
          <cell r="D21">
            <v>1258.17</v>
          </cell>
        </row>
        <row r="22">
          <cell r="A22">
            <v>38715</v>
          </cell>
          <cell r="B22">
            <v>1897.2</v>
          </cell>
          <cell r="C22">
            <v>1835.25</v>
          </cell>
          <cell r="D22">
            <v>1254.42</v>
          </cell>
        </row>
        <row r="23">
          <cell r="A23">
            <v>38716</v>
          </cell>
          <cell r="B23">
            <v>1887.94</v>
          </cell>
          <cell r="C23">
            <v>1826.29</v>
          </cell>
          <cell r="D23">
            <v>1248.29</v>
          </cell>
        </row>
        <row r="24">
          <cell r="A24">
            <v>38720</v>
          </cell>
          <cell r="B24">
            <v>1918.96</v>
          </cell>
          <cell r="C24">
            <v>1856.3</v>
          </cell>
          <cell r="D24">
            <v>1268.8</v>
          </cell>
        </row>
        <row r="25">
          <cell r="A25">
            <v>38721</v>
          </cell>
          <cell r="B25">
            <v>1926.39</v>
          </cell>
          <cell r="C25">
            <v>1863.37</v>
          </cell>
          <cell r="D25">
            <v>1273.46</v>
          </cell>
        </row>
        <row r="26">
          <cell r="A26">
            <v>38722</v>
          </cell>
          <cell r="B26">
            <v>1926.44</v>
          </cell>
          <cell r="C26">
            <v>1863.42</v>
          </cell>
          <cell r="D26">
            <v>1273.48</v>
          </cell>
        </row>
        <row r="27">
          <cell r="A27">
            <v>38723</v>
          </cell>
          <cell r="B27">
            <v>1945.01</v>
          </cell>
          <cell r="C27">
            <v>1881.25</v>
          </cell>
          <cell r="D27">
            <v>1285.45</v>
          </cell>
        </row>
        <row r="28">
          <cell r="A28">
            <v>38726</v>
          </cell>
          <cell r="B28">
            <v>1952.13</v>
          </cell>
          <cell r="C28">
            <v>1888.13</v>
          </cell>
          <cell r="D28">
            <v>1290.1500000000001</v>
          </cell>
        </row>
        <row r="29">
          <cell r="A29">
            <v>38727</v>
          </cell>
          <cell r="B29">
            <v>1951.53</v>
          </cell>
          <cell r="C29">
            <v>1887.52</v>
          </cell>
          <cell r="D29">
            <v>1289.69</v>
          </cell>
        </row>
        <row r="30">
          <cell r="A30">
            <v>38728</v>
          </cell>
          <cell r="B30">
            <v>1958.56</v>
          </cell>
          <cell r="C30">
            <v>1894.25</v>
          </cell>
          <cell r="D30">
            <v>1294.18</v>
          </cell>
        </row>
        <row r="31">
          <cell r="A31">
            <v>38729</v>
          </cell>
          <cell r="B31">
            <v>1946.28</v>
          </cell>
          <cell r="C31">
            <v>1882.37</v>
          </cell>
          <cell r="D31">
            <v>1286.06</v>
          </cell>
        </row>
        <row r="32">
          <cell r="A32">
            <v>38730</v>
          </cell>
          <cell r="B32">
            <v>1948.64</v>
          </cell>
          <cell r="C32">
            <v>1884.65</v>
          </cell>
          <cell r="D32">
            <v>1287.6099999999999</v>
          </cell>
        </row>
        <row r="33">
          <cell r="A33">
            <v>38734</v>
          </cell>
          <cell r="B33">
            <v>1941.57</v>
          </cell>
          <cell r="C33">
            <v>1877.81</v>
          </cell>
          <cell r="D33">
            <v>1282.93</v>
          </cell>
        </row>
        <row r="34">
          <cell r="A34">
            <v>38735</v>
          </cell>
          <cell r="B34">
            <v>1934.21</v>
          </cell>
          <cell r="C34">
            <v>1870.63</v>
          </cell>
          <cell r="D34">
            <v>1277.93</v>
          </cell>
        </row>
        <row r="35">
          <cell r="A35">
            <v>38736</v>
          </cell>
          <cell r="B35">
            <v>1944.98</v>
          </cell>
          <cell r="C35">
            <v>1881.05</v>
          </cell>
          <cell r="D35">
            <v>1285.04</v>
          </cell>
        </row>
        <row r="36">
          <cell r="A36">
            <v>38737</v>
          </cell>
          <cell r="B36">
            <v>1909.35</v>
          </cell>
          <cell r="C36">
            <v>1846.58</v>
          </cell>
          <cell r="D36">
            <v>1261.49</v>
          </cell>
        </row>
        <row r="37">
          <cell r="A37">
            <v>38740</v>
          </cell>
          <cell r="B37">
            <v>1912.91</v>
          </cell>
          <cell r="C37">
            <v>1850.02</v>
          </cell>
          <cell r="D37">
            <v>1263.82</v>
          </cell>
        </row>
        <row r="38">
          <cell r="A38">
            <v>38741</v>
          </cell>
          <cell r="B38">
            <v>1917.54</v>
          </cell>
          <cell r="C38">
            <v>1854.49</v>
          </cell>
          <cell r="D38">
            <v>1266.8599999999999</v>
          </cell>
        </row>
        <row r="39">
          <cell r="A39">
            <v>38742</v>
          </cell>
          <cell r="B39">
            <v>1914.28</v>
          </cell>
          <cell r="C39">
            <v>1851.32</v>
          </cell>
          <cell r="D39">
            <v>1264.68</v>
          </cell>
        </row>
        <row r="40">
          <cell r="A40">
            <v>38743</v>
          </cell>
          <cell r="B40">
            <v>1928.17</v>
          </cell>
          <cell r="C40">
            <v>1864.74</v>
          </cell>
          <cell r="D40">
            <v>1273.83</v>
          </cell>
        </row>
        <row r="41">
          <cell r="A41">
            <v>38744</v>
          </cell>
          <cell r="B41">
            <v>1943.34</v>
          </cell>
          <cell r="C41">
            <v>1879.36</v>
          </cell>
          <cell r="D41">
            <v>1283.72</v>
          </cell>
        </row>
        <row r="42">
          <cell r="A42">
            <v>38747</v>
          </cell>
          <cell r="B42">
            <v>1945.66</v>
          </cell>
          <cell r="C42">
            <v>1881.58</v>
          </cell>
          <cell r="D42">
            <v>1285.2</v>
          </cell>
        </row>
        <row r="43">
          <cell r="A43">
            <v>38748</v>
          </cell>
          <cell r="B43">
            <v>1937.93</v>
          </cell>
          <cell r="C43">
            <v>1874.1</v>
          </cell>
          <cell r="D43">
            <v>1280.08</v>
          </cell>
        </row>
        <row r="44">
          <cell r="A44">
            <v>38749</v>
          </cell>
          <cell r="B44">
            <v>1941.75</v>
          </cell>
          <cell r="C44">
            <v>1877.73</v>
          </cell>
          <cell r="D44">
            <v>1282.46</v>
          </cell>
        </row>
        <row r="45">
          <cell r="A45">
            <v>38750</v>
          </cell>
          <cell r="B45">
            <v>1924.67</v>
          </cell>
          <cell r="C45">
            <v>1861.06</v>
          </cell>
          <cell r="D45">
            <v>1270.8399999999999</v>
          </cell>
        </row>
        <row r="46">
          <cell r="A46">
            <v>38751</v>
          </cell>
          <cell r="B46">
            <v>1914.5</v>
          </cell>
          <cell r="C46">
            <v>1851.19</v>
          </cell>
          <cell r="D46">
            <v>1264.03</v>
          </cell>
        </row>
        <row r="47">
          <cell r="A47">
            <v>38754</v>
          </cell>
          <cell r="B47">
            <v>1916.04</v>
          </cell>
          <cell r="C47">
            <v>1852.66</v>
          </cell>
          <cell r="D47">
            <v>1265.02</v>
          </cell>
        </row>
        <row r="48">
          <cell r="A48">
            <v>38755</v>
          </cell>
          <cell r="B48">
            <v>1900.58</v>
          </cell>
          <cell r="C48">
            <v>1837.7</v>
          </cell>
          <cell r="D48">
            <v>1254.78</v>
          </cell>
        </row>
        <row r="49">
          <cell r="A49">
            <v>38756</v>
          </cell>
          <cell r="B49">
            <v>1917.84</v>
          </cell>
          <cell r="C49">
            <v>1854.16</v>
          </cell>
          <cell r="D49">
            <v>1265.6500000000001</v>
          </cell>
        </row>
        <row r="50">
          <cell r="A50">
            <v>38757</v>
          </cell>
          <cell r="B50">
            <v>1915.1</v>
          </cell>
          <cell r="C50">
            <v>1851.48</v>
          </cell>
          <cell r="D50">
            <v>1263.78</v>
          </cell>
        </row>
        <row r="51">
          <cell r="A51">
            <v>38758</v>
          </cell>
          <cell r="B51">
            <v>1920</v>
          </cell>
          <cell r="C51">
            <v>1856.21</v>
          </cell>
          <cell r="D51">
            <v>1266.99</v>
          </cell>
        </row>
        <row r="52">
          <cell r="A52">
            <v>38761</v>
          </cell>
          <cell r="B52">
            <v>1914.02</v>
          </cell>
          <cell r="C52">
            <v>1850.34</v>
          </cell>
          <cell r="D52">
            <v>1262.8599999999999</v>
          </cell>
        </row>
        <row r="53">
          <cell r="A53">
            <v>38762</v>
          </cell>
          <cell r="B53">
            <v>1933.46</v>
          </cell>
          <cell r="C53">
            <v>1869.07</v>
          </cell>
          <cell r="D53">
            <v>1275.53</v>
          </cell>
        </row>
        <row r="54">
          <cell r="A54">
            <v>38763</v>
          </cell>
          <cell r="B54">
            <v>1940.68</v>
          </cell>
          <cell r="C54">
            <v>1875.93</v>
          </cell>
          <cell r="D54">
            <v>1280</v>
          </cell>
        </row>
        <row r="55">
          <cell r="A55">
            <v>38764</v>
          </cell>
          <cell r="B55">
            <v>1955.06</v>
          </cell>
          <cell r="C55">
            <v>1889.78</v>
          </cell>
          <cell r="D55">
            <v>1289.3800000000001</v>
          </cell>
        </row>
        <row r="56">
          <cell r="A56">
            <v>38765</v>
          </cell>
          <cell r="B56">
            <v>1951.83</v>
          </cell>
          <cell r="C56">
            <v>1886.65</v>
          </cell>
          <cell r="D56">
            <v>1287.24</v>
          </cell>
        </row>
        <row r="57">
          <cell r="A57">
            <v>38769</v>
          </cell>
          <cell r="B57">
            <v>1945.45</v>
          </cell>
          <cell r="C57">
            <v>1880.48</v>
          </cell>
          <cell r="D57">
            <v>1283.03</v>
          </cell>
        </row>
        <row r="58">
          <cell r="A58">
            <v>38770</v>
          </cell>
          <cell r="B58">
            <v>1960.26</v>
          </cell>
          <cell r="C58">
            <v>1894.74</v>
          </cell>
          <cell r="D58">
            <v>1292.67</v>
          </cell>
        </row>
        <row r="59">
          <cell r="A59">
            <v>38771</v>
          </cell>
          <cell r="B59">
            <v>1953.37</v>
          </cell>
          <cell r="C59">
            <v>1887.93</v>
          </cell>
          <cell r="D59">
            <v>1287.79</v>
          </cell>
        </row>
        <row r="60">
          <cell r="A60">
            <v>38772</v>
          </cell>
          <cell r="B60">
            <v>1956.14</v>
          </cell>
          <cell r="C60">
            <v>1890.53</v>
          </cell>
          <cell r="D60">
            <v>1289.43</v>
          </cell>
        </row>
        <row r="61">
          <cell r="A61">
            <v>38775</v>
          </cell>
          <cell r="B61">
            <v>1963.58</v>
          </cell>
          <cell r="C61">
            <v>1897.63</v>
          </cell>
          <cell r="D61">
            <v>1294.1199999999999</v>
          </cell>
        </row>
        <row r="62">
          <cell r="A62">
            <v>38776</v>
          </cell>
          <cell r="B62">
            <v>1943.19</v>
          </cell>
          <cell r="C62">
            <v>1877.91</v>
          </cell>
          <cell r="D62">
            <v>1280.6600000000001</v>
          </cell>
        </row>
        <row r="63">
          <cell r="A63">
            <v>38777</v>
          </cell>
          <cell r="B63">
            <v>1959.76</v>
          </cell>
          <cell r="C63">
            <v>1893.78</v>
          </cell>
          <cell r="D63">
            <v>1291.24</v>
          </cell>
        </row>
        <row r="64">
          <cell r="A64">
            <v>38778</v>
          </cell>
          <cell r="B64">
            <v>1956.6</v>
          </cell>
          <cell r="C64">
            <v>1890.71</v>
          </cell>
          <cell r="D64">
            <v>1289.1400000000001</v>
          </cell>
        </row>
        <row r="65">
          <cell r="A65">
            <v>38779</v>
          </cell>
          <cell r="B65">
            <v>1953.74</v>
          </cell>
          <cell r="C65">
            <v>1887.94</v>
          </cell>
          <cell r="D65">
            <v>1287.23</v>
          </cell>
        </row>
        <row r="66">
          <cell r="A66">
            <v>38782</v>
          </cell>
          <cell r="B66">
            <v>1940.2</v>
          </cell>
          <cell r="C66">
            <v>1874.83</v>
          </cell>
          <cell r="D66">
            <v>1278.26</v>
          </cell>
        </row>
        <row r="67">
          <cell r="A67">
            <v>38783</v>
          </cell>
          <cell r="B67">
            <v>1936.68</v>
          </cell>
          <cell r="C67">
            <v>1871.41</v>
          </cell>
          <cell r="D67">
            <v>1275.8800000000001</v>
          </cell>
        </row>
        <row r="68">
          <cell r="A68">
            <v>38784</v>
          </cell>
          <cell r="B68">
            <v>1941.17</v>
          </cell>
          <cell r="C68">
            <v>1875.58</v>
          </cell>
          <cell r="D68">
            <v>1278.47</v>
          </cell>
        </row>
        <row r="69">
          <cell r="A69">
            <v>38785</v>
          </cell>
          <cell r="B69">
            <v>1931.73</v>
          </cell>
          <cell r="C69">
            <v>1866.45</v>
          </cell>
          <cell r="D69">
            <v>1272.23</v>
          </cell>
        </row>
        <row r="70">
          <cell r="A70">
            <v>38786</v>
          </cell>
          <cell r="B70">
            <v>1945.92</v>
          </cell>
          <cell r="C70">
            <v>1880.16</v>
          </cell>
          <cell r="D70">
            <v>1281.58</v>
          </cell>
        </row>
        <row r="71">
          <cell r="A71">
            <v>38789</v>
          </cell>
          <cell r="B71">
            <v>1950.39</v>
          </cell>
          <cell r="C71">
            <v>1884.31</v>
          </cell>
          <cell r="D71">
            <v>1284.1300000000001</v>
          </cell>
        </row>
        <row r="72">
          <cell r="A72">
            <v>38790</v>
          </cell>
          <cell r="B72">
            <v>1970.65</v>
          </cell>
          <cell r="C72">
            <v>1903.89</v>
          </cell>
          <cell r="D72">
            <v>1297.48</v>
          </cell>
        </row>
        <row r="73">
          <cell r="A73">
            <v>38791</v>
          </cell>
          <cell r="B73">
            <v>1979.21</v>
          </cell>
          <cell r="C73">
            <v>1912.11</v>
          </cell>
          <cell r="D73">
            <v>1303.02</v>
          </cell>
        </row>
        <row r="74">
          <cell r="A74">
            <v>38792</v>
          </cell>
          <cell r="B74">
            <v>1982.76</v>
          </cell>
          <cell r="C74">
            <v>1915.54</v>
          </cell>
          <cell r="D74">
            <v>1305.33</v>
          </cell>
        </row>
        <row r="75">
          <cell r="A75">
            <v>38793</v>
          </cell>
          <cell r="B75">
            <v>1985.69</v>
          </cell>
          <cell r="C75">
            <v>1918.36</v>
          </cell>
          <cell r="D75">
            <v>1307.25</v>
          </cell>
        </row>
        <row r="76">
          <cell r="A76">
            <v>38796</v>
          </cell>
          <cell r="B76">
            <v>1982.4</v>
          </cell>
          <cell r="C76">
            <v>1915.18</v>
          </cell>
          <cell r="D76">
            <v>1305.08</v>
          </cell>
        </row>
        <row r="77">
          <cell r="A77">
            <v>38797</v>
          </cell>
          <cell r="B77">
            <v>1970.5</v>
          </cell>
          <cell r="C77">
            <v>1903.67</v>
          </cell>
          <cell r="D77">
            <v>1297.23</v>
          </cell>
        </row>
        <row r="78">
          <cell r="A78">
            <v>38798</v>
          </cell>
          <cell r="B78">
            <v>1982.4</v>
          </cell>
          <cell r="C78">
            <v>1915.16</v>
          </cell>
          <cell r="D78">
            <v>1305.04</v>
          </cell>
        </row>
        <row r="79">
          <cell r="A79">
            <v>38799</v>
          </cell>
          <cell r="B79">
            <v>1977.29</v>
          </cell>
          <cell r="C79">
            <v>1910.22</v>
          </cell>
          <cell r="D79">
            <v>1301.67</v>
          </cell>
        </row>
        <row r="80">
          <cell r="A80">
            <v>38800</v>
          </cell>
          <cell r="B80">
            <v>1979.24</v>
          </cell>
          <cell r="C80">
            <v>1912.1</v>
          </cell>
          <cell r="D80">
            <v>1302.95</v>
          </cell>
        </row>
        <row r="81">
          <cell r="A81">
            <v>38803</v>
          </cell>
          <cell r="B81">
            <v>1977.19</v>
          </cell>
          <cell r="C81">
            <v>1910.12</v>
          </cell>
          <cell r="D81">
            <v>1301.6099999999999</v>
          </cell>
        </row>
        <row r="82">
          <cell r="A82">
            <v>38804</v>
          </cell>
          <cell r="B82">
            <v>1964.47</v>
          </cell>
          <cell r="C82">
            <v>1897.83</v>
          </cell>
          <cell r="D82">
            <v>1293.23</v>
          </cell>
        </row>
        <row r="83">
          <cell r="A83">
            <v>38805</v>
          </cell>
          <cell r="B83">
            <v>1979.51</v>
          </cell>
          <cell r="C83">
            <v>1912.26</v>
          </cell>
          <cell r="D83">
            <v>1302.8900000000001</v>
          </cell>
        </row>
        <row r="84">
          <cell r="A84">
            <v>38806</v>
          </cell>
          <cell r="B84">
            <v>1975.6</v>
          </cell>
          <cell r="C84">
            <v>1908.45</v>
          </cell>
          <cell r="D84">
            <v>1300.25</v>
          </cell>
        </row>
        <row r="85">
          <cell r="A85">
            <v>38807</v>
          </cell>
          <cell r="B85">
            <v>1967.38</v>
          </cell>
          <cell r="C85">
            <v>1900.5</v>
          </cell>
          <cell r="D85">
            <v>1294.83</v>
          </cell>
        </row>
        <row r="86">
          <cell r="A86">
            <v>38810</v>
          </cell>
          <cell r="B86">
            <v>1971.92</v>
          </cell>
          <cell r="C86">
            <v>1904.89</v>
          </cell>
          <cell r="D86">
            <v>1297.81</v>
          </cell>
        </row>
        <row r="87">
          <cell r="A87">
            <v>38811</v>
          </cell>
          <cell r="B87">
            <v>1984.47</v>
          </cell>
          <cell r="C87">
            <v>1916.95</v>
          </cell>
          <cell r="D87">
            <v>1305.93</v>
          </cell>
        </row>
        <row r="88">
          <cell r="A88">
            <v>38812</v>
          </cell>
          <cell r="B88">
            <v>1993.21</v>
          </cell>
          <cell r="C88">
            <v>1925.34</v>
          </cell>
          <cell r="D88">
            <v>1311.56</v>
          </cell>
        </row>
        <row r="89">
          <cell r="A89">
            <v>38813</v>
          </cell>
          <cell r="B89">
            <v>1989.87</v>
          </cell>
          <cell r="C89">
            <v>1921.97</v>
          </cell>
          <cell r="D89">
            <v>1309.04</v>
          </cell>
        </row>
        <row r="90">
          <cell r="A90">
            <v>38814</v>
          </cell>
          <cell r="B90">
            <v>1969.3</v>
          </cell>
          <cell r="C90">
            <v>1902.1</v>
          </cell>
          <cell r="D90">
            <v>1295.5</v>
          </cell>
        </row>
        <row r="91">
          <cell r="A91">
            <v>38817</v>
          </cell>
          <cell r="B91">
            <v>1971.03</v>
          </cell>
          <cell r="C91">
            <v>1903.75</v>
          </cell>
          <cell r="D91">
            <v>1296.5999999999999</v>
          </cell>
        </row>
        <row r="92">
          <cell r="A92">
            <v>38818</v>
          </cell>
          <cell r="B92">
            <v>1956.11</v>
          </cell>
          <cell r="C92">
            <v>1889.25</v>
          </cell>
          <cell r="D92">
            <v>1286.57</v>
          </cell>
        </row>
        <row r="93">
          <cell r="A93">
            <v>38819</v>
          </cell>
          <cell r="B93">
            <v>1958.49</v>
          </cell>
          <cell r="C93">
            <v>1891.54</v>
          </cell>
          <cell r="D93">
            <v>1288.1199999999999</v>
          </cell>
        </row>
        <row r="94">
          <cell r="A94">
            <v>38820</v>
          </cell>
          <cell r="B94">
            <v>1960.01</v>
          </cell>
          <cell r="C94">
            <v>1893.01</v>
          </cell>
          <cell r="D94">
            <v>1289.1199999999999</v>
          </cell>
        </row>
        <row r="95">
          <cell r="A95">
            <v>38824</v>
          </cell>
          <cell r="B95">
            <v>1954.25</v>
          </cell>
          <cell r="C95">
            <v>1887.44</v>
          </cell>
          <cell r="D95">
            <v>1285.33</v>
          </cell>
        </row>
        <row r="96">
          <cell r="A96">
            <v>38825</v>
          </cell>
          <cell r="B96">
            <v>1988.18</v>
          </cell>
          <cell r="C96">
            <v>1920.22</v>
          </cell>
          <cell r="D96">
            <v>1307.6500000000001</v>
          </cell>
        </row>
        <row r="97">
          <cell r="A97">
            <v>38826</v>
          </cell>
          <cell r="B97">
            <v>1991.84</v>
          </cell>
          <cell r="C97">
            <v>1923.7</v>
          </cell>
          <cell r="D97">
            <v>1309.93</v>
          </cell>
        </row>
        <row r="98">
          <cell r="A98">
            <v>38827</v>
          </cell>
          <cell r="B98">
            <v>1994.23</v>
          </cell>
          <cell r="C98">
            <v>1925.98</v>
          </cell>
          <cell r="D98">
            <v>1311.46</v>
          </cell>
        </row>
        <row r="99">
          <cell r="A99">
            <v>38828</v>
          </cell>
          <cell r="B99">
            <v>1993.99</v>
          </cell>
          <cell r="C99">
            <v>1925.75</v>
          </cell>
          <cell r="D99">
            <v>1311.28</v>
          </cell>
        </row>
        <row r="100">
          <cell r="A100">
            <v>38831</v>
          </cell>
          <cell r="B100">
            <v>1989.2</v>
          </cell>
          <cell r="C100">
            <v>1921.11</v>
          </cell>
          <cell r="D100">
            <v>1308.1099999999999</v>
          </cell>
        </row>
        <row r="101">
          <cell r="A101">
            <v>38832</v>
          </cell>
          <cell r="B101">
            <v>1979.51</v>
          </cell>
          <cell r="C101">
            <v>1911.75</v>
          </cell>
          <cell r="D101">
            <v>1301.74</v>
          </cell>
        </row>
        <row r="102">
          <cell r="A102">
            <v>38833</v>
          </cell>
          <cell r="B102">
            <v>1985.28</v>
          </cell>
          <cell r="C102">
            <v>1917.27</v>
          </cell>
          <cell r="D102">
            <v>1305.4100000000001</v>
          </cell>
        </row>
        <row r="103">
          <cell r="A103">
            <v>38834</v>
          </cell>
          <cell r="B103">
            <v>1992.39</v>
          </cell>
          <cell r="C103">
            <v>1923.98</v>
          </cell>
          <cell r="D103">
            <v>1309.72</v>
          </cell>
        </row>
        <row r="104">
          <cell r="A104">
            <v>38835</v>
          </cell>
          <cell r="B104">
            <v>1993.79</v>
          </cell>
          <cell r="C104">
            <v>1925.32</v>
          </cell>
          <cell r="D104">
            <v>1310.6099999999999</v>
          </cell>
        </row>
        <row r="105">
          <cell r="A105">
            <v>38838</v>
          </cell>
          <cell r="B105">
            <v>1985.55</v>
          </cell>
          <cell r="C105">
            <v>1917.36</v>
          </cell>
          <cell r="D105">
            <v>1305.19</v>
          </cell>
        </row>
        <row r="106">
          <cell r="A106">
            <v>38839</v>
          </cell>
          <cell r="B106">
            <v>1997.75</v>
          </cell>
          <cell r="C106">
            <v>1929.14</v>
          </cell>
          <cell r="D106">
            <v>1313.21</v>
          </cell>
        </row>
        <row r="107">
          <cell r="A107">
            <v>38840</v>
          </cell>
          <cell r="B107">
            <v>1989.97</v>
          </cell>
          <cell r="C107">
            <v>1921.52</v>
          </cell>
          <cell r="D107">
            <v>1307.8499999999999</v>
          </cell>
        </row>
        <row r="108">
          <cell r="A108">
            <v>38841</v>
          </cell>
          <cell r="B108">
            <v>1996.74</v>
          </cell>
          <cell r="C108">
            <v>1928.03</v>
          </cell>
          <cell r="D108">
            <v>1312.25</v>
          </cell>
        </row>
        <row r="109">
          <cell r="A109">
            <v>38842</v>
          </cell>
          <cell r="B109">
            <v>2017.34</v>
          </cell>
          <cell r="C109">
            <v>1947.91</v>
          </cell>
          <cell r="D109">
            <v>1325.76</v>
          </cell>
        </row>
        <row r="110">
          <cell r="A110">
            <v>38845</v>
          </cell>
          <cell r="B110">
            <v>2015.84</v>
          </cell>
          <cell r="C110">
            <v>1946.41</v>
          </cell>
          <cell r="D110">
            <v>1324.66</v>
          </cell>
        </row>
        <row r="111">
          <cell r="A111">
            <v>38846</v>
          </cell>
          <cell r="B111">
            <v>2016.59</v>
          </cell>
          <cell r="C111">
            <v>1947.13</v>
          </cell>
          <cell r="D111">
            <v>1325.14</v>
          </cell>
        </row>
        <row r="112">
          <cell r="A112">
            <v>38847</v>
          </cell>
          <cell r="B112">
            <v>2013.99</v>
          </cell>
          <cell r="C112">
            <v>1944.36</v>
          </cell>
          <cell r="D112">
            <v>1322.85</v>
          </cell>
        </row>
        <row r="113">
          <cell r="A113">
            <v>38848</v>
          </cell>
          <cell r="B113">
            <v>1988.56</v>
          </cell>
          <cell r="C113">
            <v>1919.71</v>
          </cell>
          <cell r="D113">
            <v>1305.92</v>
          </cell>
        </row>
        <row r="114">
          <cell r="A114">
            <v>38849</v>
          </cell>
          <cell r="B114">
            <v>1966.27</v>
          </cell>
          <cell r="C114">
            <v>1898.17</v>
          </cell>
          <cell r="D114">
            <v>1291.24</v>
          </cell>
        </row>
        <row r="115">
          <cell r="A115">
            <v>38852</v>
          </cell>
          <cell r="B115">
            <v>1971.45</v>
          </cell>
          <cell r="C115">
            <v>1903.12</v>
          </cell>
          <cell r="D115">
            <v>1294.5</v>
          </cell>
        </row>
        <row r="116">
          <cell r="A116">
            <v>38853</v>
          </cell>
          <cell r="B116">
            <v>1967.79</v>
          </cell>
          <cell r="C116">
            <v>1899.57</v>
          </cell>
          <cell r="D116">
            <v>1292.08</v>
          </cell>
        </row>
        <row r="117">
          <cell r="A117">
            <v>38854</v>
          </cell>
          <cell r="B117">
            <v>1935.18</v>
          </cell>
          <cell r="C117">
            <v>1867.94</v>
          </cell>
          <cell r="D117">
            <v>1270.32</v>
          </cell>
        </row>
        <row r="118">
          <cell r="A118">
            <v>38855</v>
          </cell>
          <cell r="B118">
            <v>1922.32</v>
          </cell>
          <cell r="C118">
            <v>1855.5</v>
          </cell>
          <cell r="D118">
            <v>1261.81</v>
          </cell>
        </row>
        <row r="119">
          <cell r="A119">
            <v>38856</v>
          </cell>
          <cell r="B119">
            <v>1930.27</v>
          </cell>
          <cell r="C119">
            <v>1863.17</v>
          </cell>
          <cell r="D119">
            <v>1267.03</v>
          </cell>
        </row>
        <row r="120">
          <cell r="A120">
            <v>38859</v>
          </cell>
          <cell r="B120">
            <v>1922.72</v>
          </cell>
          <cell r="C120">
            <v>1855.88</v>
          </cell>
          <cell r="D120">
            <v>1262.07</v>
          </cell>
        </row>
        <row r="121">
          <cell r="A121">
            <v>38860</v>
          </cell>
          <cell r="B121">
            <v>1914.38</v>
          </cell>
          <cell r="C121">
            <v>1847.83</v>
          </cell>
          <cell r="D121">
            <v>1256.58</v>
          </cell>
        </row>
        <row r="122">
          <cell r="A122">
            <v>38861</v>
          </cell>
          <cell r="B122">
            <v>1917.48</v>
          </cell>
          <cell r="C122">
            <v>1850.79</v>
          </cell>
          <cell r="D122">
            <v>1258.57</v>
          </cell>
        </row>
        <row r="123">
          <cell r="A123">
            <v>38862</v>
          </cell>
          <cell r="B123">
            <v>1939.52</v>
          </cell>
          <cell r="C123">
            <v>1872</v>
          </cell>
          <cell r="D123">
            <v>1272.8800000000001</v>
          </cell>
        </row>
        <row r="124">
          <cell r="A124">
            <v>38863</v>
          </cell>
          <cell r="B124">
            <v>1950.87</v>
          </cell>
          <cell r="C124">
            <v>1882.88</v>
          </cell>
          <cell r="D124">
            <v>1280.1600000000001</v>
          </cell>
        </row>
        <row r="125">
          <cell r="A125">
            <v>38867</v>
          </cell>
          <cell r="B125">
            <v>1920.09</v>
          </cell>
          <cell r="C125">
            <v>1853.12</v>
          </cell>
          <cell r="D125">
            <v>1259.8399999999999</v>
          </cell>
        </row>
        <row r="126">
          <cell r="A126">
            <v>38868</v>
          </cell>
          <cell r="B126">
            <v>1936.41</v>
          </cell>
          <cell r="C126">
            <v>1868.67</v>
          </cell>
          <cell r="D126">
            <v>1270.0899999999999</v>
          </cell>
        </row>
        <row r="127">
          <cell r="A127">
            <v>38869</v>
          </cell>
          <cell r="B127">
            <v>1960.28</v>
          </cell>
          <cell r="C127">
            <v>1891.69</v>
          </cell>
          <cell r="D127">
            <v>1285.71</v>
          </cell>
        </row>
        <row r="128">
          <cell r="A128">
            <v>38870</v>
          </cell>
          <cell r="B128">
            <v>1964.11</v>
          </cell>
          <cell r="C128">
            <v>1895.38</v>
          </cell>
          <cell r="D128">
            <v>1288.22</v>
          </cell>
        </row>
        <row r="129">
          <cell r="A129">
            <v>38873</v>
          </cell>
          <cell r="B129">
            <v>1929.23</v>
          </cell>
          <cell r="C129">
            <v>1861.7</v>
          </cell>
          <cell r="D129">
            <v>1265.29</v>
          </cell>
        </row>
        <row r="130">
          <cell r="A130">
            <v>38874</v>
          </cell>
          <cell r="B130">
            <v>1927.13</v>
          </cell>
          <cell r="C130">
            <v>1859.65</v>
          </cell>
          <cell r="D130">
            <v>1263.8499999999999</v>
          </cell>
        </row>
        <row r="131">
          <cell r="A131">
            <v>38875</v>
          </cell>
          <cell r="B131">
            <v>1915.77</v>
          </cell>
          <cell r="C131">
            <v>1848.58</v>
          </cell>
          <cell r="D131">
            <v>1256.1500000000001</v>
          </cell>
        </row>
        <row r="132">
          <cell r="A132">
            <v>38876</v>
          </cell>
          <cell r="B132">
            <v>1918.59</v>
          </cell>
          <cell r="C132">
            <v>1851.26</v>
          </cell>
          <cell r="D132">
            <v>1257.93</v>
          </cell>
        </row>
        <row r="133">
          <cell r="A133">
            <v>38877</v>
          </cell>
          <cell r="B133">
            <v>1910.01</v>
          </cell>
          <cell r="C133">
            <v>1842.98</v>
          </cell>
          <cell r="D133">
            <v>1252.3</v>
          </cell>
        </row>
        <row r="134">
          <cell r="A134">
            <v>38880</v>
          </cell>
          <cell r="B134">
            <v>1885.81</v>
          </cell>
          <cell r="C134">
            <v>1819.62</v>
          </cell>
          <cell r="D134">
            <v>1236.4000000000001</v>
          </cell>
        </row>
        <row r="135">
          <cell r="A135">
            <v>38881</v>
          </cell>
          <cell r="B135">
            <v>1866.92</v>
          </cell>
          <cell r="C135">
            <v>1801.25</v>
          </cell>
          <cell r="D135">
            <v>1223.69</v>
          </cell>
        </row>
        <row r="136">
          <cell r="A136">
            <v>38882</v>
          </cell>
          <cell r="B136">
            <v>1876.67</v>
          </cell>
          <cell r="C136">
            <v>1810.64</v>
          </cell>
          <cell r="D136">
            <v>1230.04</v>
          </cell>
        </row>
        <row r="137">
          <cell r="A137">
            <v>38883</v>
          </cell>
          <cell r="B137">
            <v>1916.56</v>
          </cell>
          <cell r="C137">
            <v>1849.12</v>
          </cell>
          <cell r="D137">
            <v>1256.1600000000001</v>
          </cell>
        </row>
        <row r="138">
          <cell r="A138">
            <v>38884</v>
          </cell>
          <cell r="B138">
            <v>1909.52</v>
          </cell>
          <cell r="C138">
            <v>1842.32</v>
          </cell>
          <cell r="D138">
            <v>1251.54</v>
          </cell>
        </row>
        <row r="139">
          <cell r="A139">
            <v>38887</v>
          </cell>
          <cell r="B139">
            <v>1892.12</v>
          </cell>
          <cell r="C139">
            <v>1825.53</v>
          </cell>
          <cell r="D139">
            <v>1240.1400000000001</v>
          </cell>
        </row>
        <row r="140">
          <cell r="A140">
            <v>38888</v>
          </cell>
          <cell r="B140">
            <v>1892.13</v>
          </cell>
          <cell r="C140">
            <v>1825.53</v>
          </cell>
          <cell r="D140">
            <v>1240.1199999999999</v>
          </cell>
        </row>
        <row r="141">
          <cell r="A141">
            <v>38889</v>
          </cell>
          <cell r="B141">
            <v>1910.62</v>
          </cell>
          <cell r="C141">
            <v>1843.35</v>
          </cell>
          <cell r="D141">
            <v>1252.2</v>
          </cell>
        </row>
        <row r="142">
          <cell r="A142">
            <v>38890</v>
          </cell>
          <cell r="B142">
            <v>1900.98</v>
          </cell>
          <cell r="C142">
            <v>1833.93</v>
          </cell>
          <cell r="D142">
            <v>1245.5999999999999</v>
          </cell>
        </row>
        <row r="143">
          <cell r="A143">
            <v>38891</v>
          </cell>
          <cell r="B143">
            <v>1899.32</v>
          </cell>
          <cell r="C143">
            <v>1832.32</v>
          </cell>
          <cell r="D143">
            <v>1244.5</v>
          </cell>
        </row>
        <row r="144">
          <cell r="A144">
            <v>38894</v>
          </cell>
          <cell r="B144">
            <v>1908.56</v>
          </cell>
          <cell r="C144">
            <v>1841.24</v>
          </cell>
          <cell r="D144">
            <v>1250.56</v>
          </cell>
        </row>
        <row r="145">
          <cell r="A145">
            <v>38895</v>
          </cell>
          <cell r="B145">
            <v>1891.24</v>
          </cell>
          <cell r="C145">
            <v>1824.52</v>
          </cell>
          <cell r="D145">
            <v>1239.2</v>
          </cell>
        </row>
        <row r="146">
          <cell r="A146">
            <v>38896</v>
          </cell>
          <cell r="B146">
            <v>1901.98</v>
          </cell>
          <cell r="C146">
            <v>1834.78</v>
          </cell>
          <cell r="D146">
            <v>1246</v>
          </cell>
        </row>
        <row r="147">
          <cell r="A147">
            <v>38897</v>
          </cell>
          <cell r="B147">
            <v>1943.08</v>
          </cell>
          <cell r="C147">
            <v>1874.4</v>
          </cell>
          <cell r="D147">
            <v>1272.8699999999999</v>
          </cell>
        </row>
        <row r="148">
          <cell r="A148">
            <v>38898</v>
          </cell>
          <cell r="B148">
            <v>1939.03</v>
          </cell>
          <cell r="C148">
            <v>1870.49</v>
          </cell>
          <cell r="D148">
            <v>1270.2</v>
          </cell>
        </row>
        <row r="149">
          <cell r="A149">
            <v>38901</v>
          </cell>
          <cell r="B149">
            <v>1954.49</v>
          </cell>
          <cell r="C149">
            <v>1885.34</v>
          </cell>
          <cell r="D149">
            <v>1280.19</v>
          </cell>
        </row>
        <row r="150">
          <cell r="A150">
            <v>38903</v>
          </cell>
          <cell r="B150">
            <v>1940.55</v>
          </cell>
          <cell r="C150">
            <v>1871.83</v>
          </cell>
          <cell r="D150">
            <v>1270.9100000000001</v>
          </cell>
        </row>
        <row r="151">
          <cell r="A151">
            <v>38904</v>
          </cell>
          <cell r="B151">
            <v>1945.9</v>
          </cell>
          <cell r="C151">
            <v>1876.84</v>
          </cell>
          <cell r="D151">
            <v>1274.08</v>
          </cell>
        </row>
        <row r="152">
          <cell r="A152">
            <v>38905</v>
          </cell>
          <cell r="B152">
            <v>1932.75</v>
          </cell>
          <cell r="C152">
            <v>1864.16</v>
          </cell>
          <cell r="D152">
            <v>1265.48</v>
          </cell>
        </row>
        <row r="153">
          <cell r="A153">
            <v>38908</v>
          </cell>
          <cell r="B153">
            <v>1935.61</v>
          </cell>
          <cell r="C153">
            <v>1866.92</v>
          </cell>
          <cell r="D153">
            <v>1267.3399999999999</v>
          </cell>
        </row>
        <row r="154">
          <cell r="A154">
            <v>38909</v>
          </cell>
          <cell r="B154">
            <v>1943.66</v>
          </cell>
          <cell r="C154">
            <v>1874.64</v>
          </cell>
          <cell r="D154">
            <v>1272.52</v>
          </cell>
        </row>
        <row r="155">
          <cell r="A155">
            <v>38910</v>
          </cell>
          <cell r="B155">
            <v>1922.62</v>
          </cell>
          <cell r="C155">
            <v>1854.28</v>
          </cell>
          <cell r="D155">
            <v>1258.5999999999999</v>
          </cell>
        </row>
        <row r="156">
          <cell r="A156">
            <v>38911</v>
          </cell>
          <cell r="B156">
            <v>1897.73</v>
          </cell>
          <cell r="C156">
            <v>1830.27</v>
          </cell>
          <cell r="D156">
            <v>1242.29</v>
          </cell>
        </row>
        <row r="157">
          <cell r="A157">
            <v>38912</v>
          </cell>
          <cell r="B157">
            <v>1888.43</v>
          </cell>
          <cell r="C157">
            <v>1821.3</v>
          </cell>
          <cell r="D157">
            <v>1236.2</v>
          </cell>
        </row>
        <row r="158">
          <cell r="A158">
            <v>38915</v>
          </cell>
          <cell r="B158">
            <v>1885.82</v>
          </cell>
          <cell r="C158">
            <v>1818.78</v>
          </cell>
          <cell r="D158">
            <v>1234.49</v>
          </cell>
        </row>
        <row r="159">
          <cell r="A159">
            <v>38916</v>
          </cell>
          <cell r="B159">
            <v>1889.48</v>
          </cell>
          <cell r="C159">
            <v>1822.3</v>
          </cell>
          <cell r="D159">
            <v>1236.8599999999999</v>
          </cell>
        </row>
        <row r="160">
          <cell r="A160">
            <v>38917</v>
          </cell>
          <cell r="B160">
            <v>1924.74</v>
          </cell>
          <cell r="C160">
            <v>1856.25</v>
          </cell>
          <cell r="D160">
            <v>1259.81</v>
          </cell>
        </row>
        <row r="161">
          <cell r="A161">
            <v>38918</v>
          </cell>
          <cell r="B161">
            <v>1908.42</v>
          </cell>
          <cell r="C161">
            <v>1840.51</v>
          </cell>
          <cell r="D161">
            <v>1249.1300000000001</v>
          </cell>
        </row>
        <row r="162">
          <cell r="A162">
            <v>38919</v>
          </cell>
          <cell r="B162">
            <v>1894.94</v>
          </cell>
          <cell r="C162">
            <v>1827.5</v>
          </cell>
          <cell r="D162">
            <v>1240.29</v>
          </cell>
        </row>
        <row r="163">
          <cell r="A163">
            <v>38922</v>
          </cell>
          <cell r="B163">
            <v>1926.5</v>
          </cell>
          <cell r="C163">
            <v>1857.92</v>
          </cell>
          <cell r="D163">
            <v>1260.9100000000001</v>
          </cell>
        </row>
        <row r="164">
          <cell r="A164">
            <v>38923</v>
          </cell>
          <cell r="B164">
            <v>1938.68</v>
          </cell>
          <cell r="C164">
            <v>1869.66</v>
          </cell>
          <cell r="D164">
            <v>1268.8800000000001</v>
          </cell>
        </row>
        <row r="165">
          <cell r="A165">
            <v>38924</v>
          </cell>
          <cell r="B165">
            <v>1937.96</v>
          </cell>
          <cell r="C165">
            <v>1868.97</v>
          </cell>
          <cell r="D165">
            <v>1268.4000000000001</v>
          </cell>
        </row>
        <row r="166">
          <cell r="A166">
            <v>38925</v>
          </cell>
          <cell r="B166">
            <v>1930.32</v>
          </cell>
          <cell r="C166">
            <v>1861.51</v>
          </cell>
          <cell r="D166">
            <v>1263.2</v>
          </cell>
        </row>
        <row r="167">
          <cell r="A167">
            <v>38926</v>
          </cell>
          <cell r="B167">
            <v>1953.86</v>
          </cell>
          <cell r="C167">
            <v>1884.19</v>
          </cell>
          <cell r="D167">
            <v>1278.55</v>
          </cell>
        </row>
        <row r="168">
          <cell r="A168">
            <v>38929</v>
          </cell>
          <cell r="B168">
            <v>1950.99</v>
          </cell>
          <cell r="C168">
            <v>1881.42</v>
          </cell>
          <cell r="D168">
            <v>1276.6600000000001</v>
          </cell>
        </row>
        <row r="169">
          <cell r="A169">
            <v>38930</v>
          </cell>
          <cell r="B169">
            <v>1942.22</v>
          </cell>
          <cell r="C169">
            <v>1872.96</v>
          </cell>
          <cell r="D169">
            <v>1270.92</v>
          </cell>
        </row>
        <row r="170">
          <cell r="A170">
            <v>38931</v>
          </cell>
          <cell r="B170">
            <v>1954.18</v>
          </cell>
          <cell r="C170">
            <v>1884.41</v>
          </cell>
          <cell r="D170">
            <v>1278.55</v>
          </cell>
        </row>
        <row r="171">
          <cell r="A171">
            <v>38932</v>
          </cell>
          <cell r="B171">
            <v>1957.41</v>
          </cell>
          <cell r="C171">
            <v>1887.35</v>
          </cell>
          <cell r="D171">
            <v>1280.27</v>
          </cell>
        </row>
        <row r="172">
          <cell r="A172">
            <v>38933</v>
          </cell>
          <cell r="B172">
            <v>1956.05</v>
          </cell>
          <cell r="C172">
            <v>1886.03</v>
          </cell>
          <cell r="D172">
            <v>1279.3599999999999</v>
          </cell>
        </row>
        <row r="173">
          <cell r="A173">
            <v>38936</v>
          </cell>
          <cell r="B173">
            <v>1950.63</v>
          </cell>
          <cell r="C173">
            <v>1880.78</v>
          </cell>
          <cell r="D173">
            <v>1275.77</v>
          </cell>
        </row>
        <row r="174">
          <cell r="A174">
            <v>38937</v>
          </cell>
          <cell r="B174">
            <v>1944.22</v>
          </cell>
          <cell r="C174">
            <v>1874.56</v>
          </cell>
          <cell r="D174">
            <v>1271.48</v>
          </cell>
        </row>
        <row r="175">
          <cell r="A175">
            <v>38938</v>
          </cell>
          <cell r="B175">
            <v>1936.3</v>
          </cell>
          <cell r="C175">
            <v>1866.76</v>
          </cell>
          <cell r="D175">
            <v>1265.95</v>
          </cell>
        </row>
        <row r="176">
          <cell r="A176">
            <v>38939</v>
          </cell>
          <cell r="B176">
            <v>1945.61</v>
          </cell>
          <cell r="C176">
            <v>1875.64</v>
          </cell>
          <cell r="D176">
            <v>1271.81</v>
          </cell>
        </row>
        <row r="177">
          <cell r="A177">
            <v>38940</v>
          </cell>
          <cell r="B177">
            <v>1938.13</v>
          </cell>
          <cell r="C177">
            <v>1868.35</v>
          </cell>
          <cell r="D177">
            <v>1266.74</v>
          </cell>
        </row>
        <row r="178">
          <cell r="A178">
            <v>38943</v>
          </cell>
          <cell r="B178">
            <v>1940.5</v>
          </cell>
          <cell r="C178">
            <v>1870.6</v>
          </cell>
          <cell r="D178">
            <v>1268.21</v>
          </cell>
        </row>
        <row r="179">
          <cell r="A179">
            <v>38944</v>
          </cell>
          <cell r="B179">
            <v>1967.26</v>
          </cell>
          <cell r="C179">
            <v>1896.34</v>
          </cell>
          <cell r="D179">
            <v>1285.58</v>
          </cell>
        </row>
        <row r="180">
          <cell r="A180">
            <v>38945</v>
          </cell>
          <cell r="B180">
            <v>1982.81</v>
          </cell>
          <cell r="C180">
            <v>1911.19</v>
          </cell>
          <cell r="D180">
            <v>1295.43</v>
          </cell>
        </row>
        <row r="181">
          <cell r="A181">
            <v>38946</v>
          </cell>
          <cell r="B181">
            <v>1986.04</v>
          </cell>
          <cell r="C181">
            <v>1914.28</v>
          </cell>
          <cell r="D181">
            <v>1297.48</v>
          </cell>
        </row>
        <row r="182">
          <cell r="A182">
            <v>38947</v>
          </cell>
          <cell r="B182">
            <v>1993.43</v>
          </cell>
          <cell r="C182">
            <v>1921.4</v>
          </cell>
          <cell r="D182">
            <v>1302.3</v>
          </cell>
        </row>
        <row r="183">
          <cell r="A183">
            <v>38950</v>
          </cell>
          <cell r="B183">
            <v>1986.11</v>
          </cell>
          <cell r="C183">
            <v>1914.35</v>
          </cell>
          <cell r="D183">
            <v>1297.52</v>
          </cell>
        </row>
        <row r="184">
          <cell r="A184">
            <v>38951</v>
          </cell>
          <cell r="B184">
            <v>1988.1</v>
          </cell>
          <cell r="C184">
            <v>1916.27</v>
          </cell>
          <cell r="D184">
            <v>1298.82</v>
          </cell>
        </row>
        <row r="185">
          <cell r="A185">
            <v>38952</v>
          </cell>
          <cell r="B185">
            <v>1979.35</v>
          </cell>
          <cell r="C185">
            <v>1907.78</v>
          </cell>
          <cell r="D185">
            <v>1292.99</v>
          </cell>
        </row>
        <row r="186">
          <cell r="A186">
            <v>38953</v>
          </cell>
          <cell r="B186">
            <v>1984.09</v>
          </cell>
          <cell r="C186">
            <v>1912.34</v>
          </cell>
          <cell r="D186">
            <v>1296.06</v>
          </cell>
        </row>
        <row r="187">
          <cell r="A187">
            <v>38954</v>
          </cell>
          <cell r="B187">
            <v>1982.81</v>
          </cell>
          <cell r="C187">
            <v>1911.04</v>
          </cell>
          <cell r="D187">
            <v>1295.0899999999999</v>
          </cell>
        </row>
        <row r="188">
          <cell r="A188">
            <v>38957</v>
          </cell>
          <cell r="B188">
            <v>1993.06</v>
          </cell>
          <cell r="C188">
            <v>1920.92</v>
          </cell>
          <cell r="D188">
            <v>1301.78</v>
          </cell>
        </row>
        <row r="189">
          <cell r="A189">
            <v>38958</v>
          </cell>
          <cell r="B189">
            <v>1997.2</v>
          </cell>
          <cell r="C189">
            <v>1924.82</v>
          </cell>
          <cell r="D189">
            <v>1304.28</v>
          </cell>
        </row>
        <row r="190">
          <cell r="A190">
            <v>38959</v>
          </cell>
          <cell r="B190">
            <v>1998.08</v>
          </cell>
          <cell r="C190">
            <v>1925.41</v>
          </cell>
          <cell r="D190">
            <v>1304.27</v>
          </cell>
        </row>
        <row r="191">
          <cell r="A191">
            <v>38960</v>
          </cell>
          <cell r="B191">
            <v>1997.42</v>
          </cell>
          <cell r="C191">
            <v>1924.76</v>
          </cell>
          <cell r="D191">
            <v>1303.82</v>
          </cell>
        </row>
        <row r="192">
          <cell r="A192">
            <v>38961</v>
          </cell>
          <cell r="B192">
            <v>2008.47</v>
          </cell>
          <cell r="C192">
            <v>1935.4</v>
          </cell>
          <cell r="D192">
            <v>1311.01</v>
          </cell>
        </row>
        <row r="193">
          <cell r="A193">
            <v>38965</v>
          </cell>
          <cell r="B193">
            <v>2012</v>
          </cell>
          <cell r="C193">
            <v>1938.77</v>
          </cell>
          <cell r="D193">
            <v>1313.25</v>
          </cell>
        </row>
        <row r="194">
          <cell r="A194">
            <v>38966</v>
          </cell>
          <cell r="B194">
            <v>1992.42</v>
          </cell>
          <cell r="C194">
            <v>1919.81</v>
          </cell>
          <cell r="D194">
            <v>1300.26</v>
          </cell>
        </row>
        <row r="195">
          <cell r="A195">
            <v>38967</v>
          </cell>
          <cell r="B195">
            <v>1982.93</v>
          </cell>
          <cell r="C195">
            <v>1910.65</v>
          </cell>
          <cell r="D195">
            <v>1294.02</v>
          </cell>
        </row>
        <row r="196">
          <cell r="A196">
            <v>38968</v>
          </cell>
          <cell r="B196">
            <v>1990.44</v>
          </cell>
          <cell r="C196">
            <v>1917.89</v>
          </cell>
          <cell r="D196">
            <v>1298.92</v>
          </cell>
        </row>
        <row r="197">
          <cell r="A197">
            <v>38971</v>
          </cell>
          <cell r="B197">
            <v>1991.49</v>
          </cell>
          <cell r="C197">
            <v>1918.87</v>
          </cell>
          <cell r="D197">
            <v>1299.54</v>
          </cell>
        </row>
        <row r="198">
          <cell r="A198">
            <v>38972</v>
          </cell>
          <cell r="B198">
            <v>2012.32</v>
          </cell>
          <cell r="C198">
            <v>1938.93</v>
          </cell>
          <cell r="D198">
            <v>1313.11</v>
          </cell>
        </row>
        <row r="199">
          <cell r="A199">
            <v>38973</v>
          </cell>
          <cell r="B199">
            <v>2020.49</v>
          </cell>
          <cell r="C199">
            <v>1946.64</v>
          </cell>
          <cell r="D199">
            <v>1318.07</v>
          </cell>
        </row>
        <row r="200">
          <cell r="A200">
            <v>38974</v>
          </cell>
          <cell r="B200">
            <v>2017.86</v>
          </cell>
          <cell r="C200">
            <v>1944.07</v>
          </cell>
          <cell r="D200">
            <v>1316.28</v>
          </cell>
        </row>
        <row r="201">
          <cell r="A201">
            <v>38975</v>
          </cell>
          <cell r="B201">
            <v>2023.35</v>
          </cell>
          <cell r="C201">
            <v>1949.36</v>
          </cell>
          <cell r="D201">
            <v>1319.87</v>
          </cell>
        </row>
        <row r="202">
          <cell r="A202">
            <v>38978</v>
          </cell>
          <cell r="B202">
            <v>2025.39</v>
          </cell>
          <cell r="C202">
            <v>1951.32</v>
          </cell>
          <cell r="D202">
            <v>1321.18</v>
          </cell>
        </row>
        <row r="203">
          <cell r="A203">
            <v>38979</v>
          </cell>
          <cell r="B203">
            <v>2021</v>
          </cell>
          <cell r="C203">
            <v>1947.09</v>
          </cell>
          <cell r="D203">
            <v>1318.31</v>
          </cell>
        </row>
        <row r="204">
          <cell r="A204">
            <v>38980</v>
          </cell>
          <cell r="B204">
            <v>2031.59</v>
          </cell>
          <cell r="C204">
            <v>1957.27</v>
          </cell>
          <cell r="D204">
            <v>1325.18</v>
          </cell>
        </row>
        <row r="205">
          <cell r="A205">
            <v>38981</v>
          </cell>
          <cell r="B205">
            <v>2021.08</v>
          </cell>
          <cell r="C205">
            <v>1947.02</v>
          </cell>
          <cell r="D205">
            <v>1318.03</v>
          </cell>
        </row>
        <row r="206">
          <cell r="A206">
            <v>38982</v>
          </cell>
          <cell r="B206">
            <v>2016.09</v>
          </cell>
          <cell r="C206">
            <v>1942.21</v>
          </cell>
          <cell r="D206">
            <v>1314.78</v>
          </cell>
        </row>
        <row r="207">
          <cell r="A207">
            <v>38985</v>
          </cell>
          <cell r="B207">
            <v>2033.87</v>
          </cell>
          <cell r="C207">
            <v>1959.34</v>
          </cell>
          <cell r="D207">
            <v>1326.37</v>
          </cell>
        </row>
        <row r="208">
          <cell r="A208">
            <v>38986</v>
          </cell>
          <cell r="B208">
            <v>2049.1999999999998</v>
          </cell>
          <cell r="C208">
            <v>1974.1</v>
          </cell>
          <cell r="D208">
            <v>1336.34</v>
          </cell>
        </row>
        <row r="209">
          <cell r="A209">
            <v>38987</v>
          </cell>
          <cell r="B209">
            <v>2049.9699999999998</v>
          </cell>
          <cell r="C209">
            <v>1974.72</v>
          </cell>
          <cell r="D209">
            <v>1336.59</v>
          </cell>
        </row>
        <row r="210">
          <cell r="A210">
            <v>38988</v>
          </cell>
          <cell r="B210">
            <v>2053.9299999999998</v>
          </cell>
          <cell r="C210">
            <v>1978.53</v>
          </cell>
          <cell r="D210">
            <v>1339.15</v>
          </cell>
        </row>
        <row r="211">
          <cell r="A211">
            <v>38989</v>
          </cell>
          <cell r="B211">
            <v>2048.89</v>
          </cell>
          <cell r="C211">
            <v>1973.67</v>
          </cell>
          <cell r="D211">
            <v>1335.85</v>
          </cell>
        </row>
        <row r="212">
          <cell r="A212">
            <v>38992</v>
          </cell>
          <cell r="B212">
            <v>2041.99</v>
          </cell>
          <cell r="C212">
            <v>1967.01</v>
          </cell>
          <cell r="D212">
            <v>1331.32</v>
          </cell>
        </row>
        <row r="213">
          <cell r="A213">
            <v>38993</v>
          </cell>
          <cell r="B213">
            <v>2046.28</v>
          </cell>
          <cell r="C213">
            <v>1971.14</v>
          </cell>
          <cell r="D213">
            <v>1334.11</v>
          </cell>
        </row>
        <row r="214">
          <cell r="A214">
            <v>38994</v>
          </cell>
          <cell r="B214">
            <v>2071.4499999999998</v>
          </cell>
          <cell r="C214">
            <v>1995.25</v>
          </cell>
          <cell r="D214">
            <v>1350.22</v>
          </cell>
        </row>
        <row r="215">
          <cell r="A215">
            <v>38995</v>
          </cell>
          <cell r="B215">
            <v>2076.63</v>
          </cell>
          <cell r="C215">
            <v>2000.07</v>
          </cell>
          <cell r="D215">
            <v>1353.22</v>
          </cell>
        </row>
        <row r="216">
          <cell r="A216">
            <v>38996</v>
          </cell>
          <cell r="B216">
            <v>2071.0500000000002</v>
          </cell>
          <cell r="C216">
            <v>1994.7</v>
          </cell>
          <cell r="D216">
            <v>1349.58</v>
          </cell>
        </row>
        <row r="217">
          <cell r="A217">
            <v>38999</v>
          </cell>
          <cell r="B217">
            <v>2072.71</v>
          </cell>
          <cell r="C217">
            <v>1996.3</v>
          </cell>
          <cell r="D217">
            <v>1350.66</v>
          </cell>
        </row>
        <row r="218">
          <cell r="A218">
            <v>39000</v>
          </cell>
          <cell r="B218">
            <v>2077.0100000000002</v>
          </cell>
          <cell r="C218">
            <v>2000.42</v>
          </cell>
          <cell r="D218">
            <v>1353.42</v>
          </cell>
        </row>
        <row r="219">
          <cell r="A219">
            <v>39001</v>
          </cell>
          <cell r="B219">
            <v>2071.9</v>
          </cell>
          <cell r="C219">
            <v>1995.44</v>
          </cell>
          <cell r="D219">
            <v>1349.95</v>
          </cell>
        </row>
        <row r="220">
          <cell r="A220">
            <v>39002</v>
          </cell>
          <cell r="B220">
            <v>2091.69</v>
          </cell>
          <cell r="C220">
            <v>2014.48</v>
          </cell>
          <cell r="D220">
            <v>1362.83</v>
          </cell>
        </row>
        <row r="221">
          <cell r="A221">
            <v>39003</v>
          </cell>
          <cell r="B221">
            <v>2095.9699999999998</v>
          </cell>
          <cell r="C221">
            <v>2018.61</v>
          </cell>
          <cell r="D221">
            <v>1365.62</v>
          </cell>
        </row>
        <row r="222">
          <cell r="A222">
            <v>39006</v>
          </cell>
          <cell r="B222">
            <v>2101.2600000000002</v>
          </cell>
          <cell r="C222">
            <v>2023.7</v>
          </cell>
          <cell r="D222">
            <v>1369.05</v>
          </cell>
        </row>
        <row r="223">
          <cell r="A223">
            <v>39007</v>
          </cell>
          <cell r="B223">
            <v>2093.58</v>
          </cell>
          <cell r="C223">
            <v>2016.3</v>
          </cell>
          <cell r="D223">
            <v>1364.05</v>
          </cell>
        </row>
        <row r="224">
          <cell r="A224">
            <v>39008</v>
          </cell>
          <cell r="B224">
            <v>2096.71</v>
          </cell>
          <cell r="C224">
            <v>2019.26</v>
          </cell>
          <cell r="D224">
            <v>1365.96</v>
          </cell>
        </row>
        <row r="225">
          <cell r="A225">
            <v>39009</v>
          </cell>
          <cell r="B225">
            <v>2098.3200000000002</v>
          </cell>
          <cell r="C225">
            <v>2020.79</v>
          </cell>
          <cell r="D225">
            <v>1366.96</v>
          </cell>
        </row>
        <row r="226">
          <cell r="A226">
            <v>39010</v>
          </cell>
          <cell r="B226">
            <v>2100.86</v>
          </cell>
          <cell r="C226">
            <v>2023.23</v>
          </cell>
          <cell r="D226">
            <v>1368.6</v>
          </cell>
        </row>
        <row r="227">
          <cell r="A227">
            <v>39013</v>
          </cell>
          <cell r="B227">
            <v>2113.8200000000002</v>
          </cell>
          <cell r="C227">
            <v>2035.7</v>
          </cell>
          <cell r="D227">
            <v>1377.02</v>
          </cell>
        </row>
        <row r="228">
          <cell r="A228">
            <v>39014</v>
          </cell>
          <cell r="B228">
            <v>2114.36</v>
          </cell>
          <cell r="C228">
            <v>2036.22</v>
          </cell>
          <cell r="D228">
            <v>1377.38</v>
          </cell>
        </row>
        <row r="229">
          <cell r="A229">
            <v>39015</v>
          </cell>
          <cell r="B229">
            <v>2121.83</v>
          </cell>
          <cell r="C229">
            <v>2043.41</v>
          </cell>
          <cell r="D229">
            <v>1382.22</v>
          </cell>
        </row>
        <row r="230">
          <cell r="A230">
            <v>39016</v>
          </cell>
          <cell r="B230">
            <v>2132.39</v>
          </cell>
          <cell r="C230">
            <v>2053.5700000000002</v>
          </cell>
          <cell r="D230">
            <v>1389.08</v>
          </cell>
        </row>
        <row r="231">
          <cell r="A231">
            <v>39017</v>
          </cell>
          <cell r="B231">
            <v>2114.65</v>
          </cell>
          <cell r="C231">
            <v>2036.4</v>
          </cell>
          <cell r="D231">
            <v>1377.34</v>
          </cell>
        </row>
        <row r="232">
          <cell r="A232">
            <v>39020</v>
          </cell>
          <cell r="B232">
            <v>2115.63</v>
          </cell>
          <cell r="C232">
            <v>2037.33</v>
          </cell>
          <cell r="D232">
            <v>1377.93</v>
          </cell>
        </row>
        <row r="233">
          <cell r="A233">
            <v>39021</v>
          </cell>
          <cell r="B233">
            <v>2115.65</v>
          </cell>
          <cell r="C233">
            <v>2037.35</v>
          </cell>
          <cell r="D233">
            <v>1377.94</v>
          </cell>
        </row>
        <row r="234">
          <cell r="A234">
            <v>39022</v>
          </cell>
          <cell r="B234">
            <v>2100.36</v>
          </cell>
          <cell r="C234">
            <v>2022.54</v>
          </cell>
          <cell r="D234">
            <v>1367.81</v>
          </cell>
        </row>
        <row r="235">
          <cell r="A235">
            <v>39023</v>
          </cell>
          <cell r="B235">
            <v>2100.21</v>
          </cell>
          <cell r="C235">
            <v>2022.23</v>
          </cell>
          <cell r="D235">
            <v>1367.34</v>
          </cell>
        </row>
        <row r="236">
          <cell r="A236">
            <v>39024</v>
          </cell>
          <cell r="B236">
            <v>2095.6799999999998</v>
          </cell>
          <cell r="C236">
            <v>2017.83</v>
          </cell>
          <cell r="D236">
            <v>1364.3</v>
          </cell>
        </row>
        <row r="237">
          <cell r="A237">
            <v>39027</v>
          </cell>
          <cell r="B237">
            <v>2119.5300000000002</v>
          </cell>
          <cell r="C237">
            <v>2040.77</v>
          </cell>
          <cell r="D237">
            <v>1379.78</v>
          </cell>
        </row>
        <row r="238">
          <cell r="A238">
            <v>39028</v>
          </cell>
          <cell r="B238">
            <v>2124.2800000000002</v>
          </cell>
          <cell r="C238">
            <v>2045.33</v>
          </cell>
          <cell r="D238">
            <v>1382.84</v>
          </cell>
        </row>
        <row r="239">
          <cell r="A239">
            <v>39029</v>
          </cell>
          <cell r="B239">
            <v>2129.2199999999998</v>
          </cell>
          <cell r="C239">
            <v>2049.94</v>
          </cell>
          <cell r="D239">
            <v>1385.72</v>
          </cell>
        </row>
        <row r="240">
          <cell r="A240">
            <v>39030</v>
          </cell>
          <cell r="B240">
            <v>2118.3200000000002</v>
          </cell>
          <cell r="C240">
            <v>2039.31</v>
          </cell>
          <cell r="D240">
            <v>1378.33</v>
          </cell>
        </row>
        <row r="241">
          <cell r="A241">
            <v>39031</v>
          </cell>
          <cell r="B241">
            <v>2122.2600000000002</v>
          </cell>
          <cell r="C241">
            <v>2043.11</v>
          </cell>
          <cell r="D241">
            <v>1380.9</v>
          </cell>
        </row>
        <row r="242">
          <cell r="A242">
            <v>39034</v>
          </cell>
          <cell r="B242">
            <v>2128.17</v>
          </cell>
          <cell r="C242">
            <v>2048.65</v>
          </cell>
          <cell r="D242">
            <v>1384.42</v>
          </cell>
        </row>
        <row r="243">
          <cell r="A243">
            <v>39035</v>
          </cell>
          <cell r="B243">
            <v>2141.9499999999998</v>
          </cell>
          <cell r="C243">
            <v>2061.84</v>
          </cell>
          <cell r="D243">
            <v>1393.22</v>
          </cell>
        </row>
        <row r="244">
          <cell r="A244">
            <v>39036</v>
          </cell>
          <cell r="B244">
            <v>2147.6</v>
          </cell>
          <cell r="C244">
            <v>2067.14</v>
          </cell>
          <cell r="D244">
            <v>1396.57</v>
          </cell>
        </row>
        <row r="245">
          <cell r="A245">
            <v>39037</v>
          </cell>
          <cell r="B245">
            <v>2152.5700000000002</v>
          </cell>
          <cell r="C245">
            <v>2071.91</v>
          </cell>
          <cell r="D245">
            <v>1399.76</v>
          </cell>
        </row>
        <row r="246">
          <cell r="A246">
            <v>39038</v>
          </cell>
          <cell r="B246">
            <v>2154.8000000000002</v>
          </cell>
          <cell r="C246">
            <v>2074.0500000000002</v>
          </cell>
          <cell r="D246">
            <v>1401.2</v>
          </cell>
        </row>
        <row r="247">
          <cell r="A247">
            <v>39041</v>
          </cell>
          <cell r="B247">
            <v>2153.7600000000002</v>
          </cell>
          <cell r="C247">
            <v>2073.04</v>
          </cell>
          <cell r="D247">
            <v>1400.5</v>
          </cell>
        </row>
        <row r="248">
          <cell r="A248">
            <v>39042</v>
          </cell>
          <cell r="B248">
            <v>2157.42</v>
          </cell>
          <cell r="C248">
            <v>2076.5300000000002</v>
          </cell>
          <cell r="D248">
            <v>1402.81</v>
          </cell>
        </row>
        <row r="249">
          <cell r="A249">
            <v>39043</v>
          </cell>
          <cell r="B249">
            <v>2162.65</v>
          </cell>
          <cell r="C249">
            <v>2081.5100000000002</v>
          </cell>
          <cell r="D249">
            <v>1406.09</v>
          </cell>
        </row>
        <row r="250">
          <cell r="A250">
            <v>39045</v>
          </cell>
          <cell r="B250">
            <v>2154.96</v>
          </cell>
          <cell r="C250">
            <v>2074.0500000000002</v>
          </cell>
          <cell r="D250">
            <v>1400.95</v>
          </cell>
        </row>
        <row r="251">
          <cell r="A251">
            <v>39048</v>
          </cell>
          <cell r="B251">
            <v>2125.67</v>
          </cell>
          <cell r="C251">
            <v>2045.85</v>
          </cell>
          <cell r="D251">
            <v>1381.9</v>
          </cell>
        </row>
        <row r="252">
          <cell r="A252">
            <v>39049</v>
          </cell>
          <cell r="B252">
            <v>2133.52</v>
          </cell>
          <cell r="C252">
            <v>2053.2800000000002</v>
          </cell>
          <cell r="D252">
            <v>1386.72</v>
          </cell>
        </row>
        <row r="253">
          <cell r="A253">
            <v>39050</v>
          </cell>
          <cell r="B253">
            <v>2154.09</v>
          </cell>
          <cell r="C253">
            <v>2072.81</v>
          </cell>
          <cell r="D253">
            <v>1399.48</v>
          </cell>
        </row>
        <row r="254">
          <cell r="A254">
            <v>39051</v>
          </cell>
          <cell r="B254">
            <v>2155.89</v>
          </cell>
          <cell r="C254">
            <v>2074.5300000000002</v>
          </cell>
          <cell r="D254">
            <v>1400.63</v>
          </cell>
        </row>
        <row r="255">
          <cell r="A255">
            <v>39052</v>
          </cell>
          <cell r="B255">
            <v>2149.85</v>
          </cell>
          <cell r="C255">
            <v>2068.7199999999998</v>
          </cell>
          <cell r="D255">
            <v>1396.71</v>
          </cell>
        </row>
        <row r="256">
          <cell r="A256">
            <v>39055</v>
          </cell>
          <cell r="B256">
            <v>2169</v>
          </cell>
          <cell r="C256">
            <v>2087.14</v>
          </cell>
          <cell r="D256">
            <v>1409.12</v>
          </cell>
        </row>
        <row r="257">
          <cell r="A257">
            <v>39056</v>
          </cell>
          <cell r="B257">
            <v>2177.75</v>
          </cell>
          <cell r="C257">
            <v>2095.5300000000002</v>
          </cell>
          <cell r="D257">
            <v>1414.76</v>
          </cell>
        </row>
        <row r="258">
          <cell r="A258">
            <v>39057</v>
          </cell>
          <cell r="B258">
            <v>2175.4499999999998</v>
          </cell>
          <cell r="C258">
            <v>2093.16</v>
          </cell>
          <cell r="D258">
            <v>1412.9</v>
          </cell>
        </row>
        <row r="259">
          <cell r="A259">
            <v>39058</v>
          </cell>
          <cell r="B259">
            <v>2166.87</v>
          </cell>
          <cell r="C259">
            <v>2084.88</v>
          </cell>
          <cell r="D259">
            <v>1407.29</v>
          </cell>
        </row>
        <row r="260">
          <cell r="A260">
            <v>39059</v>
          </cell>
          <cell r="B260">
            <v>2170.84</v>
          </cell>
          <cell r="C260">
            <v>2088.69</v>
          </cell>
          <cell r="D260">
            <v>1409.84</v>
          </cell>
        </row>
        <row r="261">
          <cell r="A261">
            <v>39062</v>
          </cell>
          <cell r="B261">
            <v>2175.8000000000002</v>
          </cell>
          <cell r="C261">
            <v>2093.46</v>
          </cell>
          <cell r="D261">
            <v>1413.04</v>
          </cell>
        </row>
        <row r="262">
          <cell r="A262">
            <v>39063</v>
          </cell>
          <cell r="B262">
            <v>2173.58</v>
          </cell>
          <cell r="C262">
            <v>2091.3000000000002</v>
          </cell>
          <cell r="D262">
            <v>1411.56</v>
          </cell>
        </row>
        <row r="263">
          <cell r="A263">
            <v>39064</v>
          </cell>
          <cell r="B263">
            <v>2176.52</v>
          </cell>
          <cell r="C263">
            <v>2094.02</v>
          </cell>
          <cell r="D263">
            <v>1413.21</v>
          </cell>
        </row>
        <row r="264">
          <cell r="A264">
            <v>39065</v>
          </cell>
          <cell r="B264">
            <v>2195.59</v>
          </cell>
          <cell r="C264">
            <v>2112.3200000000002</v>
          </cell>
          <cell r="D264">
            <v>1425.49</v>
          </cell>
        </row>
        <row r="265">
          <cell r="A265">
            <v>39066</v>
          </cell>
          <cell r="B265">
            <v>2198.0700000000002</v>
          </cell>
          <cell r="C265">
            <v>2114.6999999999998</v>
          </cell>
          <cell r="D265">
            <v>1427.09</v>
          </cell>
        </row>
        <row r="266">
          <cell r="A266">
            <v>39069</v>
          </cell>
          <cell r="B266">
            <v>2190.9699999999998</v>
          </cell>
          <cell r="C266">
            <v>2107.87</v>
          </cell>
          <cell r="D266">
            <v>1422.48</v>
          </cell>
        </row>
        <row r="267">
          <cell r="A267">
            <v>39070</v>
          </cell>
          <cell r="B267">
            <v>2195.8000000000002</v>
          </cell>
          <cell r="C267">
            <v>2112.4899999999998</v>
          </cell>
          <cell r="D267">
            <v>1425.55</v>
          </cell>
        </row>
        <row r="268">
          <cell r="A268">
            <v>39071</v>
          </cell>
          <cell r="B268">
            <v>2192.7600000000002</v>
          </cell>
          <cell r="C268">
            <v>2109.54</v>
          </cell>
          <cell r="D268">
            <v>1423.53</v>
          </cell>
        </row>
        <row r="269">
          <cell r="A269">
            <v>39072</v>
          </cell>
          <cell r="B269">
            <v>2185.21</v>
          </cell>
          <cell r="C269">
            <v>2102.13</v>
          </cell>
          <cell r="D269">
            <v>1418.3</v>
          </cell>
        </row>
        <row r="270">
          <cell r="A270">
            <v>39073</v>
          </cell>
          <cell r="B270">
            <v>2173.9</v>
          </cell>
          <cell r="C270">
            <v>2091.16</v>
          </cell>
          <cell r="D270">
            <v>1410.76</v>
          </cell>
        </row>
        <row r="271">
          <cell r="A271">
            <v>39077</v>
          </cell>
          <cell r="B271">
            <v>2183.38</v>
          </cell>
          <cell r="C271">
            <v>2100.2800000000002</v>
          </cell>
          <cell r="D271">
            <v>1416.9</v>
          </cell>
        </row>
        <row r="272">
          <cell r="A272">
            <v>39078</v>
          </cell>
          <cell r="B272">
            <v>2199.15</v>
          </cell>
          <cell r="C272">
            <v>2115.3200000000002</v>
          </cell>
          <cell r="D272">
            <v>1426.84</v>
          </cell>
        </row>
        <row r="273">
          <cell r="A273">
            <v>39079</v>
          </cell>
          <cell r="B273">
            <v>2196</v>
          </cell>
          <cell r="C273">
            <v>2112.25</v>
          </cell>
          <cell r="D273">
            <v>1424.73</v>
          </cell>
        </row>
        <row r="274">
          <cell r="A274">
            <v>39080</v>
          </cell>
          <cell r="B274">
            <v>2186.13</v>
          </cell>
          <cell r="C274">
            <v>2102.75</v>
          </cell>
          <cell r="D274">
            <v>1418.3</v>
          </cell>
        </row>
        <row r="275">
          <cell r="A275">
            <v>39085</v>
          </cell>
          <cell r="B275">
            <v>2183.92</v>
          </cell>
          <cell r="C275">
            <v>2100.5100000000002</v>
          </cell>
          <cell r="D275">
            <v>1416.6</v>
          </cell>
        </row>
        <row r="276">
          <cell r="A276">
            <v>39086</v>
          </cell>
          <cell r="B276">
            <v>2186.6</v>
          </cell>
          <cell r="C276">
            <v>2103.09</v>
          </cell>
          <cell r="D276">
            <v>1418.34</v>
          </cell>
        </row>
        <row r="277">
          <cell r="A277">
            <v>39087</v>
          </cell>
          <cell r="B277">
            <v>2173.29</v>
          </cell>
          <cell r="C277">
            <v>2090.2800000000002</v>
          </cell>
          <cell r="D277">
            <v>1409.71</v>
          </cell>
        </row>
        <row r="278">
          <cell r="A278">
            <v>39090</v>
          </cell>
          <cell r="B278">
            <v>2178.8000000000002</v>
          </cell>
          <cell r="C278">
            <v>2095.39</v>
          </cell>
          <cell r="D278">
            <v>1412.84</v>
          </cell>
        </row>
        <row r="279">
          <cell r="A279">
            <v>39091</v>
          </cell>
          <cell r="B279">
            <v>2177.6799999999998</v>
          </cell>
          <cell r="C279">
            <v>2094.31</v>
          </cell>
          <cell r="D279">
            <v>1412.11</v>
          </cell>
        </row>
        <row r="280">
          <cell r="A280">
            <v>39092</v>
          </cell>
          <cell r="B280">
            <v>2182.16</v>
          </cell>
          <cell r="C280">
            <v>2098.54</v>
          </cell>
          <cell r="D280">
            <v>1414.85</v>
          </cell>
        </row>
        <row r="281">
          <cell r="A281">
            <v>39093</v>
          </cell>
          <cell r="B281">
            <v>2196.02</v>
          </cell>
          <cell r="C281">
            <v>2111.87</v>
          </cell>
          <cell r="D281">
            <v>1423.82</v>
          </cell>
        </row>
        <row r="282">
          <cell r="A282">
            <v>39094</v>
          </cell>
          <cell r="B282">
            <v>2206.6799999999998</v>
          </cell>
          <cell r="C282">
            <v>2122.11</v>
          </cell>
          <cell r="D282">
            <v>1430.73</v>
          </cell>
        </row>
        <row r="283">
          <cell r="A283">
            <v>39098</v>
          </cell>
          <cell r="B283">
            <v>2208.48</v>
          </cell>
          <cell r="C283">
            <v>2123.85</v>
          </cell>
          <cell r="D283">
            <v>1431.9</v>
          </cell>
        </row>
        <row r="284">
          <cell r="A284">
            <v>39099</v>
          </cell>
          <cell r="B284">
            <v>2206.6999999999998</v>
          </cell>
          <cell r="C284">
            <v>2122.08</v>
          </cell>
          <cell r="D284">
            <v>1430.62</v>
          </cell>
        </row>
        <row r="285">
          <cell r="A285">
            <v>39100</v>
          </cell>
          <cell r="B285">
            <v>2200.1999999999998</v>
          </cell>
          <cell r="C285">
            <v>2115.81</v>
          </cell>
          <cell r="D285">
            <v>1426.37</v>
          </cell>
        </row>
        <row r="286">
          <cell r="A286">
            <v>39101</v>
          </cell>
          <cell r="B286">
            <v>2206.6</v>
          </cell>
          <cell r="C286">
            <v>2121.96</v>
          </cell>
          <cell r="D286">
            <v>1430.5</v>
          </cell>
        </row>
        <row r="287">
          <cell r="A287">
            <v>39104</v>
          </cell>
          <cell r="B287">
            <v>2195</v>
          </cell>
          <cell r="C287">
            <v>2110.8000000000002</v>
          </cell>
          <cell r="D287">
            <v>1422.95</v>
          </cell>
        </row>
        <row r="288">
          <cell r="A288">
            <v>39105</v>
          </cell>
          <cell r="B288">
            <v>2202.77</v>
          </cell>
          <cell r="C288">
            <v>2118.2600000000002</v>
          </cell>
          <cell r="D288">
            <v>1427.99</v>
          </cell>
        </row>
        <row r="289">
          <cell r="A289">
            <v>39106</v>
          </cell>
          <cell r="B289">
            <v>2221.56</v>
          </cell>
          <cell r="C289">
            <v>2136.31</v>
          </cell>
          <cell r="D289">
            <v>1440.13</v>
          </cell>
        </row>
        <row r="290">
          <cell r="A290">
            <v>39107</v>
          </cell>
          <cell r="B290">
            <v>2196.54</v>
          </cell>
          <cell r="C290">
            <v>2112.25</v>
          </cell>
          <cell r="D290">
            <v>1423.9</v>
          </cell>
        </row>
        <row r="291">
          <cell r="A291">
            <v>39108</v>
          </cell>
          <cell r="B291">
            <v>2193.89</v>
          </cell>
          <cell r="C291">
            <v>2109.6999999999998</v>
          </cell>
          <cell r="D291">
            <v>1422.18</v>
          </cell>
        </row>
        <row r="292">
          <cell r="A292">
            <v>39111</v>
          </cell>
          <cell r="B292">
            <v>2191.71</v>
          </cell>
          <cell r="C292">
            <v>2107.54</v>
          </cell>
          <cell r="D292">
            <v>1420.62</v>
          </cell>
        </row>
        <row r="293">
          <cell r="A293">
            <v>39112</v>
          </cell>
          <cell r="B293">
            <v>2204.4</v>
          </cell>
          <cell r="C293">
            <v>2119.73</v>
          </cell>
          <cell r="D293">
            <v>1428.82</v>
          </cell>
        </row>
        <row r="294">
          <cell r="A294">
            <v>39113</v>
          </cell>
          <cell r="B294">
            <v>2219.19</v>
          </cell>
          <cell r="C294">
            <v>2133.88</v>
          </cell>
          <cell r="D294">
            <v>1438.24</v>
          </cell>
        </row>
        <row r="295">
          <cell r="A295">
            <v>39114</v>
          </cell>
          <cell r="B295">
            <v>2231.61</v>
          </cell>
          <cell r="C295">
            <v>2145.66</v>
          </cell>
          <cell r="D295">
            <v>1445.94</v>
          </cell>
        </row>
        <row r="296">
          <cell r="A296">
            <v>39115</v>
          </cell>
          <cell r="B296">
            <v>2235.39</v>
          </cell>
          <cell r="C296">
            <v>2149.3000000000002</v>
          </cell>
          <cell r="D296">
            <v>1448.39</v>
          </cell>
        </row>
        <row r="297">
          <cell r="A297">
            <v>39118</v>
          </cell>
          <cell r="B297">
            <v>2233.44</v>
          </cell>
          <cell r="C297">
            <v>2147.37</v>
          </cell>
          <cell r="D297">
            <v>1446.99</v>
          </cell>
        </row>
        <row r="298">
          <cell r="A298">
            <v>39119</v>
          </cell>
          <cell r="B298">
            <v>2235.02</v>
          </cell>
          <cell r="C298">
            <v>2148.87</v>
          </cell>
          <cell r="D298">
            <v>1448</v>
          </cell>
        </row>
        <row r="299">
          <cell r="A299">
            <v>39120</v>
          </cell>
          <cell r="B299">
            <v>2239.0500000000002</v>
          </cell>
          <cell r="C299">
            <v>2152.4899999999998</v>
          </cell>
          <cell r="D299">
            <v>1450.02</v>
          </cell>
        </row>
        <row r="300">
          <cell r="A300">
            <v>39121</v>
          </cell>
          <cell r="B300">
            <v>2236.46</v>
          </cell>
          <cell r="C300">
            <v>2149.98</v>
          </cell>
          <cell r="D300">
            <v>1448.31</v>
          </cell>
        </row>
        <row r="301">
          <cell r="A301">
            <v>39122</v>
          </cell>
          <cell r="B301">
            <v>2220.7199999999998</v>
          </cell>
          <cell r="C301">
            <v>2134.83</v>
          </cell>
          <cell r="D301">
            <v>1438.06</v>
          </cell>
        </row>
        <row r="302">
          <cell r="A302">
            <v>39125</v>
          </cell>
          <cell r="B302">
            <v>2213.58</v>
          </cell>
          <cell r="C302">
            <v>2127.94</v>
          </cell>
          <cell r="D302">
            <v>1433.37</v>
          </cell>
        </row>
        <row r="303">
          <cell r="A303">
            <v>39126</v>
          </cell>
          <cell r="B303">
            <v>2230.8000000000002</v>
          </cell>
          <cell r="C303">
            <v>2144.37</v>
          </cell>
          <cell r="D303">
            <v>1444.26</v>
          </cell>
        </row>
        <row r="304">
          <cell r="A304">
            <v>39127</v>
          </cell>
          <cell r="B304">
            <v>2248.4</v>
          </cell>
          <cell r="C304">
            <v>2161.14</v>
          </cell>
          <cell r="D304">
            <v>1455.3</v>
          </cell>
        </row>
        <row r="305">
          <cell r="A305">
            <v>39128</v>
          </cell>
          <cell r="B305">
            <v>2250.9699999999998</v>
          </cell>
          <cell r="C305">
            <v>2163.5300000000002</v>
          </cell>
          <cell r="D305">
            <v>1456.81</v>
          </cell>
        </row>
        <row r="306">
          <cell r="A306">
            <v>39129</v>
          </cell>
          <cell r="B306">
            <v>2249.06</v>
          </cell>
          <cell r="C306">
            <v>2161.69</v>
          </cell>
          <cell r="D306">
            <v>1455.54</v>
          </cell>
        </row>
        <row r="307">
          <cell r="A307">
            <v>39133</v>
          </cell>
          <cell r="B307">
            <v>2255.48</v>
          </cell>
          <cell r="C307">
            <v>2167.85</v>
          </cell>
          <cell r="D307">
            <v>1459.68</v>
          </cell>
        </row>
        <row r="308">
          <cell r="A308">
            <v>39134</v>
          </cell>
          <cell r="B308">
            <v>2252.4299999999998</v>
          </cell>
          <cell r="C308">
            <v>2164.88</v>
          </cell>
          <cell r="D308">
            <v>1457.63</v>
          </cell>
        </row>
        <row r="309">
          <cell r="A309">
            <v>39135</v>
          </cell>
          <cell r="B309">
            <v>2251.0300000000002</v>
          </cell>
          <cell r="C309">
            <v>2163.38</v>
          </cell>
          <cell r="D309">
            <v>1456.38</v>
          </cell>
        </row>
        <row r="310">
          <cell r="A310">
            <v>39136</v>
          </cell>
          <cell r="B310">
            <v>2243.2600000000002</v>
          </cell>
          <cell r="C310">
            <v>2155.85</v>
          </cell>
          <cell r="D310">
            <v>1451.19</v>
          </cell>
        </row>
        <row r="311">
          <cell r="A311">
            <v>39139</v>
          </cell>
          <cell r="B311">
            <v>2240.73</v>
          </cell>
          <cell r="C311">
            <v>2153.33</v>
          </cell>
          <cell r="D311">
            <v>1449.37</v>
          </cell>
        </row>
        <row r="312">
          <cell r="A312">
            <v>39140</v>
          </cell>
          <cell r="B312">
            <v>2163.11</v>
          </cell>
          <cell r="C312">
            <v>2078.69</v>
          </cell>
          <cell r="D312">
            <v>1399.04</v>
          </cell>
        </row>
        <row r="313">
          <cell r="A313">
            <v>39141</v>
          </cell>
          <cell r="B313">
            <v>2175.7800000000002</v>
          </cell>
          <cell r="C313">
            <v>2090.6799999999998</v>
          </cell>
          <cell r="D313">
            <v>1406.82</v>
          </cell>
        </row>
        <row r="314">
          <cell r="A314">
            <v>39142</v>
          </cell>
          <cell r="B314">
            <v>2170.17</v>
          </cell>
          <cell r="C314">
            <v>2085.27</v>
          </cell>
          <cell r="D314">
            <v>1403.17</v>
          </cell>
        </row>
        <row r="315">
          <cell r="A315">
            <v>39143</v>
          </cell>
          <cell r="B315">
            <v>2145.4299999999998</v>
          </cell>
          <cell r="C315">
            <v>2061.5</v>
          </cell>
          <cell r="D315">
            <v>1387.17</v>
          </cell>
        </row>
        <row r="316">
          <cell r="A316">
            <v>39146</v>
          </cell>
          <cell r="B316">
            <v>2125.34</v>
          </cell>
          <cell r="C316">
            <v>2042.17</v>
          </cell>
          <cell r="D316">
            <v>1374.12</v>
          </cell>
        </row>
        <row r="317">
          <cell r="A317">
            <v>39147</v>
          </cell>
          <cell r="B317">
            <v>2158.36</v>
          </cell>
          <cell r="C317">
            <v>2073.87</v>
          </cell>
          <cell r="D317">
            <v>1395.41</v>
          </cell>
        </row>
        <row r="318">
          <cell r="A318">
            <v>39148</v>
          </cell>
          <cell r="B318">
            <v>2153.65</v>
          </cell>
          <cell r="C318">
            <v>2069.16</v>
          </cell>
          <cell r="D318">
            <v>1391.97</v>
          </cell>
        </row>
        <row r="319">
          <cell r="A319">
            <v>39149</v>
          </cell>
          <cell r="B319">
            <v>2169.14</v>
          </cell>
          <cell r="C319">
            <v>2084.0100000000002</v>
          </cell>
          <cell r="D319">
            <v>1401.89</v>
          </cell>
        </row>
        <row r="320">
          <cell r="A320">
            <v>39150</v>
          </cell>
          <cell r="B320">
            <v>2170.62</v>
          </cell>
          <cell r="C320">
            <v>2085.4299999999998</v>
          </cell>
          <cell r="D320">
            <v>1402.85</v>
          </cell>
        </row>
        <row r="321">
          <cell r="A321">
            <v>39153</v>
          </cell>
          <cell r="B321">
            <v>2176.5</v>
          </cell>
          <cell r="C321">
            <v>2091.06</v>
          </cell>
          <cell r="D321">
            <v>1406.6</v>
          </cell>
        </row>
        <row r="322">
          <cell r="A322">
            <v>39154</v>
          </cell>
          <cell r="B322">
            <v>2132.7600000000002</v>
          </cell>
          <cell r="C322">
            <v>2048.87</v>
          </cell>
          <cell r="D322">
            <v>1377.95</v>
          </cell>
        </row>
        <row r="323">
          <cell r="A323">
            <v>39155</v>
          </cell>
          <cell r="B323">
            <v>2147.1799999999998</v>
          </cell>
          <cell r="C323">
            <v>2062.6799999999998</v>
          </cell>
          <cell r="D323">
            <v>1387.17</v>
          </cell>
        </row>
        <row r="324">
          <cell r="A324">
            <v>39156</v>
          </cell>
          <cell r="B324">
            <v>2155.1799999999998</v>
          </cell>
          <cell r="C324">
            <v>2070.34</v>
          </cell>
          <cell r="D324">
            <v>1392.28</v>
          </cell>
        </row>
        <row r="325">
          <cell r="A325">
            <v>39157</v>
          </cell>
          <cell r="B325">
            <v>2146.9299999999998</v>
          </cell>
          <cell r="C325">
            <v>2062.41</v>
          </cell>
          <cell r="D325">
            <v>1386.95</v>
          </cell>
        </row>
        <row r="326">
          <cell r="A326">
            <v>39160</v>
          </cell>
          <cell r="B326">
            <v>2170.33</v>
          </cell>
          <cell r="C326">
            <v>2084.88</v>
          </cell>
          <cell r="D326">
            <v>1402.06</v>
          </cell>
        </row>
        <row r="327">
          <cell r="A327">
            <v>39161</v>
          </cell>
          <cell r="B327">
            <v>2184.1</v>
          </cell>
          <cell r="C327">
            <v>2098.1</v>
          </cell>
          <cell r="D327">
            <v>1410.94</v>
          </cell>
        </row>
        <row r="328">
          <cell r="A328">
            <v>39162</v>
          </cell>
          <cell r="B328">
            <v>2221.46</v>
          </cell>
          <cell r="C328">
            <v>2133.98</v>
          </cell>
          <cell r="D328">
            <v>1435.04</v>
          </cell>
        </row>
        <row r="329">
          <cell r="A329">
            <v>39163</v>
          </cell>
          <cell r="B329">
            <v>2220.6799999999998</v>
          </cell>
          <cell r="C329">
            <v>2133.23</v>
          </cell>
          <cell r="D329">
            <v>1434.54</v>
          </cell>
        </row>
        <row r="330">
          <cell r="A330">
            <v>39164</v>
          </cell>
          <cell r="B330">
            <v>2223.12</v>
          </cell>
          <cell r="C330">
            <v>2135.5700000000002</v>
          </cell>
          <cell r="D330">
            <v>1436.11</v>
          </cell>
        </row>
        <row r="331">
          <cell r="A331">
            <v>39167</v>
          </cell>
          <cell r="B331">
            <v>2225.2600000000002</v>
          </cell>
          <cell r="C331">
            <v>2137.63</v>
          </cell>
          <cell r="D331">
            <v>1437.5</v>
          </cell>
        </row>
        <row r="332">
          <cell r="A332">
            <v>39168</v>
          </cell>
          <cell r="B332">
            <v>2211.52</v>
          </cell>
          <cell r="C332">
            <v>2124.42</v>
          </cell>
          <cell r="D332">
            <v>1428.61</v>
          </cell>
        </row>
        <row r="333">
          <cell r="A333">
            <v>39169</v>
          </cell>
          <cell r="B333">
            <v>2194.38</v>
          </cell>
          <cell r="C333">
            <v>2107.83</v>
          </cell>
          <cell r="D333">
            <v>1417.23</v>
          </cell>
        </row>
        <row r="334">
          <cell r="A334">
            <v>39170</v>
          </cell>
          <cell r="B334">
            <v>2202.6799999999998</v>
          </cell>
          <cell r="C334">
            <v>2115.77</v>
          </cell>
          <cell r="D334">
            <v>1422.53</v>
          </cell>
        </row>
        <row r="335">
          <cell r="A335">
            <v>39171</v>
          </cell>
          <cell r="B335">
            <v>2200.12</v>
          </cell>
          <cell r="C335">
            <v>2113.31</v>
          </cell>
          <cell r="D335">
            <v>1420.86</v>
          </cell>
        </row>
        <row r="336">
          <cell r="A336">
            <v>39174</v>
          </cell>
          <cell r="B336">
            <v>2205.85</v>
          </cell>
          <cell r="C336">
            <v>2118.81</v>
          </cell>
          <cell r="D336">
            <v>1424.55</v>
          </cell>
        </row>
        <row r="337">
          <cell r="A337">
            <v>39175</v>
          </cell>
          <cell r="B337">
            <v>2226.7600000000002</v>
          </cell>
          <cell r="C337">
            <v>2138.7600000000002</v>
          </cell>
          <cell r="D337">
            <v>1437.77</v>
          </cell>
        </row>
        <row r="338">
          <cell r="A338">
            <v>39176</v>
          </cell>
          <cell r="B338">
            <v>2229.25</v>
          </cell>
          <cell r="C338">
            <v>2141.15</v>
          </cell>
          <cell r="D338">
            <v>1439.37</v>
          </cell>
        </row>
        <row r="339">
          <cell r="A339">
            <v>39177</v>
          </cell>
          <cell r="B339">
            <v>2236.71</v>
          </cell>
          <cell r="C339">
            <v>2148.12</v>
          </cell>
          <cell r="D339">
            <v>1443.76</v>
          </cell>
        </row>
        <row r="340">
          <cell r="A340">
            <v>39181</v>
          </cell>
          <cell r="B340">
            <v>2238.0300000000002</v>
          </cell>
          <cell r="C340">
            <v>2149.39</v>
          </cell>
          <cell r="D340">
            <v>1444.61</v>
          </cell>
        </row>
        <row r="341">
          <cell r="A341">
            <v>39182</v>
          </cell>
          <cell r="B341">
            <v>2243.9299999999998</v>
          </cell>
          <cell r="C341">
            <v>2155.0500000000002</v>
          </cell>
          <cell r="D341">
            <v>1448.39</v>
          </cell>
        </row>
        <row r="342">
          <cell r="A342">
            <v>39183</v>
          </cell>
          <cell r="B342">
            <v>2229.44</v>
          </cell>
          <cell r="C342">
            <v>2141.06</v>
          </cell>
          <cell r="D342">
            <v>1438.87</v>
          </cell>
        </row>
        <row r="343">
          <cell r="A343">
            <v>39184</v>
          </cell>
          <cell r="B343">
            <v>2243.3000000000002</v>
          </cell>
          <cell r="C343">
            <v>2154.36</v>
          </cell>
          <cell r="D343">
            <v>1447.8</v>
          </cell>
        </row>
        <row r="344">
          <cell r="A344">
            <v>39185</v>
          </cell>
          <cell r="B344">
            <v>2251.12</v>
          </cell>
          <cell r="C344">
            <v>2161.87</v>
          </cell>
          <cell r="D344">
            <v>1452.85</v>
          </cell>
        </row>
        <row r="345">
          <cell r="A345">
            <v>39188</v>
          </cell>
          <cell r="B345">
            <v>2275.35</v>
          </cell>
          <cell r="C345">
            <v>2185.13</v>
          </cell>
          <cell r="D345">
            <v>1468.47</v>
          </cell>
        </row>
        <row r="346">
          <cell r="A346">
            <v>39189</v>
          </cell>
          <cell r="B346">
            <v>2280.0100000000002</v>
          </cell>
          <cell r="C346">
            <v>2189.61</v>
          </cell>
          <cell r="D346">
            <v>1471.48</v>
          </cell>
        </row>
        <row r="347">
          <cell r="A347">
            <v>39190</v>
          </cell>
          <cell r="B347">
            <v>2281.61</v>
          </cell>
          <cell r="C347">
            <v>2191.14</v>
          </cell>
          <cell r="D347">
            <v>1472.5</v>
          </cell>
        </row>
        <row r="348">
          <cell r="A348">
            <v>39191</v>
          </cell>
          <cell r="B348">
            <v>2278.91</v>
          </cell>
          <cell r="C348">
            <v>2188.54</v>
          </cell>
          <cell r="D348">
            <v>1470.73</v>
          </cell>
        </row>
        <row r="349">
          <cell r="A349">
            <v>39192</v>
          </cell>
          <cell r="B349">
            <v>2300.08</v>
          </cell>
          <cell r="C349">
            <v>2208.85</v>
          </cell>
          <cell r="D349">
            <v>1484.35</v>
          </cell>
        </row>
        <row r="350">
          <cell r="A350">
            <v>39195</v>
          </cell>
          <cell r="B350">
            <v>2294.8200000000002</v>
          </cell>
          <cell r="C350">
            <v>2203.79</v>
          </cell>
          <cell r="D350">
            <v>1480.93</v>
          </cell>
        </row>
        <row r="351">
          <cell r="A351">
            <v>39196</v>
          </cell>
          <cell r="B351">
            <v>2294.02</v>
          </cell>
          <cell r="C351">
            <v>2203.0100000000002</v>
          </cell>
          <cell r="D351">
            <v>1480.41</v>
          </cell>
        </row>
        <row r="352">
          <cell r="A352">
            <v>39197</v>
          </cell>
          <cell r="B352">
            <v>2317.5</v>
          </cell>
          <cell r="C352">
            <v>2225.4899999999998</v>
          </cell>
          <cell r="D352">
            <v>1495.42</v>
          </cell>
        </row>
        <row r="353">
          <cell r="A353">
            <v>39198</v>
          </cell>
          <cell r="B353">
            <v>2315.91</v>
          </cell>
          <cell r="C353">
            <v>2223.9</v>
          </cell>
          <cell r="D353">
            <v>1494.25</v>
          </cell>
        </row>
        <row r="354">
          <cell r="A354">
            <v>39199</v>
          </cell>
          <cell r="B354">
            <v>2315.6999999999998</v>
          </cell>
          <cell r="C354">
            <v>2223.6799999999998</v>
          </cell>
          <cell r="D354">
            <v>1494.07</v>
          </cell>
        </row>
        <row r="355">
          <cell r="A355">
            <v>39202</v>
          </cell>
          <cell r="B355">
            <v>2297.5700000000002</v>
          </cell>
          <cell r="C355">
            <v>2206.2800000000002</v>
          </cell>
          <cell r="D355">
            <v>1482.37</v>
          </cell>
        </row>
        <row r="356">
          <cell r="A356">
            <v>39203</v>
          </cell>
          <cell r="B356">
            <v>2303.6799999999998</v>
          </cell>
          <cell r="C356">
            <v>2212.13</v>
          </cell>
          <cell r="D356">
            <v>1486.3</v>
          </cell>
        </row>
        <row r="357">
          <cell r="A357">
            <v>39204</v>
          </cell>
          <cell r="B357">
            <v>2318.84</v>
          </cell>
          <cell r="C357">
            <v>2226.62</v>
          </cell>
          <cell r="D357">
            <v>1495.92</v>
          </cell>
        </row>
        <row r="358">
          <cell r="A358">
            <v>39205</v>
          </cell>
          <cell r="B358">
            <v>2329.54</v>
          </cell>
          <cell r="C358">
            <v>2236.71</v>
          </cell>
          <cell r="D358">
            <v>1502.39</v>
          </cell>
        </row>
        <row r="359">
          <cell r="A359">
            <v>39206</v>
          </cell>
          <cell r="B359">
            <v>2334.61</v>
          </cell>
          <cell r="C359">
            <v>2241.5500000000002</v>
          </cell>
          <cell r="D359">
            <v>1505.62</v>
          </cell>
        </row>
        <row r="360">
          <cell r="A360">
            <v>39209</v>
          </cell>
          <cell r="B360">
            <v>2340.6799999999998</v>
          </cell>
          <cell r="C360">
            <v>2247.36</v>
          </cell>
          <cell r="D360">
            <v>1509.48</v>
          </cell>
        </row>
        <row r="361">
          <cell r="A361">
            <v>39210</v>
          </cell>
          <cell r="B361">
            <v>2338.14</v>
          </cell>
          <cell r="C361">
            <v>2244.86</v>
          </cell>
          <cell r="D361">
            <v>1507.72</v>
          </cell>
        </row>
        <row r="362">
          <cell r="A362">
            <v>39211</v>
          </cell>
          <cell r="B362">
            <v>2346.3000000000002</v>
          </cell>
          <cell r="C362">
            <v>2252.52</v>
          </cell>
          <cell r="D362">
            <v>1512.58</v>
          </cell>
        </row>
        <row r="363">
          <cell r="A363">
            <v>39212</v>
          </cell>
          <cell r="B363">
            <v>2313.94</v>
          </cell>
          <cell r="C363">
            <v>2221.34</v>
          </cell>
          <cell r="D363">
            <v>1491.47</v>
          </cell>
        </row>
        <row r="364">
          <cell r="A364">
            <v>39213</v>
          </cell>
          <cell r="B364">
            <v>2336.48</v>
          </cell>
          <cell r="C364">
            <v>2242.91</v>
          </cell>
          <cell r="D364">
            <v>1505.85</v>
          </cell>
        </row>
        <row r="365">
          <cell r="A365">
            <v>39216</v>
          </cell>
          <cell r="B365">
            <v>2332.4299999999998</v>
          </cell>
          <cell r="C365">
            <v>2238.98</v>
          </cell>
          <cell r="D365">
            <v>1503.15</v>
          </cell>
        </row>
        <row r="366">
          <cell r="A366">
            <v>39217</v>
          </cell>
          <cell r="B366">
            <v>2329.61</v>
          </cell>
          <cell r="C366">
            <v>2236.21</v>
          </cell>
          <cell r="D366">
            <v>1501.19</v>
          </cell>
        </row>
        <row r="367">
          <cell r="A367">
            <v>39218</v>
          </cell>
          <cell r="B367">
            <v>2350.4</v>
          </cell>
          <cell r="C367">
            <v>2255.9699999999998</v>
          </cell>
          <cell r="D367">
            <v>1514.14</v>
          </cell>
        </row>
        <row r="368">
          <cell r="A368">
            <v>39219</v>
          </cell>
          <cell r="B368">
            <v>2348.44</v>
          </cell>
          <cell r="C368">
            <v>2254.0300000000002</v>
          </cell>
          <cell r="D368">
            <v>1512.75</v>
          </cell>
        </row>
        <row r="369">
          <cell r="A369">
            <v>39220</v>
          </cell>
          <cell r="B369">
            <v>2363.9699999999998</v>
          </cell>
          <cell r="C369">
            <v>2268.94</v>
          </cell>
          <cell r="D369">
            <v>1522.75</v>
          </cell>
        </row>
        <row r="370">
          <cell r="A370">
            <v>39223</v>
          </cell>
          <cell r="B370">
            <v>2367.63</v>
          </cell>
          <cell r="C370">
            <v>2272.44</v>
          </cell>
          <cell r="D370">
            <v>1525.1</v>
          </cell>
        </row>
        <row r="371">
          <cell r="A371">
            <v>39224</v>
          </cell>
          <cell r="B371">
            <v>2366.1</v>
          </cell>
          <cell r="C371">
            <v>2270.98</v>
          </cell>
          <cell r="D371">
            <v>1524.12</v>
          </cell>
        </row>
        <row r="372">
          <cell r="A372">
            <v>39225</v>
          </cell>
          <cell r="B372">
            <v>2363.29</v>
          </cell>
          <cell r="C372">
            <v>2268.2600000000002</v>
          </cell>
          <cell r="D372">
            <v>1522.28</v>
          </cell>
        </row>
        <row r="373">
          <cell r="A373">
            <v>39226</v>
          </cell>
          <cell r="B373">
            <v>2340.64</v>
          </cell>
          <cell r="C373">
            <v>2246.4499999999998</v>
          </cell>
          <cell r="D373">
            <v>1507.51</v>
          </cell>
        </row>
        <row r="374">
          <cell r="A374">
            <v>39227</v>
          </cell>
          <cell r="B374">
            <v>2353.42</v>
          </cell>
          <cell r="C374">
            <v>2258.71</v>
          </cell>
          <cell r="D374">
            <v>1515.73</v>
          </cell>
        </row>
        <row r="375">
          <cell r="A375">
            <v>39231</v>
          </cell>
          <cell r="B375">
            <v>2357.39</v>
          </cell>
          <cell r="C375">
            <v>2262.44</v>
          </cell>
          <cell r="D375">
            <v>1518.11</v>
          </cell>
        </row>
        <row r="376">
          <cell r="A376">
            <v>39232</v>
          </cell>
          <cell r="B376">
            <v>2377.09</v>
          </cell>
          <cell r="C376">
            <v>2281.09</v>
          </cell>
          <cell r="D376">
            <v>1530.23</v>
          </cell>
        </row>
        <row r="377">
          <cell r="A377">
            <v>39233</v>
          </cell>
          <cell r="B377">
            <v>2377.75</v>
          </cell>
          <cell r="C377">
            <v>2281.71</v>
          </cell>
          <cell r="D377">
            <v>1530.62</v>
          </cell>
        </row>
        <row r="378">
          <cell r="A378">
            <v>39234</v>
          </cell>
          <cell r="B378">
            <v>2386.63</v>
          </cell>
          <cell r="C378">
            <v>2290.23</v>
          </cell>
          <cell r="D378">
            <v>1536.34</v>
          </cell>
        </row>
        <row r="379">
          <cell r="A379">
            <v>39237</v>
          </cell>
          <cell r="B379">
            <v>2391.13</v>
          </cell>
          <cell r="C379">
            <v>2294.5300000000002</v>
          </cell>
          <cell r="D379">
            <v>1539.18</v>
          </cell>
        </row>
        <row r="380">
          <cell r="A380">
            <v>39238</v>
          </cell>
          <cell r="B380">
            <v>2378.44</v>
          </cell>
          <cell r="C380">
            <v>2282.3200000000002</v>
          </cell>
          <cell r="D380">
            <v>1530.95</v>
          </cell>
        </row>
        <row r="381">
          <cell r="A381">
            <v>39239</v>
          </cell>
          <cell r="B381">
            <v>2357.9499999999998</v>
          </cell>
          <cell r="C381">
            <v>2262.4899999999998</v>
          </cell>
          <cell r="D381">
            <v>1517.38</v>
          </cell>
        </row>
        <row r="382">
          <cell r="A382">
            <v>39240</v>
          </cell>
          <cell r="B382">
            <v>2316.63</v>
          </cell>
          <cell r="C382">
            <v>2222.81</v>
          </cell>
          <cell r="D382">
            <v>1490.72</v>
          </cell>
        </row>
        <row r="383">
          <cell r="A383">
            <v>39241</v>
          </cell>
          <cell r="B383">
            <v>2342.98</v>
          </cell>
          <cell r="C383">
            <v>2248.09</v>
          </cell>
          <cell r="D383">
            <v>1507.67</v>
          </cell>
        </row>
        <row r="384">
          <cell r="A384">
            <v>39244</v>
          </cell>
          <cell r="B384">
            <v>2345.27</v>
          </cell>
          <cell r="C384">
            <v>2250.2800000000002</v>
          </cell>
          <cell r="D384">
            <v>1509.12</v>
          </cell>
        </row>
        <row r="385">
          <cell r="A385">
            <v>39245</v>
          </cell>
          <cell r="B385">
            <v>2320.2199999999998</v>
          </cell>
          <cell r="C385">
            <v>2226.2399999999998</v>
          </cell>
          <cell r="D385">
            <v>1493</v>
          </cell>
        </row>
        <row r="386">
          <cell r="A386">
            <v>39246</v>
          </cell>
          <cell r="B386">
            <v>2356.02</v>
          </cell>
          <cell r="C386">
            <v>2260.4299999999998</v>
          </cell>
          <cell r="D386">
            <v>1515.67</v>
          </cell>
        </row>
        <row r="387">
          <cell r="A387">
            <v>39247</v>
          </cell>
          <cell r="B387">
            <v>2367.52</v>
          </cell>
          <cell r="C387">
            <v>2271.42</v>
          </cell>
          <cell r="D387">
            <v>1522.97</v>
          </cell>
        </row>
        <row r="388">
          <cell r="A388">
            <v>39248</v>
          </cell>
          <cell r="B388">
            <v>2382.9699999999998</v>
          </cell>
          <cell r="C388">
            <v>2286.2399999999998</v>
          </cell>
          <cell r="D388">
            <v>1532.91</v>
          </cell>
        </row>
        <row r="389">
          <cell r="A389">
            <v>39251</v>
          </cell>
          <cell r="B389">
            <v>2380.09</v>
          </cell>
          <cell r="C389">
            <v>2283.4699999999998</v>
          </cell>
          <cell r="D389">
            <v>1531.05</v>
          </cell>
        </row>
        <row r="390">
          <cell r="A390">
            <v>39252</v>
          </cell>
          <cell r="B390">
            <v>2384.25</v>
          </cell>
          <cell r="C390">
            <v>2287.46</v>
          </cell>
          <cell r="D390">
            <v>1533.7</v>
          </cell>
        </row>
        <row r="391">
          <cell r="A391">
            <v>39253</v>
          </cell>
          <cell r="B391">
            <v>2351.87</v>
          </cell>
          <cell r="C391">
            <v>2256.37</v>
          </cell>
          <cell r="D391">
            <v>1512.84</v>
          </cell>
        </row>
        <row r="392">
          <cell r="A392">
            <v>39254</v>
          </cell>
          <cell r="B392">
            <v>2366.92</v>
          </cell>
          <cell r="C392">
            <v>2270.67</v>
          </cell>
          <cell r="D392">
            <v>1522.19</v>
          </cell>
        </row>
        <row r="393">
          <cell r="A393">
            <v>39255</v>
          </cell>
          <cell r="B393">
            <v>2336.41</v>
          </cell>
          <cell r="C393">
            <v>2241.39</v>
          </cell>
          <cell r="D393">
            <v>1502.56</v>
          </cell>
        </row>
        <row r="394">
          <cell r="A394">
            <v>39258</v>
          </cell>
          <cell r="B394">
            <v>2328.91</v>
          </cell>
          <cell r="C394">
            <v>2234.1999999999998</v>
          </cell>
          <cell r="D394">
            <v>1497.74</v>
          </cell>
        </row>
        <row r="395">
          <cell r="A395">
            <v>39259</v>
          </cell>
          <cell r="B395">
            <v>2321.46</v>
          </cell>
          <cell r="C395">
            <v>2227.0300000000002</v>
          </cell>
          <cell r="D395">
            <v>1492.89</v>
          </cell>
        </row>
        <row r="396">
          <cell r="A396">
            <v>39260</v>
          </cell>
          <cell r="B396">
            <v>2342.84</v>
          </cell>
          <cell r="C396">
            <v>2247.41</v>
          </cell>
          <cell r="D396">
            <v>1506.34</v>
          </cell>
        </row>
        <row r="397">
          <cell r="A397">
            <v>39261</v>
          </cell>
          <cell r="B397">
            <v>2341.9</v>
          </cell>
          <cell r="C397">
            <v>2246.4899999999998</v>
          </cell>
          <cell r="D397">
            <v>1505.71</v>
          </cell>
        </row>
        <row r="398">
          <cell r="A398">
            <v>39262</v>
          </cell>
          <cell r="B398">
            <v>2338.25</v>
          </cell>
          <cell r="C398">
            <v>2242.98</v>
          </cell>
          <cell r="D398">
            <v>1503.35</v>
          </cell>
        </row>
        <row r="399">
          <cell r="A399">
            <v>39265</v>
          </cell>
          <cell r="B399">
            <v>2363.2800000000002</v>
          </cell>
          <cell r="C399">
            <v>2266.9899999999998</v>
          </cell>
          <cell r="D399">
            <v>1519.43</v>
          </cell>
        </row>
        <row r="400">
          <cell r="A400">
            <v>39266</v>
          </cell>
          <cell r="B400">
            <v>2372.2199999999998</v>
          </cell>
          <cell r="C400">
            <v>2275.4299999999998</v>
          </cell>
          <cell r="D400">
            <v>1524.87</v>
          </cell>
        </row>
        <row r="401">
          <cell r="A401">
            <v>39268</v>
          </cell>
          <cell r="B401">
            <v>2373.0700000000002</v>
          </cell>
          <cell r="C401">
            <v>2276.23</v>
          </cell>
          <cell r="D401">
            <v>1525.4</v>
          </cell>
        </row>
        <row r="402">
          <cell r="A402">
            <v>39269</v>
          </cell>
          <cell r="B402">
            <v>2381.59</v>
          </cell>
          <cell r="C402">
            <v>2284.21</v>
          </cell>
          <cell r="D402">
            <v>1530.44</v>
          </cell>
        </row>
        <row r="403">
          <cell r="A403">
            <v>39272</v>
          </cell>
          <cell r="B403">
            <v>2383.8000000000002</v>
          </cell>
          <cell r="C403">
            <v>2286.33</v>
          </cell>
          <cell r="D403">
            <v>1531.85</v>
          </cell>
        </row>
        <row r="404">
          <cell r="A404">
            <v>39273</v>
          </cell>
          <cell r="B404">
            <v>2349.98</v>
          </cell>
          <cell r="C404">
            <v>2253.89</v>
          </cell>
          <cell r="D404">
            <v>1510.12</v>
          </cell>
        </row>
        <row r="405">
          <cell r="A405">
            <v>39274</v>
          </cell>
          <cell r="B405">
            <v>2363.7199999999998</v>
          </cell>
          <cell r="C405">
            <v>2266.98</v>
          </cell>
          <cell r="D405">
            <v>1518.76</v>
          </cell>
        </row>
        <row r="406">
          <cell r="A406">
            <v>39275</v>
          </cell>
          <cell r="B406">
            <v>2408.79</v>
          </cell>
          <cell r="C406">
            <v>2310.1999999999998</v>
          </cell>
          <cell r="D406">
            <v>1547.7</v>
          </cell>
        </row>
        <row r="407">
          <cell r="A407">
            <v>39276</v>
          </cell>
          <cell r="B407">
            <v>2416.2800000000002</v>
          </cell>
          <cell r="C407">
            <v>2317.38</v>
          </cell>
          <cell r="D407">
            <v>1552.5</v>
          </cell>
        </row>
        <row r="408">
          <cell r="A408">
            <v>39279</v>
          </cell>
          <cell r="B408">
            <v>2411.65</v>
          </cell>
          <cell r="C408">
            <v>2312.94</v>
          </cell>
          <cell r="D408">
            <v>1549.52</v>
          </cell>
        </row>
        <row r="409">
          <cell r="A409">
            <v>39280</v>
          </cell>
          <cell r="B409">
            <v>2411.41</v>
          </cell>
          <cell r="C409">
            <v>2312.71</v>
          </cell>
          <cell r="D409">
            <v>1549.37</v>
          </cell>
        </row>
        <row r="410">
          <cell r="A410">
            <v>39281</v>
          </cell>
          <cell r="B410">
            <v>2406.69</v>
          </cell>
          <cell r="C410">
            <v>2308.11</v>
          </cell>
          <cell r="D410">
            <v>1546.17</v>
          </cell>
        </row>
        <row r="411">
          <cell r="A411">
            <v>39282</v>
          </cell>
          <cell r="B411">
            <v>2417.5</v>
          </cell>
          <cell r="C411">
            <v>2318.4499999999998</v>
          </cell>
          <cell r="D411">
            <v>1553.08</v>
          </cell>
        </row>
        <row r="412">
          <cell r="A412">
            <v>39283</v>
          </cell>
          <cell r="B412">
            <v>2387.96</v>
          </cell>
          <cell r="C412">
            <v>2290.12</v>
          </cell>
          <cell r="D412">
            <v>1534.1</v>
          </cell>
        </row>
        <row r="413">
          <cell r="A413">
            <v>39286</v>
          </cell>
          <cell r="B413">
            <v>2399.64</v>
          </cell>
          <cell r="C413">
            <v>2301.31</v>
          </cell>
          <cell r="D413">
            <v>1541.57</v>
          </cell>
        </row>
        <row r="414">
          <cell r="A414">
            <v>39287</v>
          </cell>
          <cell r="B414">
            <v>2352.12</v>
          </cell>
          <cell r="C414">
            <v>2255.73</v>
          </cell>
          <cell r="D414">
            <v>1511.04</v>
          </cell>
        </row>
        <row r="415">
          <cell r="A415">
            <v>39288</v>
          </cell>
          <cell r="B415">
            <v>2363.12</v>
          </cell>
          <cell r="C415">
            <v>2266.2800000000002</v>
          </cell>
          <cell r="D415">
            <v>1518.09</v>
          </cell>
        </row>
        <row r="416">
          <cell r="A416">
            <v>39289</v>
          </cell>
          <cell r="B416">
            <v>2307.98</v>
          </cell>
          <cell r="C416">
            <v>2213.4</v>
          </cell>
          <cell r="D416">
            <v>1482.66</v>
          </cell>
        </row>
        <row r="417">
          <cell r="A417">
            <v>39290</v>
          </cell>
          <cell r="B417">
            <v>2271.41</v>
          </cell>
          <cell r="C417">
            <v>2178.23</v>
          </cell>
          <cell r="D417">
            <v>1458.95</v>
          </cell>
        </row>
        <row r="418">
          <cell r="A418">
            <v>39293</v>
          </cell>
          <cell r="B418">
            <v>2294.75</v>
          </cell>
          <cell r="C418">
            <v>2200.59</v>
          </cell>
          <cell r="D418">
            <v>1473.91</v>
          </cell>
        </row>
        <row r="419">
          <cell r="A419">
            <v>39294</v>
          </cell>
          <cell r="B419">
            <v>2265.75</v>
          </cell>
          <cell r="C419">
            <v>2172.7800000000002</v>
          </cell>
          <cell r="D419">
            <v>1455.27</v>
          </cell>
        </row>
        <row r="420">
          <cell r="A420">
            <v>39295</v>
          </cell>
          <cell r="B420">
            <v>2282.3000000000002</v>
          </cell>
          <cell r="C420">
            <v>2188.61</v>
          </cell>
          <cell r="D420">
            <v>1465.81</v>
          </cell>
        </row>
        <row r="421">
          <cell r="A421">
            <v>39296</v>
          </cell>
          <cell r="B421">
            <v>2292.79</v>
          </cell>
          <cell r="C421">
            <v>2198.5100000000002</v>
          </cell>
          <cell r="D421">
            <v>1472.2</v>
          </cell>
        </row>
        <row r="422">
          <cell r="A422">
            <v>39297</v>
          </cell>
          <cell r="B422">
            <v>2231.98</v>
          </cell>
          <cell r="C422">
            <v>2140.16</v>
          </cell>
          <cell r="D422">
            <v>1433.06</v>
          </cell>
        </row>
        <row r="423">
          <cell r="A423">
            <v>39300</v>
          </cell>
          <cell r="B423">
            <v>2285.9299999999998</v>
          </cell>
          <cell r="C423">
            <v>2191.88</v>
          </cell>
          <cell r="D423">
            <v>1467.67</v>
          </cell>
        </row>
        <row r="424">
          <cell r="A424">
            <v>39301</v>
          </cell>
          <cell r="B424">
            <v>2300.1</v>
          </cell>
          <cell r="C424">
            <v>2205.44</v>
          </cell>
          <cell r="D424">
            <v>1476.71</v>
          </cell>
        </row>
        <row r="425">
          <cell r="A425">
            <v>39302</v>
          </cell>
          <cell r="B425">
            <v>2333.2399999999998</v>
          </cell>
          <cell r="C425">
            <v>2236.9899999999998</v>
          </cell>
          <cell r="D425">
            <v>1497.49</v>
          </cell>
        </row>
        <row r="426">
          <cell r="A426">
            <v>39303</v>
          </cell>
          <cell r="B426">
            <v>2264.5</v>
          </cell>
          <cell r="C426">
            <v>2170.9699999999998</v>
          </cell>
          <cell r="D426">
            <v>1453.09</v>
          </cell>
        </row>
        <row r="427">
          <cell r="A427">
            <v>39304</v>
          </cell>
          <cell r="B427">
            <v>2265.36</v>
          </cell>
          <cell r="C427">
            <v>2171.79</v>
          </cell>
          <cell r="D427">
            <v>1453.64</v>
          </cell>
        </row>
        <row r="428">
          <cell r="A428">
            <v>39307</v>
          </cell>
          <cell r="B428">
            <v>2264.58</v>
          </cell>
          <cell r="C428">
            <v>2170.94</v>
          </cell>
          <cell r="D428">
            <v>1452.92</v>
          </cell>
        </row>
        <row r="429">
          <cell r="A429">
            <v>39308</v>
          </cell>
          <cell r="B429">
            <v>2223.71</v>
          </cell>
          <cell r="C429">
            <v>2131.69</v>
          </cell>
          <cell r="D429">
            <v>1426.54</v>
          </cell>
        </row>
        <row r="430">
          <cell r="A430">
            <v>39309</v>
          </cell>
          <cell r="B430">
            <v>2193.4</v>
          </cell>
          <cell r="C430">
            <v>2102.4499999999998</v>
          </cell>
          <cell r="D430">
            <v>1406.7</v>
          </cell>
        </row>
        <row r="431">
          <cell r="A431">
            <v>39310</v>
          </cell>
          <cell r="B431">
            <v>2200.61</v>
          </cell>
          <cell r="C431">
            <v>2109.34</v>
          </cell>
          <cell r="D431">
            <v>1411.27</v>
          </cell>
        </row>
        <row r="432">
          <cell r="A432">
            <v>39311</v>
          </cell>
          <cell r="B432">
            <v>2254.6799999999998</v>
          </cell>
          <cell r="C432">
            <v>2161.17</v>
          </cell>
          <cell r="D432">
            <v>1445.94</v>
          </cell>
        </row>
        <row r="433">
          <cell r="A433">
            <v>39314</v>
          </cell>
          <cell r="B433">
            <v>2254.0700000000002</v>
          </cell>
          <cell r="C433">
            <v>2160.59</v>
          </cell>
          <cell r="D433">
            <v>1445.55</v>
          </cell>
        </row>
        <row r="434">
          <cell r="A434">
            <v>39315</v>
          </cell>
          <cell r="B434">
            <v>2256.52</v>
          </cell>
          <cell r="C434">
            <v>2162.9299999999998</v>
          </cell>
          <cell r="D434">
            <v>1447.12</v>
          </cell>
        </row>
        <row r="435">
          <cell r="A435">
            <v>39316</v>
          </cell>
          <cell r="B435">
            <v>2283.08</v>
          </cell>
          <cell r="C435">
            <v>2188.36</v>
          </cell>
          <cell r="D435">
            <v>1464.07</v>
          </cell>
        </row>
        <row r="436">
          <cell r="A436">
            <v>39317</v>
          </cell>
          <cell r="B436">
            <v>2280.6799999999998</v>
          </cell>
          <cell r="C436">
            <v>2186.04</v>
          </cell>
          <cell r="D436">
            <v>1462.5</v>
          </cell>
        </row>
        <row r="437">
          <cell r="A437">
            <v>39318</v>
          </cell>
          <cell r="B437">
            <v>2307.2199999999998</v>
          </cell>
          <cell r="C437">
            <v>2211.41</v>
          </cell>
          <cell r="D437">
            <v>1479.37</v>
          </cell>
        </row>
        <row r="438">
          <cell r="A438">
            <v>39321</v>
          </cell>
          <cell r="B438">
            <v>2287.62</v>
          </cell>
          <cell r="C438">
            <v>2192.62</v>
          </cell>
          <cell r="D438">
            <v>1466.79</v>
          </cell>
        </row>
        <row r="439">
          <cell r="A439">
            <v>39322</v>
          </cell>
          <cell r="B439">
            <v>2234.02</v>
          </cell>
          <cell r="C439">
            <v>2141.2199999999998</v>
          </cell>
          <cell r="D439">
            <v>1432.36</v>
          </cell>
        </row>
        <row r="440">
          <cell r="A440">
            <v>39323</v>
          </cell>
          <cell r="B440">
            <v>2283.58</v>
          </cell>
          <cell r="C440">
            <v>2188.5500000000002</v>
          </cell>
          <cell r="D440">
            <v>1463.76</v>
          </cell>
        </row>
        <row r="441">
          <cell r="A441">
            <v>39324</v>
          </cell>
          <cell r="B441">
            <v>2274.16</v>
          </cell>
          <cell r="C441">
            <v>2179.4899999999998</v>
          </cell>
          <cell r="D441">
            <v>1457.64</v>
          </cell>
        </row>
        <row r="442">
          <cell r="A442">
            <v>39325</v>
          </cell>
          <cell r="B442">
            <v>2299.71</v>
          </cell>
          <cell r="C442">
            <v>2203.96</v>
          </cell>
          <cell r="D442">
            <v>1473.99</v>
          </cell>
        </row>
        <row r="443">
          <cell r="A443">
            <v>39329</v>
          </cell>
          <cell r="B443">
            <v>2323.83</v>
          </cell>
          <cell r="C443">
            <v>2227.06</v>
          </cell>
          <cell r="D443">
            <v>1489.42</v>
          </cell>
        </row>
        <row r="444">
          <cell r="A444">
            <v>39330</v>
          </cell>
          <cell r="B444">
            <v>2298.16</v>
          </cell>
          <cell r="C444">
            <v>2202.16</v>
          </cell>
          <cell r="D444">
            <v>1472.29</v>
          </cell>
        </row>
        <row r="445">
          <cell r="A445">
            <v>39331</v>
          </cell>
          <cell r="B445">
            <v>2308.35</v>
          </cell>
          <cell r="C445">
            <v>2211.8000000000002</v>
          </cell>
          <cell r="D445">
            <v>1478.55</v>
          </cell>
        </row>
        <row r="446">
          <cell r="A446">
            <v>39332</v>
          </cell>
          <cell r="B446">
            <v>2269.3200000000002</v>
          </cell>
          <cell r="C446">
            <v>2174.41</v>
          </cell>
          <cell r="D446">
            <v>1453.55</v>
          </cell>
        </row>
        <row r="447">
          <cell r="A447">
            <v>39335</v>
          </cell>
          <cell r="B447">
            <v>2266.5100000000002</v>
          </cell>
          <cell r="C447">
            <v>2171.69</v>
          </cell>
          <cell r="D447">
            <v>1451.7</v>
          </cell>
        </row>
        <row r="448">
          <cell r="A448">
            <v>39336</v>
          </cell>
          <cell r="B448">
            <v>2297.41</v>
          </cell>
          <cell r="C448">
            <v>2201.3000000000002</v>
          </cell>
          <cell r="D448">
            <v>1471.49</v>
          </cell>
        </row>
        <row r="449">
          <cell r="A449">
            <v>39337</v>
          </cell>
          <cell r="B449">
            <v>2298.14</v>
          </cell>
          <cell r="C449">
            <v>2201.81</v>
          </cell>
          <cell r="D449">
            <v>1471.56</v>
          </cell>
        </row>
        <row r="450">
          <cell r="A450">
            <v>39338</v>
          </cell>
          <cell r="B450">
            <v>2317.63</v>
          </cell>
          <cell r="C450">
            <v>2220.4499999999998</v>
          </cell>
          <cell r="D450">
            <v>1483.95</v>
          </cell>
        </row>
        <row r="451">
          <cell r="A451">
            <v>39339</v>
          </cell>
          <cell r="B451">
            <v>2318.11</v>
          </cell>
          <cell r="C451">
            <v>2220.91</v>
          </cell>
          <cell r="D451">
            <v>1484.25</v>
          </cell>
        </row>
        <row r="452">
          <cell r="A452">
            <v>39342</v>
          </cell>
          <cell r="B452">
            <v>2306.25</v>
          </cell>
          <cell r="C452">
            <v>2209.54</v>
          </cell>
          <cell r="D452">
            <v>1476.65</v>
          </cell>
        </row>
        <row r="453">
          <cell r="A453">
            <v>39343</v>
          </cell>
          <cell r="B453">
            <v>2373.63</v>
          </cell>
          <cell r="C453">
            <v>2274.09</v>
          </cell>
          <cell r="D453">
            <v>1519.78</v>
          </cell>
        </row>
        <row r="454">
          <cell r="A454">
            <v>39344</v>
          </cell>
          <cell r="B454">
            <v>2388.15</v>
          </cell>
          <cell r="C454">
            <v>2287.98</v>
          </cell>
          <cell r="D454">
            <v>1529.03</v>
          </cell>
        </row>
        <row r="455">
          <cell r="A455">
            <v>39345</v>
          </cell>
          <cell r="B455">
            <v>2372.61</v>
          </cell>
          <cell r="C455">
            <v>2272.94</v>
          </cell>
          <cell r="D455">
            <v>1518.75</v>
          </cell>
        </row>
        <row r="456">
          <cell r="A456">
            <v>39346</v>
          </cell>
          <cell r="B456">
            <v>2383.5500000000002</v>
          </cell>
          <cell r="C456">
            <v>2283.4299999999998</v>
          </cell>
          <cell r="D456">
            <v>1525.75</v>
          </cell>
        </row>
        <row r="457">
          <cell r="A457">
            <v>39349</v>
          </cell>
          <cell r="B457">
            <v>2371.0300000000002</v>
          </cell>
          <cell r="C457">
            <v>2271.4299999999998</v>
          </cell>
          <cell r="D457">
            <v>1517.73</v>
          </cell>
        </row>
        <row r="458">
          <cell r="A458">
            <v>39350</v>
          </cell>
          <cell r="B458">
            <v>2370.2600000000002</v>
          </cell>
          <cell r="C458">
            <v>2270.6799999999998</v>
          </cell>
          <cell r="D458">
            <v>1517.21</v>
          </cell>
        </row>
        <row r="459">
          <cell r="A459">
            <v>39351</v>
          </cell>
          <cell r="B459">
            <v>2383.5300000000002</v>
          </cell>
          <cell r="C459">
            <v>2283.2600000000002</v>
          </cell>
          <cell r="D459">
            <v>1525.42</v>
          </cell>
        </row>
        <row r="460">
          <cell r="A460">
            <v>39352</v>
          </cell>
          <cell r="B460">
            <v>2392.92</v>
          </cell>
          <cell r="C460">
            <v>2292.23</v>
          </cell>
          <cell r="D460">
            <v>1531.38</v>
          </cell>
        </row>
        <row r="461">
          <cell r="A461">
            <v>39353</v>
          </cell>
          <cell r="B461">
            <v>2385.7199999999998</v>
          </cell>
          <cell r="C461">
            <v>2285.33</v>
          </cell>
          <cell r="D461">
            <v>1526.75</v>
          </cell>
        </row>
        <row r="462">
          <cell r="A462">
            <v>39356</v>
          </cell>
          <cell r="B462">
            <v>2417.44</v>
          </cell>
          <cell r="C462">
            <v>2315.71</v>
          </cell>
          <cell r="D462">
            <v>1547.04</v>
          </cell>
        </row>
        <row r="463">
          <cell r="A463">
            <v>39357</v>
          </cell>
          <cell r="B463">
            <v>2416.83</v>
          </cell>
          <cell r="C463">
            <v>2315.11</v>
          </cell>
          <cell r="D463">
            <v>1546.63</v>
          </cell>
        </row>
        <row r="464">
          <cell r="A464">
            <v>39358</v>
          </cell>
          <cell r="B464">
            <v>2406.3000000000002</v>
          </cell>
          <cell r="C464">
            <v>2304.9</v>
          </cell>
          <cell r="D464">
            <v>1539.59</v>
          </cell>
        </row>
        <row r="465">
          <cell r="A465">
            <v>39359</v>
          </cell>
          <cell r="B465">
            <v>2411.41</v>
          </cell>
          <cell r="C465">
            <v>2309.7800000000002</v>
          </cell>
          <cell r="D465">
            <v>1542.84</v>
          </cell>
        </row>
        <row r="466">
          <cell r="A466">
            <v>39360</v>
          </cell>
          <cell r="B466">
            <v>2435.16</v>
          </cell>
          <cell r="C466">
            <v>2332.33</v>
          </cell>
          <cell r="D466">
            <v>1557.59</v>
          </cell>
        </row>
        <row r="467">
          <cell r="A467">
            <v>39363</v>
          </cell>
          <cell r="B467">
            <v>2427.33</v>
          </cell>
          <cell r="C467">
            <v>2324.83</v>
          </cell>
          <cell r="D467">
            <v>1552.58</v>
          </cell>
        </row>
        <row r="468">
          <cell r="A468">
            <v>39364</v>
          </cell>
          <cell r="B468">
            <v>2447.0300000000002</v>
          </cell>
          <cell r="C468">
            <v>2343.6799999999998</v>
          </cell>
          <cell r="D468">
            <v>1565.15</v>
          </cell>
        </row>
        <row r="469">
          <cell r="A469">
            <v>39365</v>
          </cell>
          <cell r="B469">
            <v>2443.02</v>
          </cell>
          <cell r="C469">
            <v>2339.79</v>
          </cell>
          <cell r="D469">
            <v>1562.47</v>
          </cell>
        </row>
        <row r="470">
          <cell r="A470">
            <v>39366</v>
          </cell>
          <cell r="B470">
            <v>2430.5500000000002</v>
          </cell>
          <cell r="C470">
            <v>2327.8000000000002</v>
          </cell>
          <cell r="D470">
            <v>1554.41</v>
          </cell>
        </row>
        <row r="471">
          <cell r="A471">
            <v>39367</v>
          </cell>
          <cell r="B471">
            <v>2442.12</v>
          </cell>
          <cell r="C471">
            <v>2338.89</v>
          </cell>
          <cell r="D471">
            <v>1561.8</v>
          </cell>
        </row>
        <row r="472">
          <cell r="A472">
            <v>39370</v>
          </cell>
          <cell r="B472">
            <v>2421.67</v>
          </cell>
          <cell r="C472">
            <v>2319.3000000000002</v>
          </cell>
          <cell r="D472">
            <v>1548.71</v>
          </cell>
        </row>
        <row r="473">
          <cell r="A473">
            <v>39371</v>
          </cell>
          <cell r="B473">
            <v>2405.7600000000002</v>
          </cell>
          <cell r="C473">
            <v>2304.06</v>
          </cell>
          <cell r="D473">
            <v>1538.53</v>
          </cell>
        </row>
        <row r="474">
          <cell r="A474">
            <v>39372</v>
          </cell>
          <cell r="B474">
            <v>2410.2199999999998</v>
          </cell>
          <cell r="C474">
            <v>2308.2600000000002</v>
          </cell>
          <cell r="D474">
            <v>1541.24</v>
          </cell>
        </row>
        <row r="475">
          <cell r="A475">
            <v>39373</v>
          </cell>
          <cell r="B475">
            <v>2408.46</v>
          </cell>
          <cell r="C475">
            <v>2306.56</v>
          </cell>
          <cell r="D475">
            <v>1540.08</v>
          </cell>
        </row>
        <row r="476">
          <cell r="A476">
            <v>39374</v>
          </cell>
          <cell r="B476">
            <v>2346.7800000000002</v>
          </cell>
          <cell r="C476">
            <v>2247.48</v>
          </cell>
          <cell r="D476">
            <v>1500.63</v>
          </cell>
        </row>
        <row r="477">
          <cell r="A477">
            <v>39377</v>
          </cell>
          <cell r="B477">
            <v>2355.7399999999998</v>
          </cell>
          <cell r="C477">
            <v>2256.0500000000002</v>
          </cell>
          <cell r="D477">
            <v>1506.33</v>
          </cell>
        </row>
        <row r="478">
          <cell r="A478">
            <v>39378</v>
          </cell>
          <cell r="B478">
            <v>2376.4699999999998</v>
          </cell>
          <cell r="C478">
            <v>2275.91</v>
          </cell>
          <cell r="D478">
            <v>1519.59</v>
          </cell>
        </row>
        <row r="479">
          <cell r="A479">
            <v>39379</v>
          </cell>
          <cell r="B479">
            <v>2370.71</v>
          </cell>
          <cell r="C479">
            <v>2270.38</v>
          </cell>
          <cell r="D479">
            <v>1515.88</v>
          </cell>
        </row>
        <row r="480">
          <cell r="A480">
            <v>39380</v>
          </cell>
          <cell r="B480">
            <v>2368.4299999999998</v>
          </cell>
          <cell r="C480">
            <v>2268.19</v>
          </cell>
          <cell r="D480">
            <v>1514.4</v>
          </cell>
        </row>
        <row r="481">
          <cell r="A481">
            <v>39381</v>
          </cell>
          <cell r="B481">
            <v>2401.0700000000002</v>
          </cell>
          <cell r="C481">
            <v>2299.4499999999998</v>
          </cell>
          <cell r="D481">
            <v>1535.28</v>
          </cell>
        </row>
        <row r="482">
          <cell r="A482">
            <v>39384</v>
          </cell>
          <cell r="B482">
            <v>2410.33</v>
          </cell>
          <cell r="C482">
            <v>2308.2199999999998</v>
          </cell>
          <cell r="D482">
            <v>1540.98</v>
          </cell>
        </row>
        <row r="483">
          <cell r="A483">
            <v>39385</v>
          </cell>
          <cell r="B483">
            <v>2394.81</v>
          </cell>
          <cell r="C483">
            <v>2293.34</v>
          </cell>
          <cell r="D483">
            <v>1531.02</v>
          </cell>
        </row>
        <row r="484">
          <cell r="A484">
            <v>39386</v>
          </cell>
          <cell r="B484">
            <v>2423.67</v>
          </cell>
          <cell r="C484">
            <v>2320.9299999999998</v>
          </cell>
          <cell r="D484">
            <v>1549.38</v>
          </cell>
        </row>
        <row r="485">
          <cell r="A485">
            <v>39387</v>
          </cell>
          <cell r="B485">
            <v>2360.21</v>
          </cell>
          <cell r="C485">
            <v>2260</v>
          </cell>
          <cell r="D485">
            <v>1508.44</v>
          </cell>
        </row>
        <row r="486">
          <cell r="A486">
            <v>39388</v>
          </cell>
          <cell r="B486">
            <v>2362.21</v>
          </cell>
          <cell r="C486">
            <v>2261.88</v>
          </cell>
          <cell r="D486">
            <v>1509.65</v>
          </cell>
        </row>
        <row r="487">
          <cell r="A487">
            <v>39391</v>
          </cell>
          <cell r="B487">
            <v>2350.69</v>
          </cell>
          <cell r="C487">
            <v>2250.8000000000002</v>
          </cell>
          <cell r="D487">
            <v>1502.17</v>
          </cell>
        </row>
        <row r="488">
          <cell r="A488">
            <v>39392</v>
          </cell>
          <cell r="B488">
            <v>2379.0500000000002</v>
          </cell>
          <cell r="C488">
            <v>2277.94</v>
          </cell>
          <cell r="D488">
            <v>1520.27</v>
          </cell>
        </row>
        <row r="489">
          <cell r="A489">
            <v>39393</v>
          </cell>
          <cell r="B489">
            <v>2310.41</v>
          </cell>
          <cell r="C489">
            <v>2211.87</v>
          </cell>
          <cell r="D489">
            <v>1475.62</v>
          </cell>
        </row>
        <row r="490">
          <cell r="A490">
            <v>39394</v>
          </cell>
          <cell r="B490">
            <v>2309.1799999999998</v>
          </cell>
          <cell r="C490">
            <v>2210.66</v>
          </cell>
          <cell r="D490">
            <v>1474.77</v>
          </cell>
        </row>
        <row r="491">
          <cell r="A491">
            <v>39395</v>
          </cell>
          <cell r="B491">
            <v>2276.2600000000002</v>
          </cell>
          <cell r="C491">
            <v>2179.12</v>
          </cell>
          <cell r="D491">
            <v>1453.7</v>
          </cell>
        </row>
        <row r="492">
          <cell r="A492">
            <v>39398</v>
          </cell>
          <cell r="B492">
            <v>2253.5300000000002</v>
          </cell>
          <cell r="C492">
            <v>2157.36</v>
          </cell>
          <cell r="D492">
            <v>1439.18</v>
          </cell>
        </row>
        <row r="493">
          <cell r="A493">
            <v>39399</v>
          </cell>
          <cell r="B493">
            <v>2319.86</v>
          </cell>
          <cell r="C493">
            <v>2220.64</v>
          </cell>
          <cell r="D493">
            <v>1481.05</v>
          </cell>
        </row>
        <row r="494">
          <cell r="A494">
            <v>39400</v>
          </cell>
          <cell r="B494">
            <v>2304.06</v>
          </cell>
          <cell r="C494">
            <v>2205.34</v>
          </cell>
          <cell r="D494">
            <v>1470.58</v>
          </cell>
        </row>
        <row r="495">
          <cell r="A495">
            <v>39401</v>
          </cell>
          <cell r="B495">
            <v>2273.73</v>
          </cell>
          <cell r="C495">
            <v>2176.2800000000002</v>
          </cell>
          <cell r="D495">
            <v>1451.15</v>
          </cell>
        </row>
        <row r="496">
          <cell r="A496">
            <v>39402</v>
          </cell>
          <cell r="B496">
            <v>2285.67</v>
          </cell>
          <cell r="C496">
            <v>2187.6999999999998</v>
          </cell>
          <cell r="D496">
            <v>1458.74</v>
          </cell>
        </row>
        <row r="497">
          <cell r="A497">
            <v>39405</v>
          </cell>
          <cell r="B497">
            <v>2245.81</v>
          </cell>
          <cell r="C497">
            <v>2149.5300000000002</v>
          </cell>
          <cell r="D497">
            <v>1433.27</v>
          </cell>
        </row>
        <row r="498">
          <cell r="A498">
            <v>39406</v>
          </cell>
          <cell r="B498">
            <v>2256.02</v>
          </cell>
          <cell r="C498">
            <v>2159.2600000000002</v>
          </cell>
          <cell r="D498">
            <v>1439.7</v>
          </cell>
        </row>
        <row r="499">
          <cell r="A499">
            <v>39407</v>
          </cell>
          <cell r="B499">
            <v>2220.21</v>
          </cell>
          <cell r="C499">
            <v>2124.9499999999998</v>
          </cell>
          <cell r="D499">
            <v>1416.77</v>
          </cell>
        </row>
        <row r="500">
          <cell r="A500">
            <v>39409</v>
          </cell>
          <cell r="B500">
            <v>2257.9499999999998</v>
          </cell>
          <cell r="C500">
            <v>2161.0100000000002</v>
          </cell>
          <cell r="D500">
            <v>1440.7</v>
          </cell>
        </row>
        <row r="501">
          <cell r="A501">
            <v>39412</v>
          </cell>
          <cell r="B501">
            <v>2205.4899999999998</v>
          </cell>
          <cell r="C501">
            <v>2110.79</v>
          </cell>
          <cell r="D501">
            <v>1407.22</v>
          </cell>
        </row>
        <row r="502">
          <cell r="A502">
            <v>39413</v>
          </cell>
          <cell r="B502">
            <v>2238.52</v>
          </cell>
          <cell r="C502">
            <v>2142.38</v>
          </cell>
          <cell r="D502">
            <v>1428.23</v>
          </cell>
        </row>
        <row r="503">
          <cell r="A503">
            <v>39414</v>
          </cell>
          <cell r="B503">
            <v>2303.17</v>
          </cell>
          <cell r="C503">
            <v>2204.0500000000002</v>
          </cell>
          <cell r="D503">
            <v>1469.02</v>
          </cell>
        </row>
        <row r="504">
          <cell r="A504">
            <v>39415</v>
          </cell>
          <cell r="B504">
            <v>2304.4299999999998</v>
          </cell>
          <cell r="C504">
            <v>2205.1999999999998</v>
          </cell>
          <cell r="D504">
            <v>1469.72</v>
          </cell>
        </row>
        <row r="505">
          <cell r="A505">
            <v>39416</v>
          </cell>
          <cell r="B505">
            <v>2322.34</v>
          </cell>
          <cell r="C505">
            <v>2222.35</v>
          </cell>
          <cell r="D505">
            <v>1481.14</v>
          </cell>
        </row>
        <row r="506">
          <cell r="A506">
            <v>39419</v>
          </cell>
          <cell r="B506">
            <v>2308.7399999999998</v>
          </cell>
          <cell r="C506">
            <v>2209.31</v>
          </cell>
          <cell r="D506">
            <v>1472.42</v>
          </cell>
        </row>
        <row r="507">
          <cell r="A507">
            <v>39420</v>
          </cell>
          <cell r="B507">
            <v>2293.65</v>
          </cell>
          <cell r="C507">
            <v>2194.87</v>
          </cell>
          <cell r="D507">
            <v>1462.79</v>
          </cell>
        </row>
        <row r="508">
          <cell r="A508">
            <v>39421</v>
          </cell>
          <cell r="B508">
            <v>2329.71</v>
          </cell>
          <cell r="C508">
            <v>2229.02</v>
          </cell>
          <cell r="D508">
            <v>1485.01</v>
          </cell>
        </row>
        <row r="509">
          <cell r="A509">
            <v>39422</v>
          </cell>
          <cell r="B509">
            <v>2364.9699999999998</v>
          </cell>
          <cell r="C509">
            <v>2262.6999999999998</v>
          </cell>
          <cell r="D509">
            <v>1507.34</v>
          </cell>
        </row>
        <row r="510">
          <cell r="A510">
            <v>39423</v>
          </cell>
          <cell r="B510">
            <v>2360.79</v>
          </cell>
          <cell r="C510">
            <v>2258.6799999999998</v>
          </cell>
          <cell r="D510">
            <v>1504.66</v>
          </cell>
        </row>
        <row r="511">
          <cell r="A511">
            <v>39426</v>
          </cell>
          <cell r="B511">
            <v>2378.6</v>
          </cell>
          <cell r="C511">
            <v>2275.6999999999998</v>
          </cell>
          <cell r="D511">
            <v>1515.96</v>
          </cell>
        </row>
        <row r="512">
          <cell r="A512">
            <v>39427</v>
          </cell>
          <cell r="B512">
            <v>2318.5100000000002</v>
          </cell>
          <cell r="C512">
            <v>2218.21</v>
          </cell>
          <cell r="D512">
            <v>1477.65</v>
          </cell>
        </row>
        <row r="513">
          <cell r="A513">
            <v>39428</v>
          </cell>
          <cell r="B513">
            <v>2332.85</v>
          </cell>
          <cell r="C513">
            <v>2231.84</v>
          </cell>
          <cell r="D513">
            <v>1486.59</v>
          </cell>
        </row>
        <row r="514">
          <cell r="A514">
            <v>39429</v>
          </cell>
          <cell r="B514">
            <v>2335.79</v>
          </cell>
          <cell r="C514">
            <v>2234.63</v>
          </cell>
          <cell r="D514">
            <v>1488.41</v>
          </cell>
        </row>
        <row r="515">
          <cell r="A515">
            <v>39430</v>
          </cell>
          <cell r="B515">
            <v>2303.79</v>
          </cell>
          <cell r="C515">
            <v>2203.98</v>
          </cell>
          <cell r="D515">
            <v>1467.95</v>
          </cell>
        </row>
        <row r="516">
          <cell r="A516">
            <v>39433</v>
          </cell>
          <cell r="B516">
            <v>2269.2399999999998</v>
          </cell>
          <cell r="C516">
            <v>2170.91</v>
          </cell>
          <cell r="D516">
            <v>1445.9</v>
          </cell>
        </row>
        <row r="517">
          <cell r="A517">
            <v>39434</v>
          </cell>
          <cell r="B517">
            <v>2283.5</v>
          </cell>
          <cell r="C517">
            <v>2184.5500000000002</v>
          </cell>
          <cell r="D517">
            <v>1454.98</v>
          </cell>
        </row>
        <row r="518">
          <cell r="A518">
            <v>39435</v>
          </cell>
          <cell r="B518">
            <v>2280.4699999999998</v>
          </cell>
          <cell r="C518">
            <v>2181.63</v>
          </cell>
          <cell r="D518">
            <v>1453</v>
          </cell>
        </row>
        <row r="519">
          <cell r="A519">
            <v>39436</v>
          </cell>
          <cell r="B519">
            <v>2292.23</v>
          </cell>
          <cell r="C519">
            <v>2192.71</v>
          </cell>
          <cell r="D519">
            <v>1460.12</v>
          </cell>
        </row>
        <row r="520">
          <cell r="A520">
            <v>39437</v>
          </cell>
          <cell r="B520">
            <v>2330.81</v>
          </cell>
          <cell r="C520">
            <v>2229.5100000000002</v>
          </cell>
          <cell r="D520">
            <v>1484.46</v>
          </cell>
        </row>
        <row r="521">
          <cell r="A521">
            <v>39440</v>
          </cell>
          <cell r="B521">
            <v>2349.66</v>
          </cell>
          <cell r="C521">
            <v>2247.54</v>
          </cell>
          <cell r="D521">
            <v>1496.45</v>
          </cell>
        </row>
        <row r="522">
          <cell r="A522">
            <v>39442</v>
          </cell>
          <cell r="B522">
            <v>2351.6</v>
          </cell>
          <cell r="C522">
            <v>2249.38</v>
          </cell>
          <cell r="D522">
            <v>1497.66</v>
          </cell>
        </row>
        <row r="523">
          <cell r="A523">
            <v>39443</v>
          </cell>
          <cell r="B523">
            <v>2318.7199999999998</v>
          </cell>
          <cell r="C523">
            <v>2217.77</v>
          </cell>
          <cell r="D523">
            <v>1476.37</v>
          </cell>
        </row>
        <row r="524">
          <cell r="A524">
            <v>39444</v>
          </cell>
          <cell r="B524">
            <v>2322.11</v>
          </cell>
          <cell r="C524">
            <v>2220.9899999999998</v>
          </cell>
          <cell r="D524">
            <v>1478.49</v>
          </cell>
        </row>
        <row r="525">
          <cell r="A525">
            <v>39447</v>
          </cell>
          <cell r="B525">
            <v>2306.23</v>
          </cell>
          <cell r="C525">
            <v>2205.8000000000002</v>
          </cell>
          <cell r="D525">
            <v>1468.36</v>
          </cell>
        </row>
        <row r="526">
          <cell r="A526">
            <v>39449</v>
          </cell>
          <cell r="B526">
            <v>2273.41</v>
          </cell>
          <cell r="C526">
            <v>2174.27</v>
          </cell>
          <cell r="D526">
            <v>1447.16</v>
          </cell>
        </row>
        <row r="527">
          <cell r="A527">
            <v>39450</v>
          </cell>
          <cell r="B527">
            <v>2273.41</v>
          </cell>
          <cell r="C527">
            <v>2174.2800000000002</v>
          </cell>
          <cell r="D527">
            <v>1447.16</v>
          </cell>
        </row>
        <row r="528">
          <cell r="A528">
            <v>39451</v>
          </cell>
          <cell r="B528">
            <v>2217.59</v>
          </cell>
          <cell r="C528">
            <v>2120.89</v>
          </cell>
          <cell r="D528">
            <v>1411.63</v>
          </cell>
        </row>
        <row r="529">
          <cell r="A529">
            <v>39454</v>
          </cell>
          <cell r="B529">
            <v>2224.7600000000002</v>
          </cell>
          <cell r="C529">
            <v>2127.7399999999998</v>
          </cell>
          <cell r="D529">
            <v>1416.18</v>
          </cell>
        </row>
        <row r="530">
          <cell r="A530">
            <v>39455</v>
          </cell>
          <cell r="B530">
            <v>2184.67</v>
          </cell>
          <cell r="C530">
            <v>2089.1799999999998</v>
          </cell>
          <cell r="D530">
            <v>1390.19</v>
          </cell>
        </row>
        <row r="531">
          <cell r="A531">
            <v>39456</v>
          </cell>
          <cell r="B531">
            <v>2214.6</v>
          </cell>
          <cell r="C531">
            <v>2117.7600000000002</v>
          </cell>
          <cell r="D531">
            <v>1409.13</v>
          </cell>
        </row>
        <row r="532">
          <cell r="A532">
            <v>39457</v>
          </cell>
          <cell r="B532">
            <v>2232.2399999999998</v>
          </cell>
          <cell r="C532">
            <v>2134.62</v>
          </cell>
          <cell r="D532">
            <v>1420.33</v>
          </cell>
        </row>
        <row r="533">
          <cell r="A533">
            <v>39458</v>
          </cell>
          <cell r="B533">
            <v>2202.0300000000002</v>
          </cell>
          <cell r="C533">
            <v>2105.6799999999998</v>
          </cell>
          <cell r="D533">
            <v>1401.02</v>
          </cell>
        </row>
        <row r="534">
          <cell r="A534">
            <v>39461</v>
          </cell>
          <cell r="B534">
            <v>2225.98</v>
          </cell>
          <cell r="C534">
            <v>2128.58</v>
          </cell>
          <cell r="D534">
            <v>1416.25</v>
          </cell>
        </row>
        <row r="535">
          <cell r="A535">
            <v>39462</v>
          </cell>
          <cell r="B535">
            <v>2170.5100000000002</v>
          </cell>
          <cell r="C535">
            <v>2075.54</v>
          </cell>
          <cell r="D535">
            <v>1380.95</v>
          </cell>
        </row>
        <row r="536">
          <cell r="A536">
            <v>39463</v>
          </cell>
          <cell r="B536">
            <v>2158.58</v>
          </cell>
          <cell r="C536">
            <v>2064.06</v>
          </cell>
          <cell r="D536">
            <v>1373.2</v>
          </cell>
        </row>
        <row r="537">
          <cell r="A537">
            <v>39464</v>
          </cell>
          <cell r="B537">
            <v>2095.86</v>
          </cell>
          <cell r="C537">
            <v>2004.06</v>
          </cell>
          <cell r="D537">
            <v>1333.25</v>
          </cell>
        </row>
        <row r="538">
          <cell r="A538">
            <v>39465</v>
          </cell>
          <cell r="B538">
            <v>2083.2399999999998</v>
          </cell>
          <cell r="C538">
            <v>1991.98</v>
          </cell>
          <cell r="D538">
            <v>1325.19</v>
          </cell>
        </row>
        <row r="539">
          <cell r="A539">
            <v>39469</v>
          </cell>
          <cell r="B539">
            <v>2060.15</v>
          </cell>
          <cell r="C539">
            <v>1969.9</v>
          </cell>
          <cell r="D539">
            <v>1310.5</v>
          </cell>
        </row>
        <row r="540">
          <cell r="A540">
            <v>39470</v>
          </cell>
          <cell r="B540">
            <v>2104.37</v>
          </cell>
          <cell r="C540">
            <v>2012.17</v>
          </cell>
          <cell r="D540">
            <v>1338.6</v>
          </cell>
        </row>
        <row r="541">
          <cell r="A541">
            <v>39471</v>
          </cell>
          <cell r="B541">
            <v>2125.6</v>
          </cell>
          <cell r="C541">
            <v>2032.46</v>
          </cell>
          <cell r="D541">
            <v>1352.07</v>
          </cell>
        </row>
        <row r="542">
          <cell r="A542">
            <v>39472</v>
          </cell>
          <cell r="B542">
            <v>2091.88</v>
          </cell>
          <cell r="C542">
            <v>2000.21</v>
          </cell>
          <cell r="D542">
            <v>1330.61</v>
          </cell>
        </row>
        <row r="543">
          <cell r="A543">
            <v>39475</v>
          </cell>
          <cell r="B543">
            <v>2128.64</v>
          </cell>
          <cell r="C543">
            <v>2035.35</v>
          </cell>
          <cell r="D543">
            <v>1353.97</v>
          </cell>
        </row>
        <row r="544">
          <cell r="A544">
            <v>39476</v>
          </cell>
          <cell r="B544">
            <v>2141.85</v>
          </cell>
          <cell r="C544">
            <v>2047.94</v>
          </cell>
          <cell r="D544">
            <v>1362.3</v>
          </cell>
        </row>
        <row r="545">
          <cell r="A545">
            <v>39477</v>
          </cell>
          <cell r="B545">
            <v>2131.7800000000002</v>
          </cell>
          <cell r="C545">
            <v>2038.28</v>
          </cell>
          <cell r="D545">
            <v>1355.81</v>
          </cell>
        </row>
        <row r="546">
          <cell r="A546">
            <v>39478</v>
          </cell>
          <cell r="B546">
            <v>2167.9</v>
          </cell>
          <cell r="C546">
            <v>2072.71</v>
          </cell>
          <cell r="D546">
            <v>1378.55</v>
          </cell>
        </row>
        <row r="547">
          <cell r="A547">
            <v>39479</v>
          </cell>
          <cell r="B547">
            <v>2194.4299999999998</v>
          </cell>
          <cell r="C547">
            <v>2098.0700000000002</v>
          </cell>
          <cell r="D547">
            <v>1395.42</v>
          </cell>
        </row>
        <row r="548">
          <cell r="A548">
            <v>39482</v>
          </cell>
          <cell r="B548">
            <v>2171.5100000000002</v>
          </cell>
          <cell r="C548">
            <v>2076.15</v>
          </cell>
          <cell r="D548">
            <v>1380.82</v>
          </cell>
        </row>
        <row r="549">
          <cell r="A549">
            <v>39483</v>
          </cell>
          <cell r="B549">
            <v>2102.23</v>
          </cell>
          <cell r="C549">
            <v>2009.86</v>
          </cell>
          <cell r="D549">
            <v>1336.64</v>
          </cell>
        </row>
        <row r="550">
          <cell r="A550">
            <v>39484</v>
          </cell>
          <cell r="B550">
            <v>2087.0500000000002</v>
          </cell>
          <cell r="C550">
            <v>1995.1</v>
          </cell>
          <cell r="D550">
            <v>1326.45</v>
          </cell>
        </row>
        <row r="551">
          <cell r="A551">
            <v>39485</v>
          </cell>
          <cell r="B551">
            <v>2104.02</v>
          </cell>
          <cell r="C551">
            <v>2011.17</v>
          </cell>
          <cell r="D551">
            <v>1336.91</v>
          </cell>
        </row>
        <row r="552">
          <cell r="A552">
            <v>39486</v>
          </cell>
          <cell r="B552">
            <v>2095.21</v>
          </cell>
          <cell r="C552">
            <v>2002.75</v>
          </cell>
          <cell r="D552">
            <v>1331.29</v>
          </cell>
        </row>
        <row r="553">
          <cell r="A553">
            <v>39489</v>
          </cell>
          <cell r="B553">
            <v>2107.65</v>
          </cell>
          <cell r="C553">
            <v>2014.61</v>
          </cell>
          <cell r="D553">
            <v>1339.13</v>
          </cell>
        </row>
        <row r="554">
          <cell r="A554">
            <v>39490</v>
          </cell>
          <cell r="B554">
            <v>2123.06</v>
          </cell>
          <cell r="C554">
            <v>2029.31</v>
          </cell>
          <cell r="D554">
            <v>1348.86</v>
          </cell>
        </row>
        <row r="555">
          <cell r="A555">
            <v>39491</v>
          </cell>
          <cell r="B555">
            <v>2152.7600000000002</v>
          </cell>
          <cell r="C555">
            <v>2057.4699999999998</v>
          </cell>
          <cell r="D555">
            <v>1367.21</v>
          </cell>
        </row>
        <row r="556">
          <cell r="A556">
            <v>39492</v>
          </cell>
          <cell r="B556">
            <v>2123.94</v>
          </cell>
          <cell r="C556">
            <v>2029.9</v>
          </cell>
          <cell r="D556">
            <v>1348.86</v>
          </cell>
        </row>
        <row r="557">
          <cell r="A557">
            <v>39493</v>
          </cell>
          <cell r="B557">
            <v>2125.85</v>
          </cell>
          <cell r="C557">
            <v>2031.69</v>
          </cell>
          <cell r="D557">
            <v>1349.99</v>
          </cell>
        </row>
        <row r="558">
          <cell r="A558">
            <v>39497</v>
          </cell>
          <cell r="B558">
            <v>2124.12</v>
          </cell>
          <cell r="C558">
            <v>2029.98</v>
          </cell>
          <cell r="D558">
            <v>1348.78</v>
          </cell>
        </row>
        <row r="559">
          <cell r="A559">
            <v>39498</v>
          </cell>
          <cell r="B559">
            <v>2141.9499999999998</v>
          </cell>
          <cell r="C559">
            <v>2046.99</v>
          </cell>
          <cell r="D559">
            <v>1360.03</v>
          </cell>
        </row>
        <row r="560">
          <cell r="A560">
            <v>39499</v>
          </cell>
          <cell r="B560">
            <v>2115.13</v>
          </cell>
          <cell r="C560">
            <v>2021.14</v>
          </cell>
          <cell r="D560">
            <v>1342.53</v>
          </cell>
        </row>
        <row r="561">
          <cell r="A561">
            <v>39500</v>
          </cell>
          <cell r="B561">
            <v>2132.02</v>
          </cell>
          <cell r="C561">
            <v>2037.22</v>
          </cell>
          <cell r="D561">
            <v>1353.11</v>
          </cell>
        </row>
        <row r="562">
          <cell r="A562">
            <v>39503</v>
          </cell>
          <cell r="B562">
            <v>2161.5100000000002</v>
          </cell>
          <cell r="C562">
            <v>2065.39</v>
          </cell>
          <cell r="D562">
            <v>1371.8</v>
          </cell>
        </row>
        <row r="563">
          <cell r="A563">
            <v>39504</v>
          </cell>
          <cell r="B563">
            <v>2176.48</v>
          </cell>
          <cell r="C563">
            <v>2079.6799999999998</v>
          </cell>
          <cell r="D563">
            <v>1381.29</v>
          </cell>
        </row>
        <row r="564">
          <cell r="A564">
            <v>39505</v>
          </cell>
          <cell r="B564">
            <v>2175</v>
          </cell>
          <cell r="C564">
            <v>2078.13</v>
          </cell>
          <cell r="D564">
            <v>1380.02</v>
          </cell>
        </row>
        <row r="565">
          <cell r="A565">
            <v>39506</v>
          </cell>
          <cell r="B565">
            <v>2155.81</v>
          </cell>
          <cell r="C565">
            <v>2059.71</v>
          </cell>
          <cell r="D565">
            <v>1367.68</v>
          </cell>
        </row>
        <row r="566">
          <cell r="A566">
            <v>39507</v>
          </cell>
          <cell r="B566">
            <v>2097.48</v>
          </cell>
          <cell r="C566">
            <v>2003.96</v>
          </cell>
          <cell r="D566">
            <v>1330.63</v>
          </cell>
        </row>
        <row r="567">
          <cell r="A567">
            <v>39510</v>
          </cell>
          <cell r="B567">
            <v>2098.64</v>
          </cell>
          <cell r="C567">
            <v>2005.06</v>
          </cell>
          <cell r="D567">
            <v>1331.34</v>
          </cell>
        </row>
        <row r="568">
          <cell r="A568">
            <v>39511</v>
          </cell>
          <cell r="B568">
            <v>2091.42</v>
          </cell>
          <cell r="C568">
            <v>1998.16</v>
          </cell>
          <cell r="D568">
            <v>1326.75</v>
          </cell>
        </row>
        <row r="569">
          <cell r="A569">
            <v>39512</v>
          </cell>
          <cell r="B569">
            <v>2103.42</v>
          </cell>
          <cell r="C569">
            <v>2009.33</v>
          </cell>
          <cell r="D569">
            <v>1333.7</v>
          </cell>
        </row>
        <row r="570">
          <cell r="A570">
            <v>39513</v>
          </cell>
          <cell r="B570">
            <v>2057.44</v>
          </cell>
          <cell r="C570">
            <v>1965.31</v>
          </cell>
          <cell r="D570">
            <v>1304.3399999999999</v>
          </cell>
        </row>
        <row r="571">
          <cell r="A571">
            <v>39514</v>
          </cell>
          <cell r="B571">
            <v>2040.17</v>
          </cell>
          <cell r="C571">
            <v>1948.81</v>
          </cell>
          <cell r="D571">
            <v>1293.3699999999999</v>
          </cell>
        </row>
        <row r="572">
          <cell r="A572">
            <v>39517</v>
          </cell>
          <cell r="B572">
            <v>2008.71</v>
          </cell>
          <cell r="C572">
            <v>1918.73</v>
          </cell>
          <cell r="D572">
            <v>1273.3699999999999</v>
          </cell>
        </row>
        <row r="573">
          <cell r="A573">
            <v>39518</v>
          </cell>
          <cell r="B573">
            <v>2083.36</v>
          </cell>
          <cell r="C573">
            <v>1990.01</v>
          </cell>
          <cell r="D573">
            <v>1320.65</v>
          </cell>
        </row>
        <row r="574">
          <cell r="A574">
            <v>39519</v>
          </cell>
          <cell r="B574">
            <v>2065.21</v>
          </cell>
          <cell r="C574">
            <v>1972.51</v>
          </cell>
          <cell r="D574">
            <v>1308.77</v>
          </cell>
        </row>
        <row r="575">
          <cell r="A575">
            <v>39520</v>
          </cell>
          <cell r="B575">
            <v>2075.88</v>
          </cell>
          <cell r="C575">
            <v>1982.68</v>
          </cell>
          <cell r="D575">
            <v>1315.48</v>
          </cell>
        </row>
        <row r="576">
          <cell r="A576">
            <v>39521</v>
          </cell>
          <cell r="B576">
            <v>2032.79</v>
          </cell>
          <cell r="C576">
            <v>1941.5</v>
          </cell>
          <cell r="D576">
            <v>1288.1400000000001</v>
          </cell>
        </row>
        <row r="577">
          <cell r="A577">
            <v>39524</v>
          </cell>
          <cell r="B577">
            <v>2014.88</v>
          </cell>
          <cell r="C577">
            <v>1924.31</v>
          </cell>
          <cell r="D577">
            <v>1276.5999999999999</v>
          </cell>
        </row>
        <row r="578">
          <cell r="A578">
            <v>39525</v>
          </cell>
          <cell r="B578">
            <v>2100.38</v>
          </cell>
          <cell r="C578">
            <v>2005.95</v>
          </cell>
          <cell r="D578">
            <v>1330.74</v>
          </cell>
        </row>
        <row r="579">
          <cell r="A579">
            <v>39526</v>
          </cell>
          <cell r="B579">
            <v>2049.4</v>
          </cell>
          <cell r="C579">
            <v>1957.25</v>
          </cell>
          <cell r="D579">
            <v>1298.42</v>
          </cell>
        </row>
        <row r="580">
          <cell r="A580">
            <v>39527</v>
          </cell>
          <cell r="B580">
            <v>2098.46</v>
          </cell>
          <cell r="C580">
            <v>2004.11</v>
          </cell>
          <cell r="D580">
            <v>1329.51</v>
          </cell>
        </row>
        <row r="581">
          <cell r="A581">
            <v>39531</v>
          </cell>
          <cell r="B581">
            <v>2130.62</v>
          </cell>
          <cell r="C581">
            <v>2034.83</v>
          </cell>
          <cell r="D581">
            <v>1349.88</v>
          </cell>
        </row>
        <row r="582">
          <cell r="A582">
            <v>39532</v>
          </cell>
          <cell r="B582">
            <v>2135.54</v>
          </cell>
          <cell r="C582">
            <v>2039.52</v>
          </cell>
          <cell r="D582">
            <v>1352.99</v>
          </cell>
        </row>
        <row r="583">
          <cell r="A583">
            <v>39533</v>
          </cell>
          <cell r="B583">
            <v>2116.9299999999998</v>
          </cell>
          <cell r="C583">
            <v>2021.71</v>
          </cell>
          <cell r="D583">
            <v>1341.13</v>
          </cell>
        </row>
        <row r="584">
          <cell r="A584">
            <v>39534</v>
          </cell>
          <cell r="B584">
            <v>2093.11</v>
          </cell>
          <cell r="C584">
            <v>1998.84</v>
          </cell>
          <cell r="D584">
            <v>1325.76</v>
          </cell>
        </row>
        <row r="585">
          <cell r="A585">
            <v>39535</v>
          </cell>
          <cell r="B585">
            <v>2076.56</v>
          </cell>
          <cell r="C585">
            <v>1983.01</v>
          </cell>
          <cell r="D585">
            <v>1315.22</v>
          </cell>
        </row>
        <row r="586">
          <cell r="A586">
            <v>39538</v>
          </cell>
          <cell r="B586">
            <v>2088.42</v>
          </cell>
          <cell r="C586">
            <v>1994.32</v>
          </cell>
          <cell r="D586">
            <v>1322.7</v>
          </cell>
        </row>
        <row r="587">
          <cell r="A587">
            <v>39539</v>
          </cell>
          <cell r="B587">
            <v>2163.38</v>
          </cell>
          <cell r="C587">
            <v>2065.91</v>
          </cell>
          <cell r="D587">
            <v>1370.18</v>
          </cell>
        </row>
        <row r="588">
          <cell r="A588">
            <v>39540</v>
          </cell>
          <cell r="B588">
            <v>2159.63</v>
          </cell>
          <cell r="C588">
            <v>2062.1999999999998</v>
          </cell>
          <cell r="D588">
            <v>1367.53</v>
          </cell>
        </row>
        <row r="589">
          <cell r="A589">
            <v>39541</v>
          </cell>
          <cell r="B589">
            <v>2162.46</v>
          </cell>
          <cell r="C589">
            <v>2064.89</v>
          </cell>
          <cell r="D589">
            <v>1369.31</v>
          </cell>
        </row>
        <row r="590">
          <cell r="A590">
            <v>39542</v>
          </cell>
          <cell r="B590">
            <v>2164.21</v>
          </cell>
          <cell r="C590">
            <v>2066.56</v>
          </cell>
          <cell r="D590">
            <v>1370.4</v>
          </cell>
        </row>
        <row r="591">
          <cell r="A591">
            <v>39545</v>
          </cell>
          <cell r="B591">
            <v>2167.61</v>
          </cell>
          <cell r="C591">
            <v>2069.8000000000002</v>
          </cell>
          <cell r="D591">
            <v>1372.54</v>
          </cell>
        </row>
        <row r="592">
          <cell r="A592">
            <v>39546</v>
          </cell>
          <cell r="B592">
            <v>2157.2800000000002</v>
          </cell>
          <cell r="C592">
            <v>2059.73</v>
          </cell>
          <cell r="D592">
            <v>1365.54</v>
          </cell>
        </row>
        <row r="593">
          <cell r="A593">
            <v>39547</v>
          </cell>
          <cell r="B593">
            <v>2139.9899999999998</v>
          </cell>
          <cell r="C593">
            <v>2043.18</v>
          </cell>
          <cell r="D593">
            <v>1354.49</v>
          </cell>
        </row>
        <row r="594">
          <cell r="A594">
            <v>39548</v>
          </cell>
          <cell r="B594">
            <v>2149.67</v>
          </cell>
          <cell r="C594">
            <v>2052.38</v>
          </cell>
          <cell r="D594">
            <v>1360.55</v>
          </cell>
        </row>
        <row r="595">
          <cell r="A595">
            <v>39549</v>
          </cell>
          <cell r="B595">
            <v>2106.0100000000002</v>
          </cell>
          <cell r="C595">
            <v>2010.66</v>
          </cell>
          <cell r="D595">
            <v>1332.83</v>
          </cell>
        </row>
        <row r="596">
          <cell r="A596">
            <v>39552</v>
          </cell>
          <cell r="B596">
            <v>2098.92</v>
          </cell>
          <cell r="C596">
            <v>2003.88</v>
          </cell>
          <cell r="D596">
            <v>1328.32</v>
          </cell>
        </row>
        <row r="597">
          <cell r="A597">
            <v>39553</v>
          </cell>
          <cell r="B597">
            <v>2108.59</v>
          </cell>
          <cell r="C597">
            <v>2013.11</v>
          </cell>
          <cell r="D597">
            <v>1334.43</v>
          </cell>
        </row>
        <row r="598">
          <cell r="A598">
            <v>39554</v>
          </cell>
          <cell r="B598">
            <v>2156.67</v>
          </cell>
          <cell r="C598">
            <v>2058.9499999999998</v>
          </cell>
          <cell r="D598">
            <v>1364.71</v>
          </cell>
        </row>
        <row r="599">
          <cell r="A599">
            <v>39555</v>
          </cell>
          <cell r="B599">
            <v>2158.08</v>
          </cell>
          <cell r="C599">
            <v>2060.27</v>
          </cell>
          <cell r="D599">
            <v>1365.56</v>
          </cell>
        </row>
        <row r="600">
          <cell r="A600">
            <v>39556</v>
          </cell>
          <cell r="B600">
            <v>2197.2399999999998</v>
          </cell>
          <cell r="C600">
            <v>2097.65</v>
          </cell>
          <cell r="D600">
            <v>1390.33</v>
          </cell>
        </row>
        <row r="601">
          <cell r="A601">
            <v>39559</v>
          </cell>
          <cell r="B601">
            <v>2193.87</v>
          </cell>
          <cell r="C601">
            <v>2094.42</v>
          </cell>
          <cell r="D601">
            <v>1388.17</v>
          </cell>
        </row>
        <row r="602">
          <cell r="A602">
            <v>39560</v>
          </cell>
          <cell r="B602">
            <v>2174.59</v>
          </cell>
          <cell r="C602">
            <v>2076.0100000000002</v>
          </cell>
          <cell r="D602">
            <v>1375.94</v>
          </cell>
        </row>
        <row r="603">
          <cell r="A603">
            <v>39561</v>
          </cell>
          <cell r="B603">
            <v>2180.91</v>
          </cell>
          <cell r="C603">
            <v>2082.04</v>
          </cell>
          <cell r="D603">
            <v>1379.93</v>
          </cell>
        </row>
        <row r="604">
          <cell r="A604">
            <v>39562</v>
          </cell>
          <cell r="B604">
            <v>2194.96</v>
          </cell>
          <cell r="C604">
            <v>2095.4499999999998</v>
          </cell>
          <cell r="D604">
            <v>1388.82</v>
          </cell>
        </row>
        <row r="605">
          <cell r="A605">
            <v>39563</v>
          </cell>
          <cell r="B605">
            <v>2209.25</v>
          </cell>
          <cell r="C605">
            <v>2109.08</v>
          </cell>
          <cell r="D605">
            <v>1397.84</v>
          </cell>
        </row>
        <row r="606">
          <cell r="A606">
            <v>39566</v>
          </cell>
          <cell r="B606">
            <v>2207.02</v>
          </cell>
          <cell r="C606">
            <v>2106.92</v>
          </cell>
          <cell r="D606">
            <v>1396.37</v>
          </cell>
        </row>
        <row r="607">
          <cell r="A607">
            <v>39567</v>
          </cell>
          <cell r="B607">
            <v>2198.5</v>
          </cell>
          <cell r="C607">
            <v>2098.77</v>
          </cell>
          <cell r="D607">
            <v>1390.94</v>
          </cell>
        </row>
        <row r="608">
          <cell r="A608">
            <v>39568</v>
          </cell>
          <cell r="B608">
            <v>2190.13</v>
          </cell>
          <cell r="C608">
            <v>2090.7600000000002</v>
          </cell>
          <cell r="D608">
            <v>1385.59</v>
          </cell>
        </row>
        <row r="609">
          <cell r="A609">
            <v>39569</v>
          </cell>
          <cell r="B609">
            <v>2228.09</v>
          </cell>
          <cell r="C609">
            <v>2126.88</v>
          </cell>
          <cell r="D609">
            <v>1409.34</v>
          </cell>
        </row>
        <row r="610">
          <cell r="A610">
            <v>39570</v>
          </cell>
          <cell r="B610">
            <v>2235.3000000000002</v>
          </cell>
          <cell r="C610">
            <v>2133.7600000000002</v>
          </cell>
          <cell r="D610">
            <v>1413.9</v>
          </cell>
        </row>
        <row r="611">
          <cell r="A611">
            <v>39573</v>
          </cell>
          <cell r="B611">
            <v>2225.37</v>
          </cell>
          <cell r="C611">
            <v>2124.2199999999998</v>
          </cell>
          <cell r="D611">
            <v>1407.49</v>
          </cell>
        </row>
        <row r="612">
          <cell r="A612">
            <v>39574</v>
          </cell>
          <cell r="B612">
            <v>2242.4699999999998</v>
          </cell>
          <cell r="C612">
            <v>2140.52</v>
          </cell>
          <cell r="D612">
            <v>1418.26</v>
          </cell>
        </row>
        <row r="613">
          <cell r="A613">
            <v>39575</v>
          </cell>
          <cell r="B613">
            <v>2202.77</v>
          </cell>
          <cell r="C613">
            <v>2102.36</v>
          </cell>
          <cell r="D613">
            <v>1392.57</v>
          </cell>
        </row>
        <row r="614">
          <cell r="A614">
            <v>39576</v>
          </cell>
          <cell r="B614">
            <v>2210.9499999999998</v>
          </cell>
          <cell r="C614">
            <v>2110.15</v>
          </cell>
          <cell r="D614">
            <v>1397.68</v>
          </cell>
        </row>
        <row r="615">
          <cell r="A615">
            <v>39577</v>
          </cell>
          <cell r="B615">
            <v>2196.54</v>
          </cell>
          <cell r="C615">
            <v>2096.2600000000002</v>
          </cell>
          <cell r="D615">
            <v>1388.28</v>
          </cell>
        </row>
        <row r="616">
          <cell r="A616">
            <v>39580</v>
          </cell>
          <cell r="B616">
            <v>2220.81</v>
          </cell>
          <cell r="C616">
            <v>2119.4</v>
          </cell>
          <cell r="D616">
            <v>1403.58</v>
          </cell>
        </row>
        <row r="617">
          <cell r="A617">
            <v>39581</v>
          </cell>
          <cell r="B617">
            <v>2220.46</v>
          </cell>
          <cell r="C617">
            <v>2118.9299999999998</v>
          </cell>
          <cell r="D617">
            <v>1403.04</v>
          </cell>
        </row>
        <row r="618">
          <cell r="A618">
            <v>39582</v>
          </cell>
          <cell r="B618">
            <v>2229.7399999999998</v>
          </cell>
          <cell r="C618">
            <v>2127.67</v>
          </cell>
          <cell r="D618">
            <v>1408.66</v>
          </cell>
        </row>
        <row r="619">
          <cell r="A619">
            <v>39583</v>
          </cell>
          <cell r="B619">
            <v>2253.7600000000002</v>
          </cell>
          <cell r="C619">
            <v>2150.4699999999998</v>
          </cell>
          <cell r="D619">
            <v>1423.57</v>
          </cell>
        </row>
        <row r="620">
          <cell r="A620">
            <v>39584</v>
          </cell>
          <cell r="B620">
            <v>2256.63</v>
          </cell>
          <cell r="C620">
            <v>2153.1999999999998</v>
          </cell>
          <cell r="D620">
            <v>1425.35</v>
          </cell>
        </row>
        <row r="621">
          <cell r="A621">
            <v>39587</v>
          </cell>
          <cell r="B621">
            <v>2258.7399999999998</v>
          </cell>
          <cell r="C621">
            <v>2155.1799999999998</v>
          </cell>
          <cell r="D621">
            <v>1426.63</v>
          </cell>
        </row>
        <row r="622">
          <cell r="A622">
            <v>39588</v>
          </cell>
          <cell r="B622">
            <v>2237.79</v>
          </cell>
          <cell r="C622">
            <v>2135.19</v>
          </cell>
          <cell r="D622">
            <v>1413.4</v>
          </cell>
        </row>
        <row r="623">
          <cell r="A623">
            <v>39589</v>
          </cell>
          <cell r="B623">
            <v>2202.02</v>
          </cell>
          <cell r="C623">
            <v>2101.02</v>
          </cell>
          <cell r="D623">
            <v>1390.71</v>
          </cell>
        </row>
        <row r="624">
          <cell r="A624">
            <v>39590</v>
          </cell>
          <cell r="B624">
            <v>2208.1999999999998</v>
          </cell>
          <cell r="C624">
            <v>2106.8000000000002</v>
          </cell>
          <cell r="D624">
            <v>1394.35</v>
          </cell>
        </row>
        <row r="625">
          <cell r="A625">
            <v>39591</v>
          </cell>
          <cell r="B625">
            <v>2179.0500000000002</v>
          </cell>
          <cell r="C625">
            <v>2078.98</v>
          </cell>
          <cell r="D625">
            <v>1375.93</v>
          </cell>
        </row>
        <row r="626">
          <cell r="A626">
            <v>39595</v>
          </cell>
          <cell r="B626">
            <v>2193.98</v>
          </cell>
          <cell r="C626">
            <v>2093.2199999999998</v>
          </cell>
          <cell r="D626">
            <v>1385.35</v>
          </cell>
        </row>
        <row r="627">
          <cell r="A627">
            <v>39596</v>
          </cell>
          <cell r="B627">
            <v>2203.1</v>
          </cell>
          <cell r="C627">
            <v>2101.8000000000002</v>
          </cell>
          <cell r="D627">
            <v>1390.84</v>
          </cell>
        </row>
        <row r="628">
          <cell r="A628">
            <v>39597</v>
          </cell>
          <cell r="B628">
            <v>2215.12</v>
          </cell>
          <cell r="C628">
            <v>2113.19</v>
          </cell>
          <cell r="D628">
            <v>1398.26</v>
          </cell>
        </row>
        <row r="629">
          <cell r="A629">
            <v>39598</v>
          </cell>
          <cell r="B629">
            <v>2218.5</v>
          </cell>
          <cell r="C629">
            <v>2116.41</v>
          </cell>
          <cell r="D629">
            <v>1400.38</v>
          </cell>
        </row>
        <row r="630">
          <cell r="A630">
            <v>39601</v>
          </cell>
          <cell r="B630">
            <v>2195.27</v>
          </cell>
          <cell r="C630">
            <v>2094.23</v>
          </cell>
          <cell r="D630">
            <v>1385.67</v>
          </cell>
        </row>
        <row r="631">
          <cell r="A631">
            <v>39602</v>
          </cell>
          <cell r="B631">
            <v>2182.65</v>
          </cell>
          <cell r="C631">
            <v>2082.16</v>
          </cell>
          <cell r="D631">
            <v>1377.65</v>
          </cell>
        </row>
        <row r="632">
          <cell r="A632">
            <v>39603</v>
          </cell>
          <cell r="B632">
            <v>2183.0100000000002</v>
          </cell>
          <cell r="C632">
            <v>2082.1999999999998</v>
          </cell>
          <cell r="D632">
            <v>1377.2</v>
          </cell>
        </row>
        <row r="633">
          <cell r="A633">
            <v>39604</v>
          </cell>
          <cell r="B633">
            <v>2225.7399999999998</v>
          </cell>
          <cell r="C633">
            <v>2122.91</v>
          </cell>
          <cell r="D633">
            <v>1404.05</v>
          </cell>
        </row>
        <row r="634">
          <cell r="A634">
            <v>39605</v>
          </cell>
          <cell r="B634">
            <v>2157.2399999999998</v>
          </cell>
          <cell r="C634">
            <v>2057.5</v>
          </cell>
          <cell r="D634">
            <v>1360.68</v>
          </cell>
        </row>
        <row r="635">
          <cell r="A635">
            <v>39608</v>
          </cell>
          <cell r="B635">
            <v>2159.0300000000002</v>
          </cell>
          <cell r="C635">
            <v>2059.19</v>
          </cell>
          <cell r="D635">
            <v>1361.76</v>
          </cell>
        </row>
        <row r="636">
          <cell r="A636">
            <v>39609</v>
          </cell>
          <cell r="B636">
            <v>2153.77</v>
          </cell>
          <cell r="C636">
            <v>2054.17</v>
          </cell>
          <cell r="D636">
            <v>1358.44</v>
          </cell>
        </row>
        <row r="637">
          <cell r="A637">
            <v>39610</v>
          </cell>
          <cell r="B637">
            <v>2117.84</v>
          </cell>
          <cell r="C637">
            <v>2019.77</v>
          </cell>
          <cell r="D637">
            <v>1335.49</v>
          </cell>
        </row>
        <row r="638">
          <cell r="A638">
            <v>39611</v>
          </cell>
          <cell r="B638">
            <v>2124.94</v>
          </cell>
          <cell r="C638">
            <v>2026.5</v>
          </cell>
          <cell r="D638">
            <v>1339.87</v>
          </cell>
        </row>
        <row r="639">
          <cell r="A639">
            <v>39612</v>
          </cell>
          <cell r="B639">
            <v>2156.96</v>
          </cell>
          <cell r="C639">
            <v>2057.02</v>
          </cell>
          <cell r="D639">
            <v>1360.03</v>
          </cell>
        </row>
        <row r="640">
          <cell r="A640">
            <v>39615</v>
          </cell>
          <cell r="B640">
            <v>2157.14</v>
          </cell>
          <cell r="C640">
            <v>2057.19</v>
          </cell>
          <cell r="D640">
            <v>1360.14</v>
          </cell>
        </row>
        <row r="641">
          <cell r="A641">
            <v>39616</v>
          </cell>
          <cell r="B641">
            <v>2142.5500000000002</v>
          </cell>
          <cell r="C641">
            <v>2043.27</v>
          </cell>
          <cell r="D641">
            <v>1350.93</v>
          </cell>
        </row>
        <row r="642">
          <cell r="A642">
            <v>39617</v>
          </cell>
          <cell r="B642">
            <v>2121.7800000000002</v>
          </cell>
          <cell r="C642">
            <v>2023.45</v>
          </cell>
          <cell r="D642">
            <v>1337.81</v>
          </cell>
        </row>
        <row r="643">
          <cell r="A643">
            <v>39618</v>
          </cell>
          <cell r="B643">
            <v>2130.3000000000002</v>
          </cell>
          <cell r="C643">
            <v>2031.42</v>
          </cell>
          <cell r="D643">
            <v>1342.83</v>
          </cell>
        </row>
        <row r="644">
          <cell r="A644">
            <v>39619</v>
          </cell>
          <cell r="B644">
            <v>2090.81</v>
          </cell>
          <cell r="C644">
            <v>1993.76</v>
          </cell>
          <cell r="D644">
            <v>1317.93</v>
          </cell>
        </row>
        <row r="645">
          <cell r="A645">
            <v>39622</v>
          </cell>
          <cell r="B645">
            <v>2090.94</v>
          </cell>
          <cell r="C645">
            <v>1993.87</v>
          </cell>
          <cell r="D645">
            <v>1318</v>
          </cell>
        </row>
        <row r="646">
          <cell r="A646">
            <v>39623</v>
          </cell>
          <cell r="B646">
            <v>2085.08</v>
          </cell>
          <cell r="C646">
            <v>1988.28</v>
          </cell>
          <cell r="D646">
            <v>1314.29</v>
          </cell>
        </row>
        <row r="647">
          <cell r="A647">
            <v>39624</v>
          </cell>
          <cell r="B647">
            <v>2097.36</v>
          </cell>
          <cell r="C647">
            <v>1999.97</v>
          </cell>
          <cell r="D647">
            <v>1321.97</v>
          </cell>
        </row>
        <row r="648">
          <cell r="A648">
            <v>39625</v>
          </cell>
          <cell r="B648">
            <v>2036.4</v>
          </cell>
          <cell r="C648">
            <v>1941.65</v>
          </cell>
          <cell r="D648">
            <v>1283.1500000000001</v>
          </cell>
        </row>
        <row r="649">
          <cell r="A649">
            <v>39626</v>
          </cell>
          <cell r="B649">
            <v>2028.89</v>
          </cell>
          <cell r="C649">
            <v>1934.47</v>
          </cell>
          <cell r="D649">
            <v>1278.3800000000001</v>
          </cell>
        </row>
        <row r="650">
          <cell r="A650">
            <v>39629</v>
          </cell>
          <cell r="B650">
            <v>2031.47</v>
          </cell>
          <cell r="C650">
            <v>1936.93</v>
          </cell>
          <cell r="D650">
            <v>1280</v>
          </cell>
        </row>
        <row r="651">
          <cell r="A651">
            <v>39630</v>
          </cell>
          <cell r="B651">
            <v>2039.66</v>
          </cell>
          <cell r="C651">
            <v>1944.63</v>
          </cell>
          <cell r="D651">
            <v>1284.9100000000001</v>
          </cell>
        </row>
        <row r="652">
          <cell r="A652">
            <v>39631</v>
          </cell>
          <cell r="B652">
            <v>2002.64</v>
          </cell>
          <cell r="C652">
            <v>1909.3</v>
          </cell>
          <cell r="D652">
            <v>1261.52</v>
          </cell>
        </row>
        <row r="653">
          <cell r="A653">
            <v>39632</v>
          </cell>
          <cell r="B653">
            <v>2004.87</v>
          </cell>
          <cell r="C653">
            <v>1911.41</v>
          </cell>
          <cell r="D653">
            <v>1262.9000000000001</v>
          </cell>
        </row>
        <row r="654">
          <cell r="A654">
            <v>39636</v>
          </cell>
          <cell r="B654">
            <v>1988.09</v>
          </cell>
          <cell r="C654">
            <v>1895.41</v>
          </cell>
          <cell r="D654">
            <v>1252.31</v>
          </cell>
        </row>
        <row r="655">
          <cell r="A655">
            <v>39637</v>
          </cell>
          <cell r="B655">
            <v>2022.83</v>
          </cell>
          <cell r="C655">
            <v>1928.31</v>
          </cell>
          <cell r="D655">
            <v>1273.7</v>
          </cell>
        </row>
        <row r="656">
          <cell r="A656">
            <v>39638</v>
          </cell>
          <cell r="B656">
            <v>1976.97</v>
          </cell>
          <cell r="C656">
            <v>1884.53</v>
          </cell>
          <cell r="D656">
            <v>1244.69</v>
          </cell>
        </row>
        <row r="657">
          <cell r="A657">
            <v>39639</v>
          </cell>
          <cell r="B657">
            <v>1990.78</v>
          </cell>
          <cell r="C657">
            <v>1897.7</v>
          </cell>
          <cell r="D657">
            <v>1253.3900000000001</v>
          </cell>
        </row>
        <row r="658">
          <cell r="A658">
            <v>39640</v>
          </cell>
          <cell r="B658">
            <v>1968.86</v>
          </cell>
          <cell r="C658">
            <v>1876.76</v>
          </cell>
          <cell r="D658">
            <v>1239.49</v>
          </cell>
        </row>
        <row r="659">
          <cell r="A659">
            <v>39643</v>
          </cell>
          <cell r="B659">
            <v>1951.08</v>
          </cell>
          <cell r="C659">
            <v>1859.81</v>
          </cell>
          <cell r="D659">
            <v>1228.3</v>
          </cell>
        </row>
        <row r="660">
          <cell r="A660">
            <v>39644</v>
          </cell>
          <cell r="B660">
            <v>1929.85</v>
          </cell>
          <cell r="C660">
            <v>1839.56</v>
          </cell>
          <cell r="D660">
            <v>1214.9100000000001</v>
          </cell>
        </row>
        <row r="661">
          <cell r="A661">
            <v>39645</v>
          </cell>
          <cell r="B661">
            <v>1978.47</v>
          </cell>
          <cell r="C661">
            <v>1885.84</v>
          </cell>
          <cell r="D661">
            <v>1245.3599999999999</v>
          </cell>
        </row>
        <row r="662">
          <cell r="A662">
            <v>39646</v>
          </cell>
          <cell r="B662">
            <v>2002.3</v>
          </cell>
          <cell r="C662">
            <v>1908.53</v>
          </cell>
          <cell r="D662">
            <v>1260.32</v>
          </cell>
        </row>
        <row r="663">
          <cell r="A663">
            <v>39647</v>
          </cell>
          <cell r="B663">
            <v>2002.88</v>
          </cell>
          <cell r="C663">
            <v>1909.08</v>
          </cell>
          <cell r="D663">
            <v>1260.68</v>
          </cell>
        </row>
        <row r="664">
          <cell r="A664">
            <v>39650</v>
          </cell>
          <cell r="B664">
            <v>2001.86</v>
          </cell>
          <cell r="C664">
            <v>1908.09</v>
          </cell>
          <cell r="D664">
            <v>1260</v>
          </cell>
        </row>
        <row r="665">
          <cell r="A665">
            <v>39651</v>
          </cell>
          <cell r="B665">
            <v>2028.91</v>
          </cell>
          <cell r="C665">
            <v>1933.86</v>
          </cell>
          <cell r="D665">
            <v>1277</v>
          </cell>
        </row>
        <row r="666">
          <cell r="A666">
            <v>39652</v>
          </cell>
          <cell r="B666">
            <v>2037.15</v>
          </cell>
          <cell r="C666">
            <v>1941.72</v>
          </cell>
          <cell r="D666">
            <v>1282.19</v>
          </cell>
        </row>
        <row r="667">
          <cell r="A667">
            <v>39653</v>
          </cell>
          <cell r="B667">
            <v>1990.09</v>
          </cell>
          <cell r="C667">
            <v>1896.85</v>
          </cell>
          <cell r="D667">
            <v>1252.54</v>
          </cell>
        </row>
        <row r="668">
          <cell r="A668">
            <v>39654</v>
          </cell>
          <cell r="B668">
            <v>1998.41</v>
          </cell>
          <cell r="C668">
            <v>1904.77</v>
          </cell>
          <cell r="D668">
            <v>1257.76</v>
          </cell>
        </row>
        <row r="669">
          <cell r="A669">
            <v>39657</v>
          </cell>
          <cell r="B669">
            <v>1961.23</v>
          </cell>
          <cell r="C669">
            <v>1869.34</v>
          </cell>
          <cell r="D669">
            <v>1234.3699999999999</v>
          </cell>
        </row>
        <row r="670">
          <cell r="A670">
            <v>39658</v>
          </cell>
          <cell r="B670">
            <v>2007.21</v>
          </cell>
          <cell r="C670">
            <v>1913.12</v>
          </cell>
          <cell r="D670">
            <v>1263.2</v>
          </cell>
        </row>
        <row r="671">
          <cell r="A671">
            <v>39659</v>
          </cell>
          <cell r="B671">
            <v>2040.81</v>
          </cell>
          <cell r="C671">
            <v>1945.1</v>
          </cell>
          <cell r="D671">
            <v>1284.26</v>
          </cell>
        </row>
        <row r="672">
          <cell r="A672">
            <v>39660</v>
          </cell>
          <cell r="B672">
            <v>2014.39</v>
          </cell>
          <cell r="C672">
            <v>1919.81</v>
          </cell>
          <cell r="D672">
            <v>1267.3800000000001</v>
          </cell>
        </row>
        <row r="673">
          <cell r="A673">
            <v>39661</v>
          </cell>
          <cell r="B673">
            <v>2003.16</v>
          </cell>
          <cell r="C673">
            <v>1909.1</v>
          </cell>
          <cell r="D673">
            <v>1260.31</v>
          </cell>
        </row>
        <row r="674">
          <cell r="A674">
            <v>39664</v>
          </cell>
          <cell r="B674">
            <v>1985.23</v>
          </cell>
          <cell r="C674">
            <v>1892.01</v>
          </cell>
          <cell r="D674">
            <v>1249.01</v>
          </cell>
        </row>
        <row r="675">
          <cell r="A675">
            <v>39665</v>
          </cell>
          <cell r="B675">
            <v>2042.44</v>
          </cell>
          <cell r="C675">
            <v>1946.47</v>
          </cell>
          <cell r="D675">
            <v>1284.8800000000001</v>
          </cell>
        </row>
        <row r="676">
          <cell r="A676">
            <v>39666</v>
          </cell>
          <cell r="B676">
            <v>2050.23</v>
          </cell>
          <cell r="C676">
            <v>1953.62</v>
          </cell>
          <cell r="D676">
            <v>1289.19</v>
          </cell>
        </row>
        <row r="677">
          <cell r="A677">
            <v>39667</v>
          </cell>
          <cell r="B677">
            <v>2013.66</v>
          </cell>
          <cell r="C677">
            <v>1918.72</v>
          </cell>
          <cell r="D677">
            <v>1266.07</v>
          </cell>
        </row>
        <row r="678">
          <cell r="A678">
            <v>39668</v>
          </cell>
          <cell r="B678">
            <v>2061.77</v>
          </cell>
          <cell r="C678">
            <v>1964.57</v>
          </cell>
          <cell r="D678">
            <v>1296.32</v>
          </cell>
        </row>
        <row r="679">
          <cell r="A679">
            <v>39671</v>
          </cell>
          <cell r="B679">
            <v>2076.59</v>
          </cell>
          <cell r="C679">
            <v>1978.54</v>
          </cell>
          <cell r="D679">
            <v>1305.32</v>
          </cell>
        </row>
        <row r="680">
          <cell r="A680">
            <v>39672</v>
          </cell>
          <cell r="B680">
            <v>2051.66</v>
          </cell>
          <cell r="C680">
            <v>1954.76</v>
          </cell>
          <cell r="D680">
            <v>1289.5899999999999</v>
          </cell>
        </row>
        <row r="681">
          <cell r="A681">
            <v>39673</v>
          </cell>
          <cell r="B681">
            <v>2046.35</v>
          </cell>
          <cell r="C681">
            <v>1949.51</v>
          </cell>
          <cell r="D681">
            <v>1285.83</v>
          </cell>
        </row>
        <row r="682">
          <cell r="A682">
            <v>39674</v>
          </cell>
          <cell r="B682">
            <v>2057.7199999999998</v>
          </cell>
          <cell r="C682">
            <v>1960.32</v>
          </cell>
          <cell r="D682">
            <v>1292.93</v>
          </cell>
        </row>
        <row r="683">
          <cell r="A683">
            <v>39675</v>
          </cell>
          <cell r="B683">
            <v>2066.36</v>
          </cell>
          <cell r="C683">
            <v>1968.48</v>
          </cell>
          <cell r="D683">
            <v>1298.2</v>
          </cell>
        </row>
        <row r="684">
          <cell r="A684">
            <v>39678</v>
          </cell>
          <cell r="B684">
            <v>2035.3</v>
          </cell>
          <cell r="C684">
            <v>1938.85</v>
          </cell>
          <cell r="D684">
            <v>1278.5999999999999</v>
          </cell>
        </row>
        <row r="685">
          <cell r="A685">
            <v>39679</v>
          </cell>
          <cell r="B685">
            <v>2016.52</v>
          </cell>
          <cell r="C685">
            <v>1920.91</v>
          </cell>
          <cell r="D685">
            <v>1266.69</v>
          </cell>
        </row>
        <row r="686">
          <cell r="A686">
            <v>39680</v>
          </cell>
          <cell r="B686">
            <v>2029.15</v>
          </cell>
          <cell r="C686">
            <v>1932.91</v>
          </cell>
          <cell r="D686">
            <v>1274.54</v>
          </cell>
        </row>
        <row r="687">
          <cell r="A687">
            <v>39681</v>
          </cell>
          <cell r="B687">
            <v>2034.35</v>
          </cell>
          <cell r="C687">
            <v>1937.82</v>
          </cell>
          <cell r="D687">
            <v>1277.72</v>
          </cell>
        </row>
        <row r="688">
          <cell r="A688">
            <v>39682</v>
          </cell>
          <cell r="B688">
            <v>2057.64</v>
          </cell>
          <cell r="C688">
            <v>1959.93</v>
          </cell>
          <cell r="D688">
            <v>1292.2</v>
          </cell>
        </row>
        <row r="689">
          <cell r="A689">
            <v>39685</v>
          </cell>
          <cell r="B689">
            <v>2017.27</v>
          </cell>
          <cell r="C689">
            <v>1921.48</v>
          </cell>
          <cell r="D689">
            <v>1266.8399999999999</v>
          </cell>
        </row>
        <row r="690">
          <cell r="A690">
            <v>39686</v>
          </cell>
          <cell r="B690">
            <v>2024.72</v>
          </cell>
          <cell r="C690">
            <v>1928.58</v>
          </cell>
          <cell r="D690">
            <v>1271.51</v>
          </cell>
        </row>
        <row r="691">
          <cell r="A691">
            <v>39687</v>
          </cell>
          <cell r="B691">
            <v>2041.24</v>
          </cell>
          <cell r="C691">
            <v>1944.21</v>
          </cell>
          <cell r="D691">
            <v>1281.6600000000001</v>
          </cell>
        </row>
        <row r="692">
          <cell r="A692">
            <v>39688</v>
          </cell>
          <cell r="B692">
            <v>2071.86</v>
          </cell>
          <cell r="C692">
            <v>1973.28</v>
          </cell>
          <cell r="D692">
            <v>1300.68</v>
          </cell>
        </row>
        <row r="693">
          <cell r="A693">
            <v>39689</v>
          </cell>
          <cell r="B693">
            <v>2043.53</v>
          </cell>
          <cell r="C693">
            <v>1946.27</v>
          </cell>
          <cell r="D693">
            <v>1282.83</v>
          </cell>
        </row>
        <row r="694">
          <cell r="A694">
            <v>39693</v>
          </cell>
          <cell r="B694">
            <v>2035.24</v>
          </cell>
          <cell r="C694">
            <v>1938.35</v>
          </cell>
          <cell r="D694">
            <v>1277.58</v>
          </cell>
        </row>
        <row r="695">
          <cell r="A695">
            <v>39694</v>
          </cell>
          <cell r="B695">
            <v>2032.13</v>
          </cell>
          <cell r="C695">
            <v>1935.09</v>
          </cell>
          <cell r="D695">
            <v>1274.98</v>
          </cell>
        </row>
        <row r="696">
          <cell r="A696">
            <v>39695</v>
          </cell>
          <cell r="B696">
            <v>1971.37</v>
          </cell>
          <cell r="C696">
            <v>1877.22</v>
          </cell>
          <cell r="D696">
            <v>1236.83</v>
          </cell>
        </row>
        <row r="697">
          <cell r="A697">
            <v>39696</v>
          </cell>
          <cell r="B697">
            <v>1980.18</v>
          </cell>
          <cell r="C697">
            <v>1885.59</v>
          </cell>
          <cell r="D697">
            <v>1242.31</v>
          </cell>
        </row>
        <row r="698">
          <cell r="A698">
            <v>39699</v>
          </cell>
          <cell r="B698">
            <v>2021.13</v>
          </cell>
          <cell r="C698">
            <v>1924.49</v>
          </cell>
          <cell r="D698">
            <v>1267.79</v>
          </cell>
        </row>
        <row r="699">
          <cell r="A699">
            <v>39700</v>
          </cell>
          <cell r="B699">
            <v>1952.14</v>
          </cell>
          <cell r="C699">
            <v>1858.79</v>
          </cell>
          <cell r="D699">
            <v>1224.51</v>
          </cell>
        </row>
        <row r="700">
          <cell r="A700">
            <v>39701</v>
          </cell>
          <cell r="B700">
            <v>1964.25</v>
          </cell>
          <cell r="C700">
            <v>1870.29</v>
          </cell>
          <cell r="D700">
            <v>1232.04</v>
          </cell>
        </row>
        <row r="701">
          <cell r="A701">
            <v>39702</v>
          </cell>
          <cell r="B701">
            <v>1992</v>
          </cell>
          <cell r="C701">
            <v>1896.54</v>
          </cell>
          <cell r="D701">
            <v>1249.05</v>
          </cell>
        </row>
        <row r="702">
          <cell r="A702">
            <v>39703</v>
          </cell>
          <cell r="B702">
            <v>1996.25</v>
          </cell>
          <cell r="C702">
            <v>1900.58</v>
          </cell>
          <cell r="D702">
            <v>1251.7</v>
          </cell>
        </row>
        <row r="703">
          <cell r="A703">
            <v>39706</v>
          </cell>
          <cell r="B703">
            <v>1902.17</v>
          </cell>
          <cell r="C703">
            <v>1811</v>
          </cell>
          <cell r="D703">
            <v>1192.7</v>
          </cell>
        </row>
        <row r="704">
          <cell r="A704">
            <v>39707</v>
          </cell>
          <cell r="B704">
            <v>1935.49</v>
          </cell>
          <cell r="C704">
            <v>1842.72</v>
          </cell>
          <cell r="D704">
            <v>1213.5899999999999</v>
          </cell>
        </row>
        <row r="705">
          <cell r="A705">
            <v>39708</v>
          </cell>
          <cell r="B705">
            <v>1844.31</v>
          </cell>
          <cell r="C705">
            <v>1755.89</v>
          </cell>
          <cell r="D705">
            <v>1156.3900000000001</v>
          </cell>
        </row>
        <row r="706">
          <cell r="A706">
            <v>39709</v>
          </cell>
          <cell r="B706">
            <v>1924.85</v>
          </cell>
          <cell r="C706">
            <v>1832.41</v>
          </cell>
          <cell r="D706">
            <v>1206.51</v>
          </cell>
        </row>
        <row r="707">
          <cell r="A707">
            <v>39710</v>
          </cell>
          <cell r="B707">
            <v>2002.32</v>
          </cell>
          <cell r="C707">
            <v>1906.16</v>
          </cell>
          <cell r="D707">
            <v>1255.08</v>
          </cell>
        </row>
        <row r="708">
          <cell r="A708">
            <v>39713</v>
          </cell>
          <cell r="B708">
            <v>1925.85</v>
          </cell>
          <cell r="C708">
            <v>1833.34</v>
          </cell>
          <cell r="D708">
            <v>1207.0899999999999</v>
          </cell>
        </row>
        <row r="709">
          <cell r="A709">
            <v>39714</v>
          </cell>
          <cell r="B709">
            <v>1895.78</v>
          </cell>
          <cell r="C709">
            <v>1804.7</v>
          </cell>
          <cell r="D709">
            <v>1188.22</v>
          </cell>
        </row>
        <row r="710">
          <cell r="A710">
            <v>39715</v>
          </cell>
          <cell r="B710">
            <v>1892.05</v>
          </cell>
          <cell r="C710">
            <v>1801.14</v>
          </cell>
          <cell r="D710">
            <v>1185.8699999999999</v>
          </cell>
        </row>
        <row r="711">
          <cell r="A711">
            <v>39716</v>
          </cell>
          <cell r="B711">
            <v>1929.24</v>
          </cell>
          <cell r="C711">
            <v>1836.55</v>
          </cell>
          <cell r="D711">
            <v>1209.18</v>
          </cell>
        </row>
        <row r="712">
          <cell r="A712">
            <v>39717</v>
          </cell>
          <cell r="B712">
            <v>1935.79</v>
          </cell>
          <cell r="C712">
            <v>1842.66</v>
          </cell>
          <cell r="D712">
            <v>1213.01</v>
          </cell>
        </row>
        <row r="713">
          <cell r="A713">
            <v>39720</v>
          </cell>
          <cell r="B713">
            <v>1765.72</v>
          </cell>
          <cell r="C713">
            <v>1680.75</v>
          </cell>
          <cell r="D713">
            <v>1106.3900000000001</v>
          </cell>
        </row>
        <row r="714">
          <cell r="A714">
            <v>39721</v>
          </cell>
          <cell r="B714">
            <v>1861.44</v>
          </cell>
          <cell r="C714">
            <v>1771.86</v>
          </cell>
          <cell r="D714">
            <v>1166.3599999999999</v>
          </cell>
        </row>
        <row r="715">
          <cell r="A715">
            <v>39722</v>
          </cell>
          <cell r="B715">
            <v>1853.26</v>
          </cell>
          <cell r="C715">
            <v>1764</v>
          </cell>
          <cell r="D715">
            <v>1161.06</v>
          </cell>
        </row>
        <row r="716">
          <cell r="A716">
            <v>39723</v>
          </cell>
          <cell r="B716">
            <v>1778.9</v>
          </cell>
          <cell r="C716">
            <v>1693.12</v>
          </cell>
          <cell r="D716">
            <v>1114.28</v>
          </cell>
        </row>
        <row r="717">
          <cell r="A717">
            <v>39724</v>
          </cell>
          <cell r="B717">
            <v>1754.91</v>
          </cell>
          <cell r="C717">
            <v>1670.28</v>
          </cell>
          <cell r="D717">
            <v>1099.23</v>
          </cell>
        </row>
        <row r="718">
          <cell r="A718">
            <v>39727</v>
          </cell>
          <cell r="B718">
            <v>1687.34</v>
          </cell>
          <cell r="C718">
            <v>1605.96</v>
          </cell>
          <cell r="D718">
            <v>1056.8900000000001</v>
          </cell>
        </row>
        <row r="719">
          <cell r="A719">
            <v>39728</v>
          </cell>
          <cell r="B719">
            <v>1590.51</v>
          </cell>
          <cell r="C719">
            <v>1513.8</v>
          </cell>
          <cell r="D719">
            <v>996.23</v>
          </cell>
        </row>
        <row r="720">
          <cell r="A720">
            <v>39729</v>
          </cell>
          <cell r="B720">
            <v>1573.34</v>
          </cell>
          <cell r="C720">
            <v>1497.21</v>
          </cell>
          <cell r="D720">
            <v>984.94</v>
          </cell>
        </row>
        <row r="721">
          <cell r="A721">
            <v>39730</v>
          </cell>
          <cell r="B721">
            <v>1453.52</v>
          </cell>
          <cell r="C721">
            <v>1383.18</v>
          </cell>
          <cell r="D721">
            <v>909.92</v>
          </cell>
        </row>
        <row r="722">
          <cell r="A722">
            <v>39731</v>
          </cell>
          <cell r="B722">
            <v>1436.56</v>
          </cell>
          <cell r="C722">
            <v>1367.01</v>
          </cell>
          <cell r="D722">
            <v>899.22</v>
          </cell>
        </row>
        <row r="723">
          <cell r="A723">
            <v>39734</v>
          </cell>
          <cell r="B723">
            <v>1602.93</v>
          </cell>
          <cell r="C723">
            <v>1525.32</v>
          </cell>
          <cell r="D723">
            <v>1003.35</v>
          </cell>
        </row>
        <row r="724">
          <cell r="A724">
            <v>39735</v>
          </cell>
          <cell r="B724">
            <v>1594.41</v>
          </cell>
          <cell r="C724">
            <v>1517.21</v>
          </cell>
          <cell r="D724">
            <v>998.01</v>
          </cell>
        </row>
        <row r="725">
          <cell r="A725">
            <v>39736</v>
          </cell>
          <cell r="B725">
            <v>1450.5</v>
          </cell>
          <cell r="C725">
            <v>1380.23</v>
          </cell>
          <cell r="D725">
            <v>907.84</v>
          </cell>
        </row>
        <row r="726">
          <cell r="A726">
            <v>39737</v>
          </cell>
          <cell r="B726">
            <v>1512.21</v>
          </cell>
          <cell r="C726">
            <v>1438.93</v>
          </cell>
          <cell r="D726">
            <v>946.43</v>
          </cell>
        </row>
        <row r="727">
          <cell r="A727">
            <v>39738</v>
          </cell>
          <cell r="B727">
            <v>1502.84</v>
          </cell>
          <cell r="C727">
            <v>1430.01</v>
          </cell>
          <cell r="D727">
            <v>940.55</v>
          </cell>
        </row>
        <row r="728">
          <cell r="A728">
            <v>39741</v>
          </cell>
          <cell r="B728">
            <v>1574.5</v>
          </cell>
          <cell r="C728">
            <v>1498.19</v>
          </cell>
          <cell r="D728">
            <v>985.4</v>
          </cell>
        </row>
        <row r="729">
          <cell r="A729">
            <v>39742</v>
          </cell>
          <cell r="B729">
            <v>1526.02</v>
          </cell>
          <cell r="C729">
            <v>1452.06</v>
          </cell>
          <cell r="D729">
            <v>955.05</v>
          </cell>
        </row>
        <row r="730">
          <cell r="A730">
            <v>39743</v>
          </cell>
          <cell r="B730">
            <v>1433.22</v>
          </cell>
          <cell r="C730">
            <v>1363.67</v>
          </cell>
          <cell r="D730">
            <v>896.78</v>
          </cell>
        </row>
        <row r="731">
          <cell r="A731">
            <v>39744</v>
          </cell>
          <cell r="B731">
            <v>1451.37</v>
          </cell>
          <cell r="C731">
            <v>1380.93</v>
          </cell>
          <cell r="D731">
            <v>908.11</v>
          </cell>
        </row>
        <row r="732">
          <cell r="A732">
            <v>39745</v>
          </cell>
          <cell r="B732">
            <v>1401.29</v>
          </cell>
          <cell r="C732">
            <v>1333.28</v>
          </cell>
          <cell r="D732">
            <v>876.77</v>
          </cell>
        </row>
        <row r="733">
          <cell r="A733">
            <v>39748</v>
          </cell>
          <cell r="B733">
            <v>1356.78</v>
          </cell>
          <cell r="C733">
            <v>1290.93</v>
          </cell>
          <cell r="D733">
            <v>848.92</v>
          </cell>
        </row>
        <row r="734">
          <cell r="A734">
            <v>39749</v>
          </cell>
          <cell r="B734">
            <v>1503.16</v>
          </cell>
          <cell r="C734">
            <v>1430.2</v>
          </cell>
          <cell r="D734">
            <v>940.51</v>
          </cell>
        </row>
        <row r="735">
          <cell r="A735">
            <v>39750</v>
          </cell>
          <cell r="B735">
            <v>1486.73</v>
          </cell>
          <cell r="C735">
            <v>1414.5</v>
          </cell>
          <cell r="D735">
            <v>930.09</v>
          </cell>
        </row>
        <row r="736">
          <cell r="A736">
            <v>39751</v>
          </cell>
          <cell r="B736">
            <v>1525.37</v>
          </cell>
          <cell r="C736">
            <v>1451.18</v>
          </cell>
          <cell r="D736">
            <v>954.09</v>
          </cell>
        </row>
        <row r="737">
          <cell r="A737">
            <v>39752</v>
          </cell>
          <cell r="B737">
            <v>1548.81</v>
          </cell>
          <cell r="C737">
            <v>1473.49</v>
          </cell>
          <cell r="D737">
            <v>968.75</v>
          </cell>
        </row>
        <row r="738">
          <cell r="A738">
            <v>39755</v>
          </cell>
          <cell r="B738">
            <v>1544.91</v>
          </cell>
          <cell r="C738">
            <v>1469.78</v>
          </cell>
          <cell r="D738">
            <v>966.3</v>
          </cell>
        </row>
        <row r="739">
          <cell r="A739">
            <v>39756</v>
          </cell>
          <cell r="B739">
            <v>1608</v>
          </cell>
          <cell r="C739">
            <v>1529.79</v>
          </cell>
          <cell r="D739">
            <v>1005.75</v>
          </cell>
        </row>
        <row r="740">
          <cell r="A740">
            <v>39757</v>
          </cell>
          <cell r="B740">
            <v>1524.21</v>
          </cell>
          <cell r="C740">
            <v>1449.82</v>
          </cell>
          <cell r="D740">
            <v>952.77</v>
          </cell>
        </row>
        <row r="741">
          <cell r="A741">
            <v>39758</v>
          </cell>
          <cell r="B741">
            <v>1448.01</v>
          </cell>
          <cell r="C741">
            <v>1377.22</v>
          </cell>
          <cell r="D741">
            <v>904.88</v>
          </cell>
        </row>
        <row r="742">
          <cell r="A742">
            <v>39759</v>
          </cell>
          <cell r="B742">
            <v>1490.31</v>
          </cell>
          <cell r="C742">
            <v>1417.3</v>
          </cell>
          <cell r="D742">
            <v>930.99</v>
          </cell>
        </row>
        <row r="743">
          <cell r="A743">
            <v>39762</v>
          </cell>
          <cell r="B743">
            <v>1471.64</v>
          </cell>
          <cell r="C743">
            <v>1399.49</v>
          </cell>
          <cell r="D743">
            <v>919.21</v>
          </cell>
        </row>
        <row r="744">
          <cell r="A744">
            <v>39763</v>
          </cell>
          <cell r="B744">
            <v>1439.22</v>
          </cell>
          <cell r="C744">
            <v>1368.66</v>
          </cell>
          <cell r="D744">
            <v>898.95</v>
          </cell>
        </row>
        <row r="745">
          <cell r="A745">
            <v>39764</v>
          </cell>
          <cell r="B745">
            <v>1365.15</v>
          </cell>
          <cell r="C745">
            <v>1298.04</v>
          </cell>
          <cell r="D745">
            <v>852.3</v>
          </cell>
        </row>
        <row r="746">
          <cell r="A746">
            <v>39765</v>
          </cell>
          <cell r="B746">
            <v>1459.82</v>
          </cell>
          <cell r="C746">
            <v>1388.01</v>
          </cell>
          <cell r="D746">
            <v>911.29</v>
          </cell>
        </row>
        <row r="747">
          <cell r="A747">
            <v>39766</v>
          </cell>
          <cell r="B747">
            <v>1399.2</v>
          </cell>
          <cell r="C747">
            <v>1330.29</v>
          </cell>
          <cell r="D747">
            <v>873.29</v>
          </cell>
        </row>
        <row r="748">
          <cell r="A748">
            <v>39769</v>
          </cell>
          <cell r="B748">
            <v>1363.14</v>
          </cell>
          <cell r="C748">
            <v>1295.99</v>
          </cell>
          <cell r="D748">
            <v>850.75</v>
          </cell>
        </row>
        <row r="749">
          <cell r="A749">
            <v>39770</v>
          </cell>
          <cell r="B749">
            <v>1376.81</v>
          </cell>
          <cell r="C749">
            <v>1308.92</v>
          </cell>
          <cell r="D749">
            <v>859.12</v>
          </cell>
        </row>
        <row r="750">
          <cell r="A750">
            <v>39771</v>
          </cell>
          <cell r="B750">
            <v>1292.76</v>
          </cell>
          <cell r="C750">
            <v>1228.97</v>
          </cell>
          <cell r="D750">
            <v>806.58</v>
          </cell>
        </row>
        <row r="751">
          <cell r="A751">
            <v>39772</v>
          </cell>
          <cell r="B751">
            <v>1206.04</v>
          </cell>
          <cell r="C751">
            <v>1146.51</v>
          </cell>
          <cell r="D751">
            <v>752.44</v>
          </cell>
        </row>
        <row r="752">
          <cell r="A752">
            <v>39773</v>
          </cell>
          <cell r="B752">
            <v>1282.5899999999999</v>
          </cell>
          <cell r="C752">
            <v>1219.21</v>
          </cell>
          <cell r="D752">
            <v>800.03</v>
          </cell>
        </row>
        <row r="753">
          <cell r="A753">
            <v>39776</v>
          </cell>
          <cell r="B753">
            <v>1365.63</v>
          </cell>
          <cell r="C753">
            <v>1298.1400000000001</v>
          </cell>
          <cell r="D753">
            <v>851.81</v>
          </cell>
        </row>
        <row r="754">
          <cell r="A754">
            <v>39777</v>
          </cell>
          <cell r="B754">
            <v>1374.79</v>
          </cell>
          <cell r="C754">
            <v>1306.78</v>
          </cell>
          <cell r="D754">
            <v>857.39</v>
          </cell>
        </row>
        <row r="755">
          <cell r="A755">
            <v>39778</v>
          </cell>
          <cell r="B755">
            <v>1423.9</v>
          </cell>
          <cell r="C755">
            <v>1353.31</v>
          </cell>
          <cell r="D755">
            <v>887.68</v>
          </cell>
        </row>
        <row r="756">
          <cell r="A756">
            <v>39780</v>
          </cell>
          <cell r="B756">
            <v>1437.68</v>
          </cell>
          <cell r="C756">
            <v>1366.39</v>
          </cell>
          <cell r="D756">
            <v>896.24</v>
          </cell>
        </row>
        <row r="757">
          <cell r="A757">
            <v>39783</v>
          </cell>
          <cell r="B757">
            <v>1309.3900000000001</v>
          </cell>
          <cell r="C757">
            <v>1244.44</v>
          </cell>
          <cell r="D757">
            <v>816.21</v>
          </cell>
        </row>
        <row r="758">
          <cell r="A758">
            <v>39784</v>
          </cell>
          <cell r="B758">
            <v>1361.79</v>
          </cell>
          <cell r="C758">
            <v>1294.21</v>
          </cell>
          <cell r="D758">
            <v>848.81</v>
          </cell>
        </row>
        <row r="759">
          <cell r="A759">
            <v>39785</v>
          </cell>
          <cell r="B759">
            <v>1397.72</v>
          </cell>
          <cell r="C759">
            <v>1328.14</v>
          </cell>
          <cell r="D759">
            <v>870.74</v>
          </cell>
        </row>
        <row r="760">
          <cell r="A760">
            <v>39786</v>
          </cell>
          <cell r="B760">
            <v>1356.81</v>
          </cell>
          <cell r="C760">
            <v>1289.26</v>
          </cell>
          <cell r="D760">
            <v>845.22</v>
          </cell>
        </row>
        <row r="761">
          <cell r="A761">
            <v>39787</v>
          </cell>
          <cell r="B761">
            <v>1406.36</v>
          </cell>
          <cell r="C761">
            <v>1336.33</v>
          </cell>
          <cell r="D761">
            <v>876.07</v>
          </cell>
        </row>
        <row r="762">
          <cell r="A762">
            <v>39790</v>
          </cell>
          <cell r="B762">
            <v>1460.6</v>
          </cell>
          <cell r="C762">
            <v>1387.8</v>
          </cell>
          <cell r="D762">
            <v>909.7</v>
          </cell>
        </row>
        <row r="763">
          <cell r="A763">
            <v>39791</v>
          </cell>
          <cell r="B763">
            <v>1426.88</v>
          </cell>
          <cell r="C763">
            <v>1355.74</v>
          </cell>
          <cell r="D763">
            <v>888.67</v>
          </cell>
        </row>
        <row r="764">
          <cell r="A764">
            <v>39792</v>
          </cell>
          <cell r="B764">
            <v>1444</v>
          </cell>
          <cell r="C764">
            <v>1371.97</v>
          </cell>
          <cell r="D764">
            <v>899.24</v>
          </cell>
        </row>
        <row r="765">
          <cell r="A765">
            <v>39793</v>
          </cell>
          <cell r="B765">
            <v>1403.2</v>
          </cell>
          <cell r="C765">
            <v>1333.09</v>
          </cell>
          <cell r="D765">
            <v>873.59</v>
          </cell>
        </row>
        <row r="766">
          <cell r="A766">
            <v>39794</v>
          </cell>
          <cell r="B766">
            <v>1413.07</v>
          </cell>
          <cell r="C766">
            <v>1342.47</v>
          </cell>
          <cell r="D766">
            <v>879.73</v>
          </cell>
        </row>
        <row r="767">
          <cell r="A767">
            <v>39797</v>
          </cell>
          <cell r="B767">
            <v>1395.21</v>
          </cell>
          <cell r="C767">
            <v>1325.48</v>
          </cell>
          <cell r="D767">
            <v>868.57</v>
          </cell>
        </row>
        <row r="768">
          <cell r="A768">
            <v>39798</v>
          </cell>
          <cell r="B768">
            <v>1466.87</v>
          </cell>
          <cell r="C768">
            <v>1393.56</v>
          </cell>
          <cell r="D768">
            <v>913.18</v>
          </cell>
        </row>
        <row r="769">
          <cell r="A769">
            <v>39799</v>
          </cell>
          <cell r="B769">
            <v>1452.88</v>
          </cell>
          <cell r="C769">
            <v>1380.24</v>
          </cell>
          <cell r="D769">
            <v>904.42</v>
          </cell>
        </row>
        <row r="770">
          <cell r="A770">
            <v>39800</v>
          </cell>
          <cell r="B770">
            <v>1422.19</v>
          </cell>
          <cell r="C770">
            <v>1351.07</v>
          </cell>
          <cell r="D770">
            <v>885.28</v>
          </cell>
        </row>
        <row r="771">
          <cell r="A771">
            <v>39801</v>
          </cell>
          <cell r="B771">
            <v>1426.39</v>
          </cell>
          <cell r="C771">
            <v>1355.06</v>
          </cell>
          <cell r="D771">
            <v>887.88</v>
          </cell>
        </row>
        <row r="772">
          <cell r="A772">
            <v>39804</v>
          </cell>
          <cell r="B772">
            <v>1400.42</v>
          </cell>
          <cell r="C772">
            <v>1330.35</v>
          </cell>
          <cell r="D772">
            <v>871.63</v>
          </cell>
        </row>
        <row r="773">
          <cell r="A773">
            <v>39805</v>
          </cell>
          <cell r="B773">
            <v>1387.08</v>
          </cell>
          <cell r="C773">
            <v>1317.6</v>
          </cell>
          <cell r="D773">
            <v>863.16</v>
          </cell>
        </row>
        <row r="774">
          <cell r="A774">
            <v>39806</v>
          </cell>
          <cell r="B774">
            <v>1395.76</v>
          </cell>
          <cell r="C774">
            <v>1325.65</v>
          </cell>
          <cell r="D774">
            <v>868.15</v>
          </cell>
        </row>
        <row r="775">
          <cell r="A775">
            <v>39808</v>
          </cell>
          <cell r="B775">
            <v>1403.22</v>
          </cell>
          <cell r="C775">
            <v>1332.75</v>
          </cell>
          <cell r="D775">
            <v>872.8</v>
          </cell>
        </row>
        <row r="776">
          <cell r="A776">
            <v>39811</v>
          </cell>
          <cell r="B776">
            <v>1398.25</v>
          </cell>
          <cell r="C776">
            <v>1327.89</v>
          </cell>
          <cell r="D776">
            <v>869.42</v>
          </cell>
        </row>
        <row r="777">
          <cell r="A777">
            <v>39812</v>
          </cell>
          <cell r="B777">
            <v>1432.65</v>
          </cell>
          <cell r="C777">
            <v>1360.48</v>
          </cell>
          <cell r="D777">
            <v>890.64</v>
          </cell>
        </row>
        <row r="778">
          <cell r="A778">
            <v>39813</v>
          </cell>
          <cell r="B778">
            <v>1452.98</v>
          </cell>
          <cell r="C778">
            <v>1379.78</v>
          </cell>
          <cell r="D778">
            <v>903.25</v>
          </cell>
        </row>
        <row r="779">
          <cell r="A779">
            <v>39815</v>
          </cell>
          <cell r="B779">
            <v>1499.17</v>
          </cell>
          <cell r="C779">
            <v>1423.56</v>
          </cell>
          <cell r="D779">
            <v>931.8</v>
          </cell>
        </row>
        <row r="780">
          <cell r="A780">
            <v>39818</v>
          </cell>
          <cell r="B780">
            <v>1492.21</v>
          </cell>
          <cell r="C780">
            <v>1416.94</v>
          </cell>
          <cell r="D780">
            <v>927.45</v>
          </cell>
        </row>
        <row r="781">
          <cell r="A781">
            <v>39819</v>
          </cell>
          <cell r="B781">
            <v>1503.87</v>
          </cell>
          <cell r="C781">
            <v>1428.01</v>
          </cell>
          <cell r="D781">
            <v>934.7</v>
          </cell>
        </row>
        <row r="782">
          <cell r="A782">
            <v>39820</v>
          </cell>
          <cell r="B782">
            <v>1459.58</v>
          </cell>
          <cell r="C782">
            <v>1385.72</v>
          </cell>
          <cell r="D782">
            <v>906.65</v>
          </cell>
        </row>
        <row r="783">
          <cell r="A783">
            <v>39821</v>
          </cell>
          <cell r="B783">
            <v>1464.6</v>
          </cell>
          <cell r="C783">
            <v>1390.47</v>
          </cell>
          <cell r="D783">
            <v>909.73</v>
          </cell>
        </row>
        <row r="784">
          <cell r="A784">
            <v>39822</v>
          </cell>
          <cell r="B784">
            <v>1433.41</v>
          </cell>
          <cell r="C784">
            <v>1360.86</v>
          </cell>
          <cell r="D784">
            <v>890.35</v>
          </cell>
        </row>
        <row r="785">
          <cell r="A785">
            <v>39825</v>
          </cell>
          <cell r="B785">
            <v>1401.07</v>
          </cell>
          <cell r="C785">
            <v>1330.15</v>
          </cell>
          <cell r="D785">
            <v>870.26</v>
          </cell>
        </row>
        <row r="786">
          <cell r="A786">
            <v>39826</v>
          </cell>
          <cell r="B786">
            <v>1403.63</v>
          </cell>
          <cell r="C786">
            <v>1332.55</v>
          </cell>
          <cell r="D786">
            <v>871.79</v>
          </cell>
        </row>
        <row r="787">
          <cell r="A787">
            <v>39827</v>
          </cell>
          <cell r="B787">
            <v>1356.79</v>
          </cell>
          <cell r="C787">
            <v>1288.05</v>
          </cell>
          <cell r="D787">
            <v>842.62</v>
          </cell>
        </row>
        <row r="788">
          <cell r="A788">
            <v>39828</v>
          </cell>
          <cell r="B788">
            <v>1358.64</v>
          </cell>
          <cell r="C788">
            <v>1289.79</v>
          </cell>
          <cell r="D788">
            <v>843.74</v>
          </cell>
        </row>
        <row r="789">
          <cell r="A789">
            <v>39829</v>
          </cell>
          <cell r="B789">
            <v>1368.92</v>
          </cell>
          <cell r="C789">
            <v>1299.55</v>
          </cell>
          <cell r="D789">
            <v>850.12</v>
          </cell>
        </row>
        <row r="790">
          <cell r="A790">
            <v>39833</v>
          </cell>
          <cell r="B790">
            <v>1296.6300000000001</v>
          </cell>
          <cell r="C790">
            <v>1230.92</v>
          </cell>
          <cell r="D790">
            <v>805.22</v>
          </cell>
        </row>
        <row r="791">
          <cell r="A791">
            <v>39834</v>
          </cell>
          <cell r="B791">
            <v>1353.33</v>
          </cell>
          <cell r="C791">
            <v>1284.6600000000001</v>
          </cell>
          <cell r="D791">
            <v>840.24</v>
          </cell>
        </row>
        <row r="792">
          <cell r="A792">
            <v>39835</v>
          </cell>
          <cell r="B792">
            <v>1332.84</v>
          </cell>
          <cell r="C792">
            <v>1265.2</v>
          </cell>
          <cell r="D792">
            <v>827.5</v>
          </cell>
        </row>
        <row r="793">
          <cell r="A793">
            <v>39836</v>
          </cell>
          <cell r="B793">
            <v>1340.02</v>
          </cell>
          <cell r="C793">
            <v>1272.01</v>
          </cell>
          <cell r="D793">
            <v>831.95</v>
          </cell>
        </row>
        <row r="794">
          <cell r="A794">
            <v>39839</v>
          </cell>
          <cell r="B794">
            <v>1347.47</v>
          </cell>
          <cell r="C794">
            <v>1279.08</v>
          </cell>
          <cell r="D794">
            <v>836.57</v>
          </cell>
        </row>
        <row r="795">
          <cell r="A795">
            <v>39840</v>
          </cell>
          <cell r="B795">
            <v>1362.18</v>
          </cell>
          <cell r="C795">
            <v>1293.05</v>
          </cell>
          <cell r="D795">
            <v>845.71</v>
          </cell>
        </row>
        <row r="796">
          <cell r="A796">
            <v>39841</v>
          </cell>
          <cell r="B796">
            <v>1408.07</v>
          </cell>
          <cell r="C796">
            <v>1336.56</v>
          </cell>
          <cell r="D796">
            <v>874.09</v>
          </cell>
        </row>
        <row r="797">
          <cell r="A797">
            <v>39842</v>
          </cell>
          <cell r="B797">
            <v>1361.54</v>
          </cell>
          <cell r="C797">
            <v>1292.3599999999999</v>
          </cell>
          <cell r="D797">
            <v>845.14</v>
          </cell>
        </row>
        <row r="798">
          <cell r="A798">
            <v>39843</v>
          </cell>
          <cell r="B798">
            <v>1330.51</v>
          </cell>
          <cell r="C798">
            <v>1262.9100000000001</v>
          </cell>
          <cell r="D798">
            <v>825.88</v>
          </cell>
        </row>
        <row r="799">
          <cell r="A799">
            <v>39846</v>
          </cell>
          <cell r="B799">
            <v>1329.81</v>
          </cell>
          <cell r="C799">
            <v>1262.24</v>
          </cell>
          <cell r="D799">
            <v>825.44</v>
          </cell>
        </row>
        <row r="800">
          <cell r="A800">
            <v>39847</v>
          </cell>
          <cell r="B800">
            <v>1350.88</v>
          </cell>
          <cell r="C800">
            <v>1282.24</v>
          </cell>
          <cell r="D800">
            <v>838.51</v>
          </cell>
        </row>
        <row r="801">
          <cell r="A801">
            <v>39848</v>
          </cell>
          <cell r="B801">
            <v>1341.77</v>
          </cell>
          <cell r="C801">
            <v>1273.3</v>
          </cell>
          <cell r="D801">
            <v>832.23</v>
          </cell>
        </row>
        <row r="802">
          <cell r="A802">
            <v>39849</v>
          </cell>
          <cell r="B802">
            <v>1363.82</v>
          </cell>
          <cell r="C802">
            <v>1294.2</v>
          </cell>
          <cell r="D802">
            <v>845.85</v>
          </cell>
        </row>
        <row r="803">
          <cell r="A803">
            <v>39850</v>
          </cell>
          <cell r="B803">
            <v>1401.06</v>
          </cell>
          <cell r="C803">
            <v>1329.39</v>
          </cell>
          <cell r="D803">
            <v>868.6</v>
          </cell>
        </row>
        <row r="804">
          <cell r="A804">
            <v>39853</v>
          </cell>
          <cell r="B804">
            <v>1403.19</v>
          </cell>
          <cell r="C804">
            <v>1331.39</v>
          </cell>
          <cell r="D804">
            <v>869.89</v>
          </cell>
        </row>
        <row r="805">
          <cell r="A805">
            <v>39854</v>
          </cell>
          <cell r="B805">
            <v>1334.3</v>
          </cell>
          <cell r="C805">
            <v>1266.02</v>
          </cell>
          <cell r="D805">
            <v>827.16</v>
          </cell>
        </row>
        <row r="806">
          <cell r="A806">
            <v>39855</v>
          </cell>
          <cell r="B806">
            <v>1345.5</v>
          </cell>
          <cell r="C806">
            <v>1276.47</v>
          </cell>
          <cell r="D806">
            <v>833.74</v>
          </cell>
        </row>
        <row r="807">
          <cell r="A807">
            <v>39856</v>
          </cell>
          <cell r="B807">
            <v>1348.15</v>
          </cell>
          <cell r="C807">
            <v>1278.9000000000001</v>
          </cell>
          <cell r="D807">
            <v>835.19</v>
          </cell>
        </row>
        <row r="808">
          <cell r="A808">
            <v>39857</v>
          </cell>
          <cell r="B808">
            <v>1334.83</v>
          </cell>
          <cell r="C808">
            <v>1266.22</v>
          </cell>
          <cell r="D808">
            <v>826.84</v>
          </cell>
        </row>
        <row r="809">
          <cell r="A809">
            <v>39861</v>
          </cell>
          <cell r="B809">
            <v>1274.26</v>
          </cell>
          <cell r="C809">
            <v>1208.69</v>
          </cell>
          <cell r="D809">
            <v>789.17</v>
          </cell>
        </row>
        <row r="810">
          <cell r="A810">
            <v>39862</v>
          </cell>
          <cell r="B810">
            <v>1273.29</v>
          </cell>
          <cell r="C810">
            <v>1207.71</v>
          </cell>
          <cell r="D810">
            <v>788.42</v>
          </cell>
        </row>
        <row r="811">
          <cell r="A811">
            <v>39863</v>
          </cell>
          <cell r="B811">
            <v>1258.82</v>
          </cell>
          <cell r="C811">
            <v>1193.74</v>
          </cell>
          <cell r="D811">
            <v>778.94</v>
          </cell>
        </row>
        <row r="812">
          <cell r="A812">
            <v>39864</v>
          </cell>
          <cell r="B812">
            <v>1244.72</v>
          </cell>
          <cell r="C812">
            <v>1180.29</v>
          </cell>
          <cell r="D812">
            <v>770.05</v>
          </cell>
        </row>
        <row r="813">
          <cell r="A813">
            <v>39867</v>
          </cell>
          <cell r="B813">
            <v>1201.56</v>
          </cell>
          <cell r="C813">
            <v>1139.3599999999999</v>
          </cell>
          <cell r="D813">
            <v>743.33</v>
          </cell>
        </row>
        <row r="814">
          <cell r="A814">
            <v>39868</v>
          </cell>
          <cell r="B814">
            <v>1249.76</v>
          </cell>
          <cell r="C814">
            <v>1185.06</v>
          </cell>
          <cell r="D814">
            <v>773.14</v>
          </cell>
        </row>
        <row r="815">
          <cell r="A815">
            <v>39869</v>
          </cell>
          <cell r="B815">
            <v>1236.74</v>
          </cell>
          <cell r="C815">
            <v>1172.6300000000001</v>
          </cell>
          <cell r="D815">
            <v>764.9</v>
          </cell>
        </row>
        <row r="816">
          <cell r="A816">
            <v>39870</v>
          </cell>
          <cell r="B816">
            <v>1217.49</v>
          </cell>
          <cell r="C816">
            <v>1154.3</v>
          </cell>
          <cell r="D816">
            <v>752.83</v>
          </cell>
        </row>
        <row r="817">
          <cell r="A817">
            <v>39871</v>
          </cell>
          <cell r="B817">
            <v>1188.8399999999999</v>
          </cell>
          <cell r="C817">
            <v>1127.1300000000001</v>
          </cell>
          <cell r="D817">
            <v>735.09</v>
          </cell>
        </row>
        <row r="818">
          <cell r="A818">
            <v>39874</v>
          </cell>
          <cell r="B818">
            <v>1133.43</v>
          </cell>
          <cell r="C818">
            <v>1074.5899999999999</v>
          </cell>
          <cell r="D818">
            <v>700.82</v>
          </cell>
        </row>
        <row r="819">
          <cell r="A819">
            <v>39875</v>
          </cell>
          <cell r="B819">
            <v>1126.18</v>
          </cell>
          <cell r="C819">
            <v>1067.71</v>
          </cell>
          <cell r="D819">
            <v>696.33</v>
          </cell>
        </row>
        <row r="820">
          <cell r="A820">
            <v>39876</v>
          </cell>
          <cell r="B820">
            <v>1153.3499999999999</v>
          </cell>
          <cell r="C820">
            <v>1093.3499999999999</v>
          </cell>
          <cell r="D820">
            <v>712.87</v>
          </cell>
        </row>
        <row r="821">
          <cell r="A821">
            <v>39877</v>
          </cell>
          <cell r="B821">
            <v>1104.3800000000001</v>
          </cell>
          <cell r="C821">
            <v>1046.9100000000001</v>
          </cell>
          <cell r="D821">
            <v>682.55</v>
          </cell>
        </row>
        <row r="822">
          <cell r="A822">
            <v>39878</v>
          </cell>
          <cell r="B822">
            <v>1106</v>
          </cell>
          <cell r="C822">
            <v>1048.3599999999999</v>
          </cell>
          <cell r="D822">
            <v>683.38</v>
          </cell>
        </row>
        <row r="823">
          <cell r="A823">
            <v>39881</v>
          </cell>
          <cell r="B823">
            <v>1095.04</v>
          </cell>
          <cell r="C823">
            <v>1037.94</v>
          </cell>
          <cell r="D823">
            <v>676.53</v>
          </cell>
        </row>
        <row r="824">
          <cell r="A824">
            <v>39882</v>
          </cell>
          <cell r="B824">
            <v>1164.83</v>
          </cell>
          <cell r="C824">
            <v>1104.07</v>
          </cell>
          <cell r="D824">
            <v>719.6</v>
          </cell>
        </row>
        <row r="825">
          <cell r="A825">
            <v>39883</v>
          </cell>
          <cell r="B825">
            <v>1168.07</v>
          </cell>
          <cell r="C825">
            <v>1107.03</v>
          </cell>
          <cell r="D825">
            <v>721.36</v>
          </cell>
        </row>
        <row r="826">
          <cell r="A826">
            <v>39884</v>
          </cell>
          <cell r="B826">
            <v>1215.8699999999999</v>
          </cell>
          <cell r="C826">
            <v>1152.27</v>
          </cell>
          <cell r="D826">
            <v>750.74</v>
          </cell>
        </row>
        <row r="827">
          <cell r="A827">
            <v>39885</v>
          </cell>
          <cell r="B827">
            <v>1225.32</v>
          </cell>
          <cell r="C827">
            <v>1161.21</v>
          </cell>
          <cell r="D827">
            <v>756.55</v>
          </cell>
        </row>
        <row r="828">
          <cell r="A828">
            <v>39888</v>
          </cell>
          <cell r="B828">
            <v>1221.03</v>
          </cell>
          <cell r="C828">
            <v>1157.1400000000001</v>
          </cell>
          <cell r="D828">
            <v>753.89</v>
          </cell>
        </row>
        <row r="829">
          <cell r="A829">
            <v>39889</v>
          </cell>
          <cell r="B829">
            <v>1260.29</v>
          </cell>
          <cell r="C829">
            <v>1194.3399999999999</v>
          </cell>
          <cell r="D829">
            <v>778.12</v>
          </cell>
        </row>
        <row r="830">
          <cell r="A830">
            <v>39890</v>
          </cell>
          <cell r="B830">
            <v>1286.6199999999999</v>
          </cell>
          <cell r="C830">
            <v>1219.28</v>
          </cell>
          <cell r="D830">
            <v>794.35</v>
          </cell>
        </row>
        <row r="831">
          <cell r="A831">
            <v>39891</v>
          </cell>
          <cell r="B831">
            <v>1269.93</v>
          </cell>
          <cell r="C831">
            <v>1203.46</v>
          </cell>
          <cell r="D831">
            <v>784.04</v>
          </cell>
        </row>
        <row r="832">
          <cell r="A832">
            <v>39892</v>
          </cell>
          <cell r="B832">
            <v>1244.8499999999999</v>
          </cell>
          <cell r="C832">
            <v>1179.69</v>
          </cell>
          <cell r="D832">
            <v>768.54</v>
          </cell>
        </row>
        <row r="833">
          <cell r="A833">
            <v>39895</v>
          </cell>
          <cell r="B833">
            <v>1333.21</v>
          </cell>
          <cell r="C833">
            <v>1263.3399999999999</v>
          </cell>
          <cell r="D833">
            <v>822.92</v>
          </cell>
        </row>
        <row r="834">
          <cell r="A834">
            <v>39896</v>
          </cell>
          <cell r="B834">
            <v>1306.03</v>
          </cell>
          <cell r="C834">
            <v>1237.58</v>
          </cell>
          <cell r="D834">
            <v>806.12</v>
          </cell>
        </row>
        <row r="835">
          <cell r="A835">
            <v>39897</v>
          </cell>
          <cell r="B835">
            <v>1318.61</v>
          </cell>
          <cell r="C835">
            <v>1249.49</v>
          </cell>
          <cell r="D835">
            <v>813.88</v>
          </cell>
        </row>
        <row r="836">
          <cell r="A836">
            <v>39898</v>
          </cell>
          <cell r="B836">
            <v>1349.37</v>
          </cell>
          <cell r="C836">
            <v>1278.6400000000001</v>
          </cell>
          <cell r="D836">
            <v>832.86</v>
          </cell>
        </row>
        <row r="837">
          <cell r="A837">
            <v>39899</v>
          </cell>
          <cell r="B837">
            <v>1322.19</v>
          </cell>
          <cell r="C837">
            <v>1252.81</v>
          </cell>
          <cell r="D837">
            <v>815.94</v>
          </cell>
        </row>
        <row r="838">
          <cell r="A838">
            <v>39902</v>
          </cell>
          <cell r="B838">
            <v>1276.22</v>
          </cell>
          <cell r="C838">
            <v>1209.25</v>
          </cell>
          <cell r="D838">
            <v>787.53</v>
          </cell>
        </row>
        <row r="839">
          <cell r="A839">
            <v>39903</v>
          </cell>
          <cell r="B839">
            <v>1292.98</v>
          </cell>
          <cell r="C839">
            <v>1225.1199999999999</v>
          </cell>
          <cell r="D839">
            <v>797.87</v>
          </cell>
        </row>
        <row r="840">
          <cell r="A840">
            <v>39904</v>
          </cell>
          <cell r="B840">
            <v>1314.63</v>
          </cell>
          <cell r="C840">
            <v>1245.56</v>
          </cell>
          <cell r="D840">
            <v>811.08</v>
          </cell>
        </row>
        <row r="841">
          <cell r="A841">
            <v>39905</v>
          </cell>
          <cell r="B841">
            <v>1352.47</v>
          </cell>
          <cell r="C841">
            <v>1281.4000000000001</v>
          </cell>
          <cell r="D841">
            <v>834.38</v>
          </cell>
        </row>
        <row r="842">
          <cell r="A842">
            <v>39906</v>
          </cell>
          <cell r="B842">
            <v>1365.66</v>
          </cell>
          <cell r="C842">
            <v>1293.8900000000001</v>
          </cell>
          <cell r="D842">
            <v>842.5</v>
          </cell>
        </row>
        <row r="843">
          <cell r="A843">
            <v>39909</v>
          </cell>
          <cell r="B843">
            <v>1354.36</v>
          </cell>
          <cell r="C843">
            <v>1283.1600000000001</v>
          </cell>
          <cell r="D843">
            <v>835.48</v>
          </cell>
        </row>
        <row r="844">
          <cell r="A844">
            <v>39910</v>
          </cell>
          <cell r="B844">
            <v>1322.91</v>
          </cell>
          <cell r="C844">
            <v>1253.1199999999999</v>
          </cell>
          <cell r="D844">
            <v>815.55</v>
          </cell>
        </row>
        <row r="845">
          <cell r="A845">
            <v>39911</v>
          </cell>
          <cell r="B845">
            <v>1338.53</v>
          </cell>
          <cell r="C845">
            <v>1267.9000000000001</v>
          </cell>
          <cell r="D845">
            <v>825.16</v>
          </cell>
        </row>
        <row r="846">
          <cell r="A846">
            <v>39912</v>
          </cell>
          <cell r="B846">
            <v>1389.49</v>
          </cell>
          <cell r="C846">
            <v>1316.16</v>
          </cell>
          <cell r="D846">
            <v>856.56</v>
          </cell>
        </row>
        <row r="847">
          <cell r="A847">
            <v>39916</v>
          </cell>
          <cell r="B847">
            <v>1393.13</v>
          </cell>
          <cell r="C847">
            <v>1319.58</v>
          </cell>
          <cell r="D847">
            <v>858.73</v>
          </cell>
        </row>
        <row r="848">
          <cell r="A848">
            <v>39917</v>
          </cell>
          <cell r="B848">
            <v>1365.2</v>
          </cell>
          <cell r="C848">
            <v>1293.1199999999999</v>
          </cell>
          <cell r="D848">
            <v>841.5</v>
          </cell>
        </row>
        <row r="849">
          <cell r="A849">
            <v>39918</v>
          </cell>
          <cell r="B849">
            <v>1382.36</v>
          </cell>
          <cell r="C849">
            <v>1309.3599999999999</v>
          </cell>
          <cell r="D849">
            <v>852.06</v>
          </cell>
        </row>
        <row r="850">
          <cell r="A850">
            <v>39919</v>
          </cell>
          <cell r="B850">
            <v>1403.89</v>
          </cell>
          <cell r="C850">
            <v>1329.74</v>
          </cell>
          <cell r="D850">
            <v>865.3</v>
          </cell>
        </row>
        <row r="851">
          <cell r="A851">
            <v>39920</v>
          </cell>
          <cell r="B851">
            <v>1410.85</v>
          </cell>
          <cell r="C851">
            <v>1336.34</v>
          </cell>
          <cell r="D851">
            <v>869.6</v>
          </cell>
        </row>
        <row r="852">
          <cell r="A852">
            <v>39923</v>
          </cell>
          <cell r="B852">
            <v>1350.52</v>
          </cell>
          <cell r="C852">
            <v>1279.19</v>
          </cell>
          <cell r="D852">
            <v>832.39</v>
          </cell>
        </row>
        <row r="853">
          <cell r="A853">
            <v>39924</v>
          </cell>
          <cell r="B853">
            <v>1379.22</v>
          </cell>
          <cell r="C853">
            <v>1306.3699999999999</v>
          </cell>
          <cell r="D853">
            <v>850.08</v>
          </cell>
        </row>
        <row r="854">
          <cell r="A854">
            <v>39925</v>
          </cell>
          <cell r="B854">
            <v>1368.92</v>
          </cell>
          <cell r="C854">
            <v>1296.53</v>
          </cell>
          <cell r="D854">
            <v>843.55</v>
          </cell>
        </row>
        <row r="855">
          <cell r="A855">
            <v>39926</v>
          </cell>
          <cell r="B855">
            <v>1382.52</v>
          </cell>
          <cell r="C855">
            <v>1309.4100000000001</v>
          </cell>
          <cell r="D855">
            <v>851.92</v>
          </cell>
        </row>
        <row r="856">
          <cell r="A856">
            <v>39927</v>
          </cell>
          <cell r="B856">
            <v>1405.74</v>
          </cell>
          <cell r="C856">
            <v>1331.4</v>
          </cell>
          <cell r="D856">
            <v>866.23</v>
          </cell>
        </row>
        <row r="857">
          <cell r="A857">
            <v>39930</v>
          </cell>
          <cell r="B857">
            <v>1391.58</v>
          </cell>
          <cell r="C857">
            <v>1317.99</v>
          </cell>
          <cell r="D857">
            <v>857.51</v>
          </cell>
        </row>
        <row r="858">
          <cell r="A858">
            <v>39931</v>
          </cell>
          <cell r="B858">
            <v>1387.82</v>
          </cell>
          <cell r="C858">
            <v>1314.42</v>
          </cell>
          <cell r="D858">
            <v>855.16</v>
          </cell>
        </row>
        <row r="859">
          <cell r="A859">
            <v>39932</v>
          </cell>
          <cell r="B859">
            <v>1417.99</v>
          </cell>
          <cell r="C859">
            <v>1342.94</v>
          </cell>
          <cell r="D859">
            <v>873.64</v>
          </cell>
        </row>
        <row r="860">
          <cell r="A860">
            <v>39933</v>
          </cell>
          <cell r="B860">
            <v>1416.73</v>
          </cell>
          <cell r="C860">
            <v>1341.72</v>
          </cell>
          <cell r="D860">
            <v>872.81</v>
          </cell>
        </row>
        <row r="861">
          <cell r="A861">
            <v>39934</v>
          </cell>
          <cell r="B861">
            <v>1424.41</v>
          </cell>
          <cell r="C861">
            <v>1348.98</v>
          </cell>
          <cell r="D861">
            <v>877.52</v>
          </cell>
        </row>
        <row r="862">
          <cell r="A862">
            <v>39937</v>
          </cell>
          <cell r="B862">
            <v>1472.64</v>
          </cell>
          <cell r="C862">
            <v>1394.66</v>
          </cell>
          <cell r="D862">
            <v>907.24</v>
          </cell>
        </row>
        <row r="863">
          <cell r="A863">
            <v>39938</v>
          </cell>
          <cell r="B863">
            <v>1467.25</v>
          </cell>
          <cell r="C863">
            <v>1389.5</v>
          </cell>
          <cell r="D863">
            <v>903.8</v>
          </cell>
        </row>
        <row r="864">
          <cell r="A864">
            <v>39939</v>
          </cell>
          <cell r="B864">
            <v>1493.31</v>
          </cell>
          <cell r="C864">
            <v>1414.03</v>
          </cell>
          <cell r="D864">
            <v>919.53</v>
          </cell>
        </row>
        <row r="865">
          <cell r="A865">
            <v>39940</v>
          </cell>
          <cell r="B865">
            <v>1473.66</v>
          </cell>
          <cell r="C865">
            <v>1395.41</v>
          </cell>
          <cell r="D865">
            <v>907.39</v>
          </cell>
        </row>
        <row r="866">
          <cell r="A866">
            <v>39941</v>
          </cell>
          <cell r="B866">
            <v>1509.14</v>
          </cell>
          <cell r="C866">
            <v>1429</v>
          </cell>
          <cell r="D866">
            <v>929.23</v>
          </cell>
        </row>
        <row r="867">
          <cell r="A867">
            <v>39944</v>
          </cell>
          <cell r="B867">
            <v>1477.2</v>
          </cell>
          <cell r="C867">
            <v>1398.61</v>
          </cell>
          <cell r="D867">
            <v>909.24</v>
          </cell>
        </row>
        <row r="868">
          <cell r="A868">
            <v>39945</v>
          </cell>
          <cell r="B868">
            <v>1475.83</v>
          </cell>
          <cell r="C868">
            <v>1397.28</v>
          </cell>
          <cell r="D868">
            <v>908.35</v>
          </cell>
        </row>
        <row r="869">
          <cell r="A869">
            <v>39946</v>
          </cell>
          <cell r="B869">
            <v>1436.74</v>
          </cell>
          <cell r="C869">
            <v>1360.11</v>
          </cell>
          <cell r="D869">
            <v>883.92</v>
          </cell>
        </row>
        <row r="870">
          <cell r="A870">
            <v>39947</v>
          </cell>
          <cell r="B870">
            <v>1451.79</v>
          </cell>
          <cell r="C870">
            <v>1374.3</v>
          </cell>
          <cell r="D870">
            <v>893.07</v>
          </cell>
        </row>
        <row r="871">
          <cell r="A871">
            <v>39948</v>
          </cell>
          <cell r="B871">
            <v>1435.48</v>
          </cell>
          <cell r="C871">
            <v>1358.79</v>
          </cell>
          <cell r="D871">
            <v>882.88</v>
          </cell>
        </row>
        <row r="872">
          <cell r="A872">
            <v>39951</v>
          </cell>
          <cell r="B872">
            <v>1479.24</v>
          </cell>
          <cell r="C872">
            <v>1400.18</v>
          </cell>
          <cell r="D872">
            <v>909.71</v>
          </cell>
        </row>
        <row r="873">
          <cell r="A873">
            <v>39952</v>
          </cell>
          <cell r="B873">
            <v>1476.94</v>
          </cell>
          <cell r="C873">
            <v>1397.92</v>
          </cell>
          <cell r="D873">
            <v>908.13</v>
          </cell>
        </row>
        <row r="874">
          <cell r="A874">
            <v>39953</v>
          </cell>
          <cell r="B874">
            <v>1469.47</v>
          </cell>
          <cell r="C874">
            <v>1390.82</v>
          </cell>
          <cell r="D874">
            <v>903.47</v>
          </cell>
        </row>
        <row r="875">
          <cell r="A875">
            <v>39954</v>
          </cell>
          <cell r="B875">
            <v>1445.28</v>
          </cell>
          <cell r="C875">
            <v>1367.8</v>
          </cell>
          <cell r="D875">
            <v>888.33</v>
          </cell>
        </row>
        <row r="876">
          <cell r="A876">
            <v>39955</v>
          </cell>
          <cell r="B876">
            <v>1443.14</v>
          </cell>
          <cell r="C876">
            <v>1365.77</v>
          </cell>
          <cell r="D876">
            <v>887</v>
          </cell>
        </row>
        <row r="877">
          <cell r="A877">
            <v>39959</v>
          </cell>
          <cell r="B877">
            <v>1481.1</v>
          </cell>
          <cell r="C877">
            <v>1401.7</v>
          </cell>
          <cell r="D877">
            <v>910.33</v>
          </cell>
        </row>
        <row r="878">
          <cell r="A878">
            <v>39960</v>
          </cell>
          <cell r="B878">
            <v>1453.28</v>
          </cell>
          <cell r="C878">
            <v>1375.29</v>
          </cell>
          <cell r="D878">
            <v>893.06</v>
          </cell>
        </row>
        <row r="879">
          <cell r="A879">
            <v>39961</v>
          </cell>
          <cell r="B879">
            <v>1475.94</v>
          </cell>
          <cell r="C879">
            <v>1396.66</v>
          </cell>
          <cell r="D879">
            <v>906.83</v>
          </cell>
        </row>
        <row r="880">
          <cell r="A880">
            <v>39962</v>
          </cell>
          <cell r="B880">
            <v>1495.97</v>
          </cell>
          <cell r="C880">
            <v>1415.61</v>
          </cell>
          <cell r="D880">
            <v>919.14</v>
          </cell>
        </row>
        <row r="881">
          <cell r="A881">
            <v>39965</v>
          </cell>
          <cell r="B881">
            <v>1534.65</v>
          </cell>
          <cell r="C881">
            <v>1452.2</v>
          </cell>
          <cell r="D881">
            <v>942.87</v>
          </cell>
        </row>
        <row r="882">
          <cell r="A882">
            <v>39966</v>
          </cell>
          <cell r="B882">
            <v>1537.69</v>
          </cell>
          <cell r="C882">
            <v>1455.08</v>
          </cell>
          <cell r="D882">
            <v>944.74</v>
          </cell>
        </row>
        <row r="883">
          <cell r="A883">
            <v>39967</v>
          </cell>
          <cell r="B883">
            <v>1516.88</v>
          </cell>
          <cell r="C883">
            <v>1435.3</v>
          </cell>
          <cell r="D883">
            <v>931.76</v>
          </cell>
        </row>
        <row r="884">
          <cell r="A884">
            <v>39968</v>
          </cell>
          <cell r="B884">
            <v>1534.59</v>
          </cell>
          <cell r="C884">
            <v>1451.97</v>
          </cell>
          <cell r="D884">
            <v>942.46</v>
          </cell>
        </row>
        <row r="885">
          <cell r="A885">
            <v>39969</v>
          </cell>
          <cell r="B885">
            <v>1530.82</v>
          </cell>
          <cell r="C885">
            <v>1448.38</v>
          </cell>
          <cell r="D885">
            <v>940.09</v>
          </cell>
        </row>
        <row r="886">
          <cell r="A886">
            <v>39972</v>
          </cell>
          <cell r="B886">
            <v>1529.59</v>
          </cell>
          <cell r="C886">
            <v>1447.12</v>
          </cell>
          <cell r="D886">
            <v>939.14</v>
          </cell>
        </row>
        <row r="887">
          <cell r="A887">
            <v>39973</v>
          </cell>
          <cell r="B887">
            <v>1535.03</v>
          </cell>
          <cell r="C887">
            <v>1452.25</v>
          </cell>
          <cell r="D887">
            <v>942.43</v>
          </cell>
        </row>
        <row r="888">
          <cell r="A888">
            <v>39974</v>
          </cell>
          <cell r="B888">
            <v>1529.76</v>
          </cell>
          <cell r="C888">
            <v>1447.24</v>
          </cell>
          <cell r="D888">
            <v>939.15</v>
          </cell>
        </row>
        <row r="889">
          <cell r="A889">
            <v>39975</v>
          </cell>
          <cell r="B889">
            <v>1539.5</v>
          </cell>
          <cell r="C889">
            <v>1456.35</v>
          </cell>
          <cell r="D889">
            <v>944.89</v>
          </cell>
        </row>
        <row r="890">
          <cell r="A890">
            <v>39976</v>
          </cell>
          <cell r="B890">
            <v>1541.7</v>
          </cell>
          <cell r="C890">
            <v>1458.41</v>
          </cell>
          <cell r="D890">
            <v>946.21</v>
          </cell>
        </row>
        <row r="891">
          <cell r="A891">
            <v>39979</v>
          </cell>
          <cell r="B891">
            <v>1505.06</v>
          </cell>
          <cell r="C891">
            <v>1423.75</v>
          </cell>
          <cell r="D891">
            <v>923.72</v>
          </cell>
        </row>
        <row r="892">
          <cell r="A892">
            <v>39980</v>
          </cell>
          <cell r="B892">
            <v>1485.92</v>
          </cell>
          <cell r="C892">
            <v>1405.64</v>
          </cell>
          <cell r="D892">
            <v>911.97</v>
          </cell>
        </row>
        <row r="893">
          <cell r="A893">
            <v>39981</v>
          </cell>
          <cell r="B893">
            <v>1483.9</v>
          </cell>
          <cell r="C893">
            <v>1403.72</v>
          </cell>
          <cell r="D893">
            <v>910.71</v>
          </cell>
        </row>
        <row r="894">
          <cell r="A894">
            <v>39982</v>
          </cell>
          <cell r="B894">
            <v>1496.59</v>
          </cell>
          <cell r="C894">
            <v>1415.67</v>
          </cell>
          <cell r="D894">
            <v>918.37</v>
          </cell>
        </row>
        <row r="895">
          <cell r="A895">
            <v>39983</v>
          </cell>
          <cell r="B895">
            <v>1501.25</v>
          </cell>
          <cell r="C895">
            <v>1420.07</v>
          </cell>
          <cell r="D895">
            <v>921.23</v>
          </cell>
        </row>
        <row r="896">
          <cell r="A896">
            <v>39986</v>
          </cell>
          <cell r="B896">
            <v>1455.54</v>
          </cell>
          <cell r="C896">
            <v>1376.78</v>
          </cell>
          <cell r="D896">
            <v>893.04</v>
          </cell>
        </row>
        <row r="897">
          <cell r="A897">
            <v>39987</v>
          </cell>
          <cell r="B897">
            <v>1458.92</v>
          </cell>
          <cell r="C897">
            <v>1379.96</v>
          </cell>
          <cell r="D897">
            <v>895.1</v>
          </cell>
        </row>
        <row r="898">
          <cell r="A898">
            <v>39988</v>
          </cell>
          <cell r="B898">
            <v>1468.48</v>
          </cell>
          <cell r="C898">
            <v>1389</v>
          </cell>
          <cell r="D898">
            <v>900.94</v>
          </cell>
        </row>
        <row r="899">
          <cell r="A899">
            <v>39989</v>
          </cell>
          <cell r="B899">
            <v>1499.98</v>
          </cell>
          <cell r="C899">
            <v>1418.79</v>
          </cell>
          <cell r="D899">
            <v>920.26</v>
          </cell>
        </row>
        <row r="900">
          <cell r="A900">
            <v>39990</v>
          </cell>
          <cell r="B900">
            <v>1498.08</v>
          </cell>
          <cell r="C900">
            <v>1416.9</v>
          </cell>
          <cell r="D900">
            <v>918.9</v>
          </cell>
        </row>
        <row r="901">
          <cell r="A901">
            <v>39993</v>
          </cell>
          <cell r="B901">
            <v>1511.7</v>
          </cell>
          <cell r="C901">
            <v>1429.77</v>
          </cell>
          <cell r="D901">
            <v>927.23</v>
          </cell>
        </row>
        <row r="902">
          <cell r="A902">
            <v>39994</v>
          </cell>
          <cell r="B902">
            <v>1498.94</v>
          </cell>
          <cell r="C902">
            <v>1417.67</v>
          </cell>
          <cell r="D902">
            <v>919.32</v>
          </cell>
        </row>
        <row r="903">
          <cell r="A903">
            <v>39995</v>
          </cell>
          <cell r="B903">
            <v>1505.64</v>
          </cell>
          <cell r="C903">
            <v>1423.96</v>
          </cell>
          <cell r="D903">
            <v>923.33</v>
          </cell>
        </row>
        <row r="904">
          <cell r="A904">
            <v>39996</v>
          </cell>
          <cell r="B904">
            <v>1461.8</v>
          </cell>
          <cell r="C904">
            <v>1382.48</v>
          </cell>
          <cell r="D904">
            <v>896.42</v>
          </cell>
        </row>
        <row r="905">
          <cell r="A905">
            <v>40000</v>
          </cell>
          <cell r="B905">
            <v>1465.58</v>
          </cell>
          <cell r="C905">
            <v>1386.05</v>
          </cell>
          <cell r="D905">
            <v>898.72</v>
          </cell>
        </row>
        <row r="906">
          <cell r="A906">
            <v>40001</v>
          </cell>
          <cell r="B906">
            <v>1436.74</v>
          </cell>
          <cell r="C906">
            <v>1358.78</v>
          </cell>
          <cell r="D906">
            <v>881.03</v>
          </cell>
        </row>
        <row r="907">
          <cell r="A907">
            <v>40002</v>
          </cell>
          <cell r="B907">
            <v>1435.2</v>
          </cell>
          <cell r="C907">
            <v>1357.07</v>
          </cell>
          <cell r="D907">
            <v>879.56</v>
          </cell>
        </row>
        <row r="908">
          <cell r="A908">
            <v>40003</v>
          </cell>
          <cell r="B908">
            <v>1440.3</v>
          </cell>
          <cell r="C908">
            <v>1361.9</v>
          </cell>
          <cell r="D908">
            <v>882.68</v>
          </cell>
        </row>
        <row r="909">
          <cell r="A909">
            <v>40004</v>
          </cell>
          <cell r="B909">
            <v>1434.5</v>
          </cell>
          <cell r="C909">
            <v>1356.41</v>
          </cell>
          <cell r="D909">
            <v>879.13</v>
          </cell>
        </row>
        <row r="910">
          <cell r="A910">
            <v>40007</v>
          </cell>
          <cell r="B910">
            <v>1470.43</v>
          </cell>
          <cell r="C910">
            <v>1390.34</v>
          </cell>
          <cell r="D910">
            <v>901.05</v>
          </cell>
        </row>
        <row r="911">
          <cell r="A911">
            <v>40008</v>
          </cell>
          <cell r="B911">
            <v>1478.24</v>
          </cell>
          <cell r="C911">
            <v>1397.72</v>
          </cell>
          <cell r="D911">
            <v>905.84</v>
          </cell>
        </row>
        <row r="912">
          <cell r="A912">
            <v>40009</v>
          </cell>
          <cell r="B912">
            <v>1522.09</v>
          </cell>
          <cell r="C912">
            <v>1439.17</v>
          </cell>
          <cell r="D912">
            <v>932.68</v>
          </cell>
        </row>
        <row r="913">
          <cell r="A913">
            <v>40010</v>
          </cell>
          <cell r="B913">
            <v>1535.3</v>
          </cell>
          <cell r="C913">
            <v>1451.65</v>
          </cell>
          <cell r="D913">
            <v>940.74</v>
          </cell>
        </row>
        <row r="914">
          <cell r="A914">
            <v>40011</v>
          </cell>
          <cell r="B914">
            <v>1534.7</v>
          </cell>
          <cell r="C914">
            <v>1451.08</v>
          </cell>
          <cell r="D914">
            <v>940.38</v>
          </cell>
        </row>
        <row r="915">
          <cell r="A915">
            <v>40014</v>
          </cell>
          <cell r="B915">
            <v>1552.26</v>
          </cell>
          <cell r="C915">
            <v>1467.68</v>
          </cell>
          <cell r="D915">
            <v>951.13</v>
          </cell>
        </row>
        <row r="916">
          <cell r="A916">
            <v>40015</v>
          </cell>
          <cell r="B916">
            <v>1557.91</v>
          </cell>
          <cell r="C916">
            <v>1473.02</v>
          </cell>
          <cell r="D916">
            <v>954.58</v>
          </cell>
        </row>
        <row r="917">
          <cell r="A917">
            <v>40016</v>
          </cell>
          <cell r="B917">
            <v>1557.37</v>
          </cell>
          <cell r="C917">
            <v>1472.42</v>
          </cell>
          <cell r="D917">
            <v>954.07</v>
          </cell>
        </row>
        <row r="918">
          <cell r="A918">
            <v>40017</v>
          </cell>
          <cell r="B918">
            <v>1593.65</v>
          </cell>
          <cell r="C918">
            <v>1506.72</v>
          </cell>
          <cell r="D918">
            <v>976.29</v>
          </cell>
        </row>
        <row r="919">
          <cell r="A919">
            <v>40018</v>
          </cell>
          <cell r="B919">
            <v>1598.5</v>
          </cell>
          <cell r="C919">
            <v>1511.31</v>
          </cell>
          <cell r="D919">
            <v>979.26</v>
          </cell>
        </row>
        <row r="920">
          <cell r="A920">
            <v>40021</v>
          </cell>
          <cell r="B920">
            <v>1603.26</v>
          </cell>
          <cell r="C920">
            <v>1515.81</v>
          </cell>
          <cell r="D920">
            <v>982.18</v>
          </cell>
        </row>
        <row r="921">
          <cell r="A921">
            <v>40022</v>
          </cell>
          <cell r="B921">
            <v>1599.09</v>
          </cell>
          <cell r="C921">
            <v>1511.87</v>
          </cell>
          <cell r="D921">
            <v>979.62</v>
          </cell>
        </row>
        <row r="922">
          <cell r="A922">
            <v>40023</v>
          </cell>
          <cell r="B922">
            <v>1592</v>
          </cell>
          <cell r="C922">
            <v>1505.1</v>
          </cell>
          <cell r="D922">
            <v>975.15</v>
          </cell>
        </row>
        <row r="923">
          <cell r="A923">
            <v>40024</v>
          </cell>
          <cell r="B923">
            <v>1611.14</v>
          </cell>
          <cell r="C923">
            <v>1523.14</v>
          </cell>
          <cell r="D923">
            <v>986.75</v>
          </cell>
        </row>
        <row r="924">
          <cell r="A924">
            <v>40025</v>
          </cell>
          <cell r="B924">
            <v>1612.31</v>
          </cell>
          <cell r="C924">
            <v>1524.25</v>
          </cell>
          <cell r="D924">
            <v>987.48</v>
          </cell>
        </row>
        <row r="925">
          <cell r="A925">
            <v>40028</v>
          </cell>
          <cell r="B925">
            <v>1637.06</v>
          </cell>
          <cell r="C925">
            <v>1547.64</v>
          </cell>
          <cell r="D925">
            <v>1002.63</v>
          </cell>
        </row>
        <row r="926">
          <cell r="A926">
            <v>40029</v>
          </cell>
          <cell r="B926">
            <v>1642.03</v>
          </cell>
          <cell r="C926">
            <v>1552.34</v>
          </cell>
          <cell r="D926">
            <v>1005.65</v>
          </cell>
        </row>
        <row r="927">
          <cell r="A927">
            <v>40030</v>
          </cell>
          <cell r="B927">
            <v>1637.81</v>
          </cell>
          <cell r="C927">
            <v>1548.19</v>
          </cell>
          <cell r="D927">
            <v>1002.72</v>
          </cell>
        </row>
        <row r="928">
          <cell r="A928">
            <v>40031</v>
          </cell>
          <cell r="B928">
            <v>1628.82</v>
          </cell>
          <cell r="C928">
            <v>1539.62</v>
          </cell>
          <cell r="D928">
            <v>997.08</v>
          </cell>
        </row>
        <row r="929">
          <cell r="A929">
            <v>40032</v>
          </cell>
          <cell r="B929">
            <v>1650.73</v>
          </cell>
          <cell r="C929">
            <v>1560.33</v>
          </cell>
          <cell r="D929">
            <v>1010.48</v>
          </cell>
        </row>
        <row r="930">
          <cell r="A930">
            <v>40035</v>
          </cell>
          <cell r="B930">
            <v>1645.26</v>
          </cell>
          <cell r="C930">
            <v>1555.14</v>
          </cell>
          <cell r="D930">
            <v>1007.1</v>
          </cell>
        </row>
        <row r="931">
          <cell r="A931">
            <v>40036</v>
          </cell>
          <cell r="B931">
            <v>1624.91</v>
          </cell>
          <cell r="C931">
            <v>1535.77</v>
          </cell>
          <cell r="D931">
            <v>994.35</v>
          </cell>
        </row>
        <row r="932">
          <cell r="A932">
            <v>40037</v>
          </cell>
          <cell r="B932">
            <v>1644.23</v>
          </cell>
          <cell r="C932">
            <v>1553.86</v>
          </cell>
          <cell r="D932">
            <v>1005.81</v>
          </cell>
        </row>
        <row r="933">
          <cell r="A933">
            <v>40038</v>
          </cell>
          <cell r="B933">
            <v>1655.66</v>
          </cell>
          <cell r="C933">
            <v>1564.63</v>
          </cell>
          <cell r="D933">
            <v>1012.73</v>
          </cell>
        </row>
        <row r="934">
          <cell r="A934">
            <v>40039</v>
          </cell>
          <cell r="B934">
            <v>1641.54</v>
          </cell>
          <cell r="C934">
            <v>1551.29</v>
          </cell>
          <cell r="D934">
            <v>1004.09</v>
          </cell>
        </row>
        <row r="935">
          <cell r="A935">
            <v>40042</v>
          </cell>
          <cell r="B935">
            <v>1602.06</v>
          </cell>
          <cell r="C935">
            <v>1513.88</v>
          </cell>
          <cell r="D935">
            <v>979.73</v>
          </cell>
        </row>
        <row r="936">
          <cell r="A936">
            <v>40043</v>
          </cell>
          <cell r="B936">
            <v>1618.6</v>
          </cell>
          <cell r="C936">
            <v>1529.43</v>
          </cell>
          <cell r="D936">
            <v>989.67</v>
          </cell>
        </row>
        <row r="937">
          <cell r="A937">
            <v>40044</v>
          </cell>
          <cell r="B937">
            <v>1629.92</v>
          </cell>
          <cell r="C937">
            <v>1540.07</v>
          </cell>
          <cell r="D937">
            <v>996.46</v>
          </cell>
        </row>
        <row r="938">
          <cell r="A938">
            <v>40045</v>
          </cell>
          <cell r="B938">
            <v>1647.85</v>
          </cell>
          <cell r="C938">
            <v>1556.99</v>
          </cell>
          <cell r="D938">
            <v>1007.37</v>
          </cell>
        </row>
        <row r="939">
          <cell r="A939">
            <v>40046</v>
          </cell>
          <cell r="B939">
            <v>1678.84</v>
          </cell>
          <cell r="C939">
            <v>1586.18</v>
          </cell>
          <cell r="D939">
            <v>1026.1300000000001</v>
          </cell>
        </row>
        <row r="940">
          <cell r="A940">
            <v>40049</v>
          </cell>
          <cell r="B940">
            <v>1677.94</v>
          </cell>
          <cell r="C940">
            <v>1585.33</v>
          </cell>
          <cell r="D940">
            <v>1025.57</v>
          </cell>
        </row>
        <row r="941">
          <cell r="A941">
            <v>40050</v>
          </cell>
          <cell r="B941">
            <v>1681.92</v>
          </cell>
          <cell r="C941">
            <v>1589.08</v>
          </cell>
          <cell r="D941">
            <v>1028</v>
          </cell>
        </row>
        <row r="942">
          <cell r="A942">
            <v>40051</v>
          </cell>
          <cell r="B942">
            <v>1682.29</v>
          </cell>
          <cell r="C942">
            <v>1589.39</v>
          </cell>
          <cell r="D942">
            <v>1028.1199999999999</v>
          </cell>
        </row>
        <row r="943">
          <cell r="A943">
            <v>40052</v>
          </cell>
          <cell r="B943">
            <v>1687.16</v>
          </cell>
          <cell r="C943">
            <v>1593.93</v>
          </cell>
          <cell r="D943">
            <v>1030.98</v>
          </cell>
        </row>
        <row r="944">
          <cell r="A944">
            <v>40053</v>
          </cell>
          <cell r="B944">
            <v>1684.05</v>
          </cell>
          <cell r="C944">
            <v>1590.92</v>
          </cell>
          <cell r="D944">
            <v>1028.93</v>
          </cell>
        </row>
        <row r="945">
          <cell r="A945">
            <v>40056</v>
          </cell>
          <cell r="B945">
            <v>1670.52</v>
          </cell>
          <cell r="C945">
            <v>1578.13</v>
          </cell>
          <cell r="D945">
            <v>1020.62</v>
          </cell>
        </row>
        <row r="946">
          <cell r="A946">
            <v>40057</v>
          </cell>
          <cell r="B946">
            <v>1633.63</v>
          </cell>
          <cell r="C946">
            <v>1543.25</v>
          </cell>
          <cell r="D946">
            <v>998.04</v>
          </cell>
        </row>
        <row r="947">
          <cell r="A947">
            <v>40058</v>
          </cell>
          <cell r="B947">
            <v>1628.66</v>
          </cell>
          <cell r="C947">
            <v>1538.44</v>
          </cell>
          <cell r="D947">
            <v>994.75</v>
          </cell>
        </row>
        <row r="948">
          <cell r="A948">
            <v>40059</v>
          </cell>
          <cell r="B948">
            <v>1642.68</v>
          </cell>
          <cell r="C948">
            <v>1551.65</v>
          </cell>
          <cell r="D948">
            <v>1003.24</v>
          </cell>
        </row>
        <row r="949">
          <cell r="A949">
            <v>40060</v>
          </cell>
          <cell r="B949">
            <v>1664.34</v>
          </cell>
          <cell r="C949">
            <v>1572.08</v>
          </cell>
          <cell r="D949">
            <v>1016.4</v>
          </cell>
        </row>
        <row r="950">
          <cell r="A950">
            <v>40064</v>
          </cell>
          <cell r="B950">
            <v>1679.32</v>
          </cell>
          <cell r="C950">
            <v>1586.15</v>
          </cell>
          <cell r="D950">
            <v>1025.3900000000001</v>
          </cell>
        </row>
        <row r="951">
          <cell r="A951">
            <v>40065</v>
          </cell>
          <cell r="B951">
            <v>1692.48</v>
          </cell>
          <cell r="C951">
            <v>1598.56</v>
          </cell>
          <cell r="D951">
            <v>1033.3699999999999</v>
          </cell>
        </row>
        <row r="952">
          <cell r="A952">
            <v>40066</v>
          </cell>
          <cell r="B952">
            <v>1710.14</v>
          </cell>
          <cell r="C952">
            <v>1615.23</v>
          </cell>
          <cell r="D952">
            <v>1044.1400000000001</v>
          </cell>
        </row>
        <row r="953">
          <cell r="A953">
            <v>40067</v>
          </cell>
          <cell r="B953">
            <v>1708.19</v>
          </cell>
          <cell r="C953">
            <v>1613.29</v>
          </cell>
          <cell r="D953">
            <v>1042.73</v>
          </cell>
        </row>
        <row r="954">
          <cell r="A954">
            <v>40070</v>
          </cell>
          <cell r="B954">
            <v>1719.04</v>
          </cell>
          <cell r="C954">
            <v>1623.53</v>
          </cell>
          <cell r="D954">
            <v>1049.3399999999999</v>
          </cell>
        </row>
        <row r="955">
          <cell r="A955">
            <v>40071</v>
          </cell>
          <cell r="B955">
            <v>1724.45</v>
          </cell>
          <cell r="C955">
            <v>1628.63</v>
          </cell>
          <cell r="D955">
            <v>1052.6300000000001</v>
          </cell>
        </row>
        <row r="956">
          <cell r="A956">
            <v>40072</v>
          </cell>
          <cell r="B956">
            <v>1750.91</v>
          </cell>
          <cell r="C956">
            <v>1653.61</v>
          </cell>
          <cell r="D956">
            <v>1068.76</v>
          </cell>
        </row>
        <row r="957">
          <cell r="A957">
            <v>40073</v>
          </cell>
          <cell r="B957">
            <v>1745.8</v>
          </cell>
          <cell r="C957">
            <v>1648.71</v>
          </cell>
          <cell r="D957">
            <v>1065.49</v>
          </cell>
        </row>
        <row r="958">
          <cell r="A958">
            <v>40074</v>
          </cell>
          <cell r="B958">
            <v>1750.43</v>
          </cell>
          <cell r="C958">
            <v>1653.08</v>
          </cell>
          <cell r="D958">
            <v>1068.3</v>
          </cell>
        </row>
        <row r="959">
          <cell r="A959">
            <v>40077</v>
          </cell>
          <cell r="B959">
            <v>1744.47</v>
          </cell>
          <cell r="C959">
            <v>1647.45</v>
          </cell>
          <cell r="D959">
            <v>1064.6600000000001</v>
          </cell>
        </row>
        <row r="960">
          <cell r="A960">
            <v>40078</v>
          </cell>
          <cell r="B960">
            <v>1755.99</v>
          </cell>
          <cell r="C960">
            <v>1658.32</v>
          </cell>
          <cell r="D960">
            <v>1071.6600000000001</v>
          </cell>
        </row>
        <row r="961">
          <cell r="A961">
            <v>40079</v>
          </cell>
          <cell r="B961">
            <v>1738.32</v>
          </cell>
          <cell r="C961">
            <v>1641.62</v>
          </cell>
          <cell r="D961">
            <v>1060.8699999999999</v>
          </cell>
        </row>
        <row r="962">
          <cell r="A962">
            <v>40080</v>
          </cell>
          <cell r="B962">
            <v>1722.02</v>
          </cell>
          <cell r="C962">
            <v>1626.17</v>
          </cell>
          <cell r="D962">
            <v>1050.78</v>
          </cell>
        </row>
        <row r="963">
          <cell r="A963">
            <v>40081</v>
          </cell>
          <cell r="B963">
            <v>1711.53</v>
          </cell>
          <cell r="C963">
            <v>1616.26</v>
          </cell>
          <cell r="D963">
            <v>1044.3800000000001</v>
          </cell>
        </row>
        <row r="964">
          <cell r="A964">
            <v>40084</v>
          </cell>
          <cell r="B964">
            <v>1742.32</v>
          </cell>
          <cell r="C964">
            <v>1645.25</v>
          </cell>
          <cell r="D964">
            <v>1062.98</v>
          </cell>
        </row>
        <row r="965">
          <cell r="A965">
            <v>40085</v>
          </cell>
          <cell r="B965">
            <v>1738.48</v>
          </cell>
          <cell r="C965">
            <v>1641.61</v>
          </cell>
          <cell r="D965">
            <v>1060.6099999999999</v>
          </cell>
        </row>
        <row r="966">
          <cell r="A966">
            <v>40086</v>
          </cell>
          <cell r="B966">
            <v>1732.86</v>
          </cell>
          <cell r="C966">
            <v>1636.26</v>
          </cell>
          <cell r="D966">
            <v>1057.08</v>
          </cell>
        </row>
        <row r="967">
          <cell r="A967">
            <v>40087</v>
          </cell>
          <cell r="B967">
            <v>1688.24</v>
          </cell>
          <cell r="C967">
            <v>1594.12</v>
          </cell>
          <cell r="D967">
            <v>1029.8499999999999</v>
          </cell>
        </row>
        <row r="968">
          <cell r="A968">
            <v>40088</v>
          </cell>
          <cell r="B968">
            <v>1680.7</v>
          </cell>
          <cell r="C968">
            <v>1586.98</v>
          </cell>
          <cell r="D968">
            <v>1025.21</v>
          </cell>
        </row>
        <row r="969">
          <cell r="A969">
            <v>40091</v>
          </cell>
          <cell r="B969">
            <v>1705.73</v>
          </cell>
          <cell r="C969">
            <v>1610.61</v>
          </cell>
          <cell r="D969">
            <v>1040.46</v>
          </cell>
        </row>
        <row r="970">
          <cell r="A970">
            <v>40092</v>
          </cell>
          <cell r="B970">
            <v>1729.14</v>
          </cell>
          <cell r="C970">
            <v>1632.7</v>
          </cell>
          <cell r="D970">
            <v>1054.72</v>
          </cell>
        </row>
        <row r="971">
          <cell r="A971">
            <v>40093</v>
          </cell>
          <cell r="B971">
            <v>1734.74</v>
          </cell>
          <cell r="C971">
            <v>1637.74</v>
          </cell>
          <cell r="D971">
            <v>1057.58</v>
          </cell>
        </row>
        <row r="972">
          <cell r="A972">
            <v>40094</v>
          </cell>
          <cell r="B972">
            <v>1747.7</v>
          </cell>
          <cell r="C972">
            <v>1649.97</v>
          </cell>
          <cell r="D972">
            <v>1065.48</v>
          </cell>
        </row>
        <row r="973">
          <cell r="A973">
            <v>40095</v>
          </cell>
          <cell r="B973">
            <v>1757.6</v>
          </cell>
          <cell r="C973">
            <v>1659.3</v>
          </cell>
          <cell r="D973">
            <v>1071.49</v>
          </cell>
        </row>
        <row r="974">
          <cell r="A974">
            <v>40098</v>
          </cell>
          <cell r="B974">
            <v>1765.31</v>
          </cell>
          <cell r="C974">
            <v>1666.58</v>
          </cell>
          <cell r="D974">
            <v>1076.19</v>
          </cell>
        </row>
        <row r="975">
          <cell r="A975">
            <v>40099</v>
          </cell>
          <cell r="B975">
            <v>1760.51</v>
          </cell>
          <cell r="C975">
            <v>1662.02</v>
          </cell>
          <cell r="D975">
            <v>1073.19</v>
          </cell>
        </row>
        <row r="976">
          <cell r="A976">
            <v>40100</v>
          </cell>
          <cell r="B976">
            <v>1791.47</v>
          </cell>
          <cell r="C976">
            <v>1691.22</v>
          </cell>
          <cell r="D976">
            <v>1092.02</v>
          </cell>
        </row>
        <row r="977">
          <cell r="A977">
            <v>40101</v>
          </cell>
          <cell r="B977">
            <v>1798.91</v>
          </cell>
          <cell r="C977">
            <v>1698.25</v>
          </cell>
          <cell r="D977">
            <v>1096.56</v>
          </cell>
        </row>
        <row r="978">
          <cell r="A978">
            <v>40102</v>
          </cell>
          <cell r="B978">
            <v>1784.35</v>
          </cell>
          <cell r="C978">
            <v>1684.5</v>
          </cell>
          <cell r="D978">
            <v>1087.68</v>
          </cell>
        </row>
        <row r="979">
          <cell r="A979">
            <v>40105</v>
          </cell>
          <cell r="B979">
            <v>1801.12</v>
          </cell>
          <cell r="C979">
            <v>1700.34</v>
          </cell>
          <cell r="D979">
            <v>1097.9100000000001</v>
          </cell>
        </row>
        <row r="980">
          <cell r="A980">
            <v>40106</v>
          </cell>
          <cell r="B980">
            <v>1789.93</v>
          </cell>
          <cell r="C980">
            <v>1689.76</v>
          </cell>
          <cell r="D980">
            <v>1091.06</v>
          </cell>
        </row>
        <row r="981">
          <cell r="A981">
            <v>40107</v>
          </cell>
          <cell r="B981">
            <v>1774.33</v>
          </cell>
          <cell r="C981">
            <v>1674.96</v>
          </cell>
          <cell r="D981">
            <v>1081.4000000000001</v>
          </cell>
        </row>
        <row r="982">
          <cell r="A982">
            <v>40108</v>
          </cell>
          <cell r="B982">
            <v>1793.34</v>
          </cell>
          <cell r="C982">
            <v>1692.87</v>
          </cell>
          <cell r="D982">
            <v>1092.9100000000001</v>
          </cell>
        </row>
        <row r="983">
          <cell r="A983">
            <v>40109</v>
          </cell>
          <cell r="B983">
            <v>1771.5</v>
          </cell>
          <cell r="C983">
            <v>1672.26</v>
          </cell>
          <cell r="D983">
            <v>1079.5999999999999</v>
          </cell>
        </row>
        <row r="984">
          <cell r="A984">
            <v>40112</v>
          </cell>
          <cell r="B984">
            <v>1750.75</v>
          </cell>
          <cell r="C984">
            <v>1652.67</v>
          </cell>
          <cell r="D984">
            <v>1066.95</v>
          </cell>
        </row>
        <row r="985">
          <cell r="A985">
            <v>40113</v>
          </cell>
          <cell r="B985">
            <v>1744.95</v>
          </cell>
          <cell r="C985">
            <v>1647.19</v>
          </cell>
          <cell r="D985">
            <v>1063.4100000000001</v>
          </cell>
        </row>
        <row r="986">
          <cell r="A986">
            <v>40114</v>
          </cell>
          <cell r="B986">
            <v>1711.09</v>
          </cell>
          <cell r="C986">
            <v>1615.16</v>
          </cell>
          <cell r="D986">
            <v>1042.6300000000001</v>
          </cell>
        </row>
        <row r="987">
          <cell r="A987">
            <v>40115</v>
          </cell>
          <cell r="B987">
            <v>1749.76</v>
          </cell>
          <cell r="C987">
            <v>1651.62</v>
          </cell>
          <cell r="D987">
            <v>1066.1099999999999</v>
          </cell>
        </row>
        <row r="988">
          <cell r="A988">
            <v>40116</v>
          </cell>
          <cell r="B988">
            <v>1700.67</v>
          </cell>
          <cell r="C988">
            <v>1605.28</v>
          </cell>
          <cell r="D988">
            <v>1036.19</v>
          </cell>
        </row>
        <row r="989">
          <cell r="A989">
            <v>40119</v>
          </cell>
          <cell r="B989">
            <v>1711.65</v>
          </cell>
          <cell r="C989">
            <v>1615.64</v>
          </cell>
          <cell r="D989">
            <v>1042.8800000000001</v>
          </cell>
        </row>
        <row r="990">
          <cell r="A990">
            <v>40120</v>
          </cell>
          <cell r="B990">
            <v>1715.81</v>
          </cell>
          <cell r="C990">
            <v>1619.57</v>
          </cell>
          <cell r="D990">
            <v>1045.4100000000001</v>
          </cell>
        </row>
        <row r="991">
          <cell r="A991">
            <v>40121</v>
          </cell>
          <cell r="B991">
            <v>1718.21</v>
          </cell>
          <cell r="C991">
            <v>1621.66</v>
          </cell>
          <cell r="D991">
            <v>1046.5</v>
          </cell>
        </row>
        <row r="992">
          <cell r="A992">
            <v>40122</v>
          </cell>
          <cell r="B992">
            <v>1751.45</v>
          </cell>
          <cell r="C992">
            <v>1652.98</v>
          </cell>
          <cell r="D992">
            <v>1066.6300000000001</v>
          </cell>
        </row>
        <row r="993">
          <cell r="A993">
            <v>40123</v>
          </cell>
          <cell r="B993">
            <v>1756.07</v>
          </cell>
          <cell r="C993">
            <v>1657.27</v>
          </cell>
          <cell r="D993">
            <v>1069.3</v>
          </cell>
        </row>
        <row r="994">
          <cell r="A994">
            <v>40126</v>
          </cell>
          <cell r="B994">
            <v>1795.56</v>
          </cell>
          <cell r="C994">
            <v>1694.42</v>
          </cell>
          <cell r="D994">
            <v>1093.08</v>
          </cell>
        </row>
        <row r="995">
          <cell r="A995">
            <v>40127</v>
          </cell>
          <cell r="B995">
            <v>1795.9</v>
          </cell>
          <cell r="C995">
            <v>1694.61</v>
          </cell>
          <cell r="D995">
            <v>1093.01</v>
          </cell>
        </row>
        <row r="996">
          <cell r="A996">
            <v>40128</v>
          </cell>
          <cell r="B996">
            <v>1804.93</v>
          </cell>
          <cell r="C996">
            <v>1703.13</v>
          </cell>
          <cell r="D996">
            <v>1098.51</v>
          </cell>
        </row>
        <row r="997">
          <cell r="A997">
            <v>40129</v>
          </cell>
          <cell r="B997">
            <v>1786.66</v>
          </cell>
          <cell r="C997">
            <v>1685.82</v>
          </cell>
          <cell r="D997">
            <v>1087.24</v>
          </cell>
        </row>
        <row r="998">
          <cell r="A998">
            <v>40130</v>
          </cell>
          <cell r="B998">
            <v>1796.93</v>
          </cell>
          <cell r="C998">
            <v>1695.51</v>
          </cell>
          <cell r="D998">
            <v>1093.48</v>
          </cell>
        </row>
        <row r="999">
          <cell r="A999">
            <v>40133</v>
          </cell>
          <cell r="B999">
            <v>1823.29</v>
          </cell>
          <cell r="C999">
            <v>1720.28</v>
          </cell>
          <cell r="D999">
            <v>1109.3</v>
          </cell>
        </row>
        <row r="1000">
          <cell r="A1000">
            <v>40134</v>
          </cell>
          <cell r="B1000">
            <v>1825.18</v>
          </cell>
          <cell r="C1000">
            <v>1722</v>
          </cell>
          <cell r="D1000">
            <v>1110.32</v>
          </cell>
        </row>
        <row r="1001">
          <cell r="A1001">
            <v>40135</v>
          </cell>
          <cell r="B1001">
            <v>1824.61</v>
          </cell>
          <cell r="C1001">
            <v>1721.38</v>
          </cell>
          <cell r="D1001">
            <v>1109.8</v>
          </cell>
        </row>
        <row r="1002">
          <cell r="A1002">
            <v>40136</v>
          </cell>
          <cell r="B1002">
            <v>1800.12</v>
          </cell>
          <cell r="C1002">
            <v>1698.27</v>
          </cell>
          <cell r="D1002">
            <v>1094.9000000000001</v>
          </cell>
        </row>
        <row r="1003">
          <cell r="A1003">
            <v>40137</v>
          </cell>
          <cell r="B1003">
            <v>1794.65</v>
          </cell>
          <cell r="C1003">
            <v>1693.02</v>
          </cell>
          <cell r="D1003">
            <v>1091.3800000000001</v>
          </cell>
        </row>
        <row r="1004">
          <cell r="A1004">
            <v>40140</v>
          </cell>
          <cell r="B1004">
            <v>1819.17</v>
          </cell>
          <cell r="C1004">
            <v>1716.14</v>
          </cell>
          <cell r="D1004">
            <v>1106.24</v>
          </cell>
        </row>
        <row r="1005">
          <cell r="A1005">
            <v>40141</v>
          </cell>
          <cell r="B1005">
            <v>1818.31</v>
          </cell>
          <cell r="C1005">
            <v>1715.3</v>
          </cell>
          <cell r="D1005">
            <v>1105.6500000000001</v>
          </cell>
        </row>
        <row r="1006">
          <cell r="A1006">
            <v>40142</v>
          </cell>
          <cell r="B1006">
            <v>1826.74</v>
          </cell>
          <cell r="C1006">
            <v>1723.18</v>
          </cell>
          <cell r="D1006">
            <v>1110.6300000000001</v>
          </cell>
        </row>
        <row r="1007">
          <cell r="A1007">
            <v>40144</v>
          </cell>
          <cell r="B1007">
            <v>1795.7</v>
          </cell>
          <cell r="C1007">
            <v>1693.77</v>
          </cell>
          <cell r="D1007">
            <v>1091.49</v>
          </cell>
        </row>
        <row r="1008">
          <cell r="A1008">
            <v>40147</v>
          </cell>
          <cell r="B1008">
            <v>1802.68</v>
          </cell>
          <cell r="C1008">
            <v>1700.31</v>
          </cell>
          <cell r="D1008">
            <v>1095.6300000000001</v>
          </cell>
        </row>
        <row r="1009">
          <cell r="A1009">
            <v>40148</v>
          </cell>
          <cell r="B1009">
            <v>1824.54</v>
          </cell>
          <cell r="C1009">
            <v>1720.9</v>
          </cell>
          <cell r="D1009">
            <v>1108.8599999999999</v>
          </cell>
        </row>
        <row r="1010">
          <cell r="A1010">
            <v>40149</v>
          </cell>
          <cell r="B1010">
            <v>1825.4</v>
          </cell>
          <cell r="C1010">
            <v>1721.64</v>
          </cell>
          <cell r="D1010">
            <v>1109.24</v>
          </cell>
        </row>
        <row r="1011">
          <cell r="A1011">
            <v>40150</v>
          </cell>
          <cell r="B1011">
            <v>1810.13</v>
          </cell>
          <cell r="C1011">
            <v>1707.22</v>
          </cell>
          <cell r="D1011">
            <v>1099.92</v>
          </cell>
        </row>
        <row r="1012">
          <cell r="A1012">
            <v>40151</v>
          </cell>
          <cell r="B1012">
            <v>1820.11</v>
          </cell>
          <cell r="C1012">
            <v>1716.63</v>
          </cell>
          <cell r="D1012">
            <v>1105.98</v>
          </cell>
        </row>
        <row r="1013">
          <cell r="A1013">
            <v>40154</v>
          </cell>
          <cell r="B1013">
            <v>1815.7</v>
          </cell>
          <cell r="C1013">
            <v>1712.45</v>
          </cell>
          <cell r="D1013">
            <v>1103.25</v>
          </cell>
        </row>
        <row r="1014">
          <cell r="A1014">
            <v>40155</v>
          </cell>
          <cell r="B1014">
            <v>1797.31</v>
          </cell>
          <cell r="C1014">
            <v>1695.04</v>
          </cell>
          <cell r="D1014">
            <v>1091.94</v>
          </cell>
        </row>
        <row r="1015">
          <cell r="A1015">
            <v>40156</v>
          </cell>
          <cell r="B1015">
            <v>1804.1</v>
          </cell>
          <cell r="C1015">
            <v>1701.39</v>
          </cell>
          <cell r="D1015">
            <v>1095.95</v>
          </cell>
        </row>
        <row r="1016">
          <cell r="A1016">
            <v>40157</v>
          </cell>
          <cell r="B1016">
            <v>1814.81</v>
          </cell>
          <cell r="C1016">
            <v>1711.45</v>
          </cell>
          <cell r="D1016">
            <v>1102.3499999999999</v>
          </cell>
        </row>
        <row r="1017">
          <cell r="A1017">
            <v>40158</v>
          </cell>
          <cell r="B1017">
            <v>1821.8</v>
          </cell>
          <cell r="C1017">
            <v>1717.95</v>
          </cell>
          <cell r="D1017">
            <v>1106.4100000000001</v>
          </cell>
        </row>
        <row r="1018">
          <cell r="A1018">
            <v>40161</v>
          </cell>
          <cell r="B1018">
            <v>1834.55</v>
          </cell>
          <cell r="C1018">
            <v>1729.96</v>
          </cell>
          <cell r="D1018">
            <v>1114.1099999999999</v>
          </cell>
        </row>
        <row r="1019">
          <cell r="A1019">
            <v>40162</v>
          </cell>
          <cell r="B1019">
            <v>1824.37</v>
          </cell>
          <cell r="C1019">
            <v>1720.35</v>
          </cell>
          <cell r="D1019">
            <v>1107.93</v>
          </cell>
        </row>
        <row r="1020">
          <cell r="A1020">
            <v>40163</v>
          </cell>
          <cell r="B1020">
            <v>1826.45</v>
          </cell>
          <cell r="C1020">
            <v>1722.31</v>
          </cell>
          <cell r="D1020">
            <v>1109.18</v>
          </cell>
        </row>
        <row r="1021">
          <cell r="A1021">
            <v>40164</v>
          </cell>
          <cell r="B1021">
            <v>1804.96</v>
          </cell>
          <cell r="C1021">
            <v>1702.02</v>
          </cell>
          <cell r="D1021">
            <v>1096.08</v>
          </cell>
        </row>
        <row r="1022">
          <cell r="A1022">
            <v>40165</v>
          </cell>
          <cell r="B1022">
            <v>1815.5</v>
          </cell>
          <cell r="C1022">
            <v>1711.95</v>
          </cell>
          <cell r="D1022">
            <v>1102.47</v>
          </cell>
        </row>
        <row r="1023">
          <cell r="A1023">
            <v>40168</v>
          </cell>
          <cell r="B1023">
            <v>1834.59</v>
          </cell>
          <cell r="C1023">
            <v>1729.95</v>
          </cell>
          <cell r="D1023">
            <v>1114.05</v>
          </cell>
        </row>
        <row r="1024">
          <cell r="A1024">
            <v>40169</v>
          </cell>
          <cell r="B1024">
            <v>1841.17</v>
          </cell>
          <cell r="C1024">
            <v>1736.15</v>
          </cell>
          <cell r="D1024">
            <v>1118.02</v>
          </cell>
        </row>
        <row r="1025">
          <cell r="A1025">
            <v>40170</v>
          </cell>
          <cell r="B1025">
            <v>1845.8</v>
          </cell>
          <cell r="C1025">
            <v>1740.4</v>
          </cell>
          <cell r="D1025">
            <v>1120.5899999999999</v>
          </cell>
        </row>
        <row r="1026">
          <cell r="A1026">
            <v>40171</v>
          </cell>
          <cell r="B1026">
            <v>1855.5</v>
          </cell>
          <cell r="C1026">
            <v>1749.54</v>
          </cell>
          <cell r="D1026">
            <v>1126.48</v>
          </cell>
        </row>
        <row r="1027">
          <cell r="A1027">
            <v>40175</v>
          </cell>
          <cell r="B1027">
            <v>1857.89</v>
          </cell>
          <cell r="C1027">
            <v>1751.72</v>
          </cell>
          <cell r="D1027">
            <v>1127.78</v>
          </cell>
        </row>
        <row r="1028">
          <cell r="A1028">
            <v>40176</v>
          </cell>
          <cell r="B1028">
            <v>1855.61</v>
          </cell>
          <cell r="C1028">
            <v>1749.49</v>
          </cell>
          <cell r="D1028">
            <v>1126.2</v>
          </cell>
        </row>
        <row r="1029">
          <cell r="A1029">
            <v>40177</v>
          </cell>
          <cell r="B1029">
            <v>1856.14</v>
          </cell>
          <cell r="C1029">
            <v>1749.94</v>
          </cell>
          <cell r="D1029">
            <v>1126.42</v>
          </cell>
        </row>
        <row r="1030">
          <cell r="A1030">
            <v>40178</v>
          </cell>
          <cell r="B1030">
            <v>1837.5</v>
          </cell>
          <cell r="C1030">
            <v>1732.36</v>
          </cell>
          <cell r="D1030">
            <v>1115.0999999999999</v>
          </cell>
        </row>
        <row r="1031">
          <cell r="A1031">
            <v>40182</v>
          </cell>
          <cell r="B1031">
            <v>1867.06</v>
          </cell>
          <cell r="C1031">
            <v>1760.21</v>
          </cell>
          <cell r="D1031">
            <v>1132.99</v>
          </cell>
        </row>
        <row r="1032">
          <cell r="A1032">
            <v>40183</v>
          </cell>
          <cell r="B1032">
            <v>1872.9</v>
          </cell>
          <cell r="C1032">
            <v>1765.7</v>
          </cell>
          <cell r="D1032">
            <v>1136.52</v>
          </cell>
        </row>
        <row r="1033">
          <cell r="A1033">
            <v>40184</v>
          </cell>
          <cell r="B1033">
            <v>1874.73</v>
          </cell>
          <cell r="C1033">
            <v>1767.2</v>
          </cell>
          <cell r="D1033">
            <v>1137.1400000000001</v>
          </cell>
        </row>
        <row r="1034">
          <cell r="A1034">
            <v>40185</v>
          </cell>
          <cell r="B1034">
            <v>1882.34</v>
          </cell>
          <cell r="C1034">
            <v>1774.35</v>
          </cell>
          <cell r="D1034">
            <v>1141.69</v>
          </cell>
        </row>
        <row r="1035">
          <cell r="A1035">
            <v>40186</v>
          </cell>
          <cell r="B1035">
            <v>1887.77</v>
          </cell>
          <cell r="C1035">
            <v>1779.46</v>
          </cell>
          <cell r="D1035">
            <v>1144.98</v>
          </cell>
        </row>
        <row r="1036">
          <cell r="A1036">
            <v>40189</v>
          </cell>
          <cell r="B1036">
            <v>1891.06</v>
          </cell>
          <cell r="C1036">
            <v>1782.56</v>
          </cell>
          <cell r="D1036">
            <v>1146.98</v>
          </cell>
        </row>
        <row r="1037">
          <cell r="A1037">
            <v>40190</v>
          </cell>
          <cell r="B1037">
            <v>1873.32</v>
          </cell>
          <cell r="C1037">
            <v>1765.84</v>
          </cell>
          <cell r="D1037">
            <v>1136.22</v>
          </cell>
        </row>
        <row r="1038">
          <cell r="A1038">
            <v>40191</v>
          </cell>
          <cell r="B1038">
            <v>1889.1</v>
          </cell>
          <cell r="C1038">
            <v>1780.66</v>
          </cell>
          <cell r="D1038">
            <v>1145.68</v>
          </cell>
        </row>
        <row r="1039">
          <cell r="A1039">
            <v>40192</v>
          </cell>
          <cell r="B1039">
            <v>1893.72</v>
          </cell>
          <cell r="C1039">
            <v>1785.01</v>
          </cell>
          <cell r="D1039">
            <v>1148.46</v>
          </cell>
        </row>
        <row r="1040">
          <cell r="A1040">
            <v>40193</v>
          </cell>
          <cell r="B1040">
            <v>1873.3</v>
          </cell>
          <cell r="C1040">
            <v>1765.74</v>
          </cell>
          <cell r="D1040">
            <v>1136.03</v>
          </cell>
        </row>
        <row r="1041">
          <cell r="A1041">
            <v>40197</v>
          </cell>
          <cell r="B1041">
            <v>1896.72</v>
          </cell>
          <cell r="C1041">
            <v>1787.81</v>
          </cell>
          <cell r="D1041">
            <v>1150.23</v>
          </cell>
        </row>
        <row r="1042">
          <cell r="A1042">
            <v>40198</v>
          </cell>
          <cell r="B1042">
            <v>1876.9</v>
          </cell>
          <cell r="C1042">
            <v>1769.05</v>
          </cell>
          <cell r="D1042">
            <v>1138.04</v>
          </cell>
        </row>
        <row r="1043">
          <cell r="A1043">
            <v>40199</v>
          </cell>
          <cell r="B1043">
            <v>1841.39</v>
          </cell>
          <cell r="C1043">
            <v>1735.57</v>
          </cell>
          <cell r="D1043">
            <v>1116.48</v>
          </cell>
        </row>
        <row r="1044">
          <cell r="A1044">
            <v>40200</v>
          </cell>
          <cell r="B1044">
            <v>1800.61</v>
          </cell>
          <cell r="C1044">
            <v>1697.14</v>
          </cell>
          <cell r="D1044">
            <v>1091.76</v>
          </cell>
        </row>
        <row r="1045">
          <cell r="A1045">
            <v>40203</v>
          </cell>
          <cell r="B1045">
            <v>1808.93</v>
          </cell>
          <cell r="C1045">
            <v>1704.97</v>
          </cell>
          <cell r="D1045">
            <v>1096.78</v>
          </cell>
        </row>
        <row r="1046">
          <cell r="A1046">
            <v>40204</v>
          </cell>
          <cell r="B1046">
            <v>1801.34</v>
          </cell>
          <cell r="C1046">
            <v>1697.81</v>
          </cell>
          <cell r="D1046">
            <v>1092.17</v>
          </cell>
        </row>
        <row r="1047">
          <cell r="A1047">
            <v>40205</v>
          </cell>
          <cell r="B1047">
            <v>1810.21</v>
          </cell>
          <cell r="C1047">
            <v>1706.15</v>
          </cell>
          <cell r="D1047">
            <v>1097.5</v>
          </cell>
        </row>
        <row r="1048">
          <cell r="A1048">
            <v>40206</v>
          </cell>
          <cell r="B1048">
            <v>1788.97</v>
          </cell>
          <cell r="C1048">
            <v>1686.09</v>
          </cell>
          <cell r="D1048">
            <v>1084.53</v>
          </cell>
        </row>
        <row r="1049">
          <cell r="A1049">
            <v>40207</v>
          </cell>
          <cell r="B1049">
            <v>1771.4</v>
          </cell>
          <cell r="C1049">
            <v>1669.52</v>
          </cell>
          <cell r="D1049">
            <v>1073.8699999999999</v>
          </cell>
        </row>
        <row r="1050">
          <cell r="A1050">
            <v>40210</v>
          </cell>
          <cell r="B1050">
            <v>1796.67</v>
          </cell>
          <cell r="C1050">
            <v>1693.34</v>
          </cell>
          <cell r="D1050">
            <v>1089.19</v>
          </cell>
        </row>
        <row r="1051">
          <cell r="A1051">
            <v>40211</v>
          </cell>
          <cell r="B1051">
            <v>1819.99</v>
          </cell>
          <cell r="C1051">
            <v>1715.32</v>
          </cell>
          <cell r="D1051">
            <v>1103.32</v>
          </cell>
        </row>
        <row r="1052">
          <cell r="A1052">
            <v>40212</v>
          </cell>
          <cell r="B1052">
            <v>1810.64</v>
          </cell>
          <cell r="C1052">
            <v>1706.33</v>
          </cell>
          <cell r="D1052">
            <v>1097.28</v>
          </cell>
        </row>
        <row r="1053">
          <cell r="A1053">
            <v>40213</v>
          </cell>
          <cell r="B1053">
            <v>1754.3</v>
          </cell>
          <cell r="C1053">
            <v>1653.22</v>
          </cell>
          <cell r="D1053">
            <v>1063.1099999999999</v>
          </cell>
        </row>
        <row r="1054">
          <cell r="A1054">
            <v>40214</v>
          </cell>
          <cell r="B1054">
            <v>1759.38</v>
          </cell>
          <cell r="C1054">
            <v>1658.01</v>
          </cell>
          <cell r="D1054">
            <v>1066.19</v>
          </cell>
        </row>
        <row r="1055">
          <cell r="A1055">
            <v>40217</v>
          </cell>
          <cell r="B1055">
            <v>1744.37</v>
          </cell>
          <cell r="C1055">
            <v>1643.7</v>
          </cell>
          <cell r="D1055">
            <v>1056.74</v>
          </cell>
        </row>
        <row r="1056">
          <cell r="A1056">
            <v>40218</v>
          </cell>
          <cell r="B1056">
            <v>1767.18</v>
          </cell>
          <cell r="C1056">
            <v>1665.18</v>
          </cell>
          <cell r="D1056">
            <v>1070.52</v>
          </cell>
        </row>
        <row r="1057">
          <cell r="A1057">
            <v>40219</v>
          </cell>
          <cell r="B1057">
            <v>1763.69</v>
          </cell>
          <cell r="C1057">
            <v>1661.76</v>
          </cell>
          <cell r="D1057">
            <v>1068.1300000000001</v>
          </cell>
        </row>
        <row r="1058">
          <cell r="A1058">
            <v>40220</v>
          </cell>
          <cell r="B1058">
            <v>1781.01</v>
          </cell>
          <cell r="C1058">
            <v>1678</v>
          </cell>
          <cell r="D1058">
            <v>1078.47</v>
          </cell>
        </row>
        <row r="1059">
          <cell r="A1059">
            <v>40221</v>
          </cell>
          <cell r="B1059">
            <v>1776.5</v>
          </cell>
          <cell r="C1059">
            <v>1673.65</v>
          </cell>
          <cell r="D1059">
            <v>1075.51</v>
          </cell>
        </row>
        <row r="1060">
          <cell r="A1060">
            <v>40225</v>
          </cell>
          <cell r="B1060">
            <v>1808.72</v>
          </cell>
          <cell r="C1060">
            <v>1703.94</v>
          </cell>
          <cell r="D1060">
            <v>1094.8699999999999</v>
          </cell>
        </row>
        <row r="1061">
          <cell r="A1061">
            <v>40226</v>
          </cell>
          <cell r="B1061">
            <v>1816.7</v>
          </cell>
          <cell r="C1061">
            <v>1711.37</v>
          </cell>
          <cell r="D1061">
            <v>1099.51</v>
          </cell>
        </row>
        <row r="1062">
          <cell r="A1062">
            <v>40227</v>
          </cell>
          <cell r="B1062">
            <v>1828.81</v>
          </cell>
          <cell r="C1062">
            <v>1722.73</v>
          </cell>
          <cell r="D1062">
            <v>1106.75</v>
          </cell>
        </row>
        <row r="1063">
          <cell r="A1063">
            <v>40228</v>
          </cell>
          <cell r="B1063">
            <v>1833.09</v>
          </cell>
          <cell r="C1063">
            <v>1726.69</v>
          </cell>
          <cell r="D1063">
            <v>1109.17</v>
          </cell>
        </row>
        <row r="1064">
          <cell r="A1064">
            <v>40231</v>
          </cell>
          <cell r="B1064">
            <v>1831.21</v>
          </cell>
          <cell r="C1064">
            <v>1724.9</v>
          </cell>
          <cell r="D1064">
            <v>1108.01</v>
          </cell>
        </row>
        <row r="1065">
          <cell r="A1065">
            <v>40232</v>
          </cell>
          <cell r="B1065">
            <v>1809.05</v>
          </cell>
          <cell r="C1065">
            <v>1704.03</v>
          </cell>
          <cell r="D1065">
            <v>1094.5999999999999</v>
          </cell>
        </row>
        <row r="1066">
          <cell r="A1066">
            <v>40233</v>
          </cell>
          <cell r="B1066">
            <v>1826.99</v>
          </cell>
          <cell r="C1066">
            <v>1720.83</v>
          </cell>
          <cell r="D1066">
            <v>1105.24</v>
          </cell>
        </row>
        <row r="1067">
          <cell r="A1067">
            <v>40234</v>
          </cell>
          <cell r="B1067">
            <v>1823.64</v>
          </cell>
          <cell r="C1067">
            <v>1717.54</v>
          </cell>
          <cell r="D1067">
            <v>1102.94</v>
          </cell>
        </row>
        <row r="1068">
          <cell r="A1068">
            <v>40235</v>
          </cell>
          <cell r="B1068">
            <v>1826.27</v>
          </cell>
          <cell r="C1068">
            <v>1720</v>
          </cell>
          <cell r="D1068">
            <v>1104.49</v>
          </cell>
        </row>
        <row r="1069">
          <cell r="A1069">
            <v>40238</v>
          </cell>
          <cell r="B1069">
            <v>1844.87</v>
          </cell>
          <cell r="C1069">
            <v>1737.51</v>
          </cell>
          <cell r="D1069">
            <v>1115.71</v>
          </cell>
        </row>
        <row r="1070">
          <cell r="A1070">
            <v>40239</v>
          </cell>
          <cell r="B1070">
            <v>1849.17</v>
          </cell>
          <cell r="C1070">
            <v>1741.55</v>
          </cell>
          <cell r="D1070">
            <v>1118.31</v>
          </cell>
        </row>
        <row r="1071">
          <cell r="A1071">
            <v>40240</v>
          </cell>
          <cell r="B1071">
            <v>1850.24</v>
          </cell>
          <cell r="C1071">
            <v>1742.49</v>
          </cell>
          <cell r="D1071">
            <v>1118.79</v>
          </cell>
        </row>
        <row r="1072">
          <cell r="A1072">
            <v>40241</v>
          </cell>
          <cell r="B1072">
            <v>1857.2</v>
          </cell>
          <cell r="C1072">
            <v>1749.03</v>
          </cell>
          <cell r="D1072">
            <v>1122.97</v>
          </cell>
        </row>
        <row r="1073">
          <cell r="A1073">
            <v>40242</v>
          </cell>
          <cell r="B1073">
            <v>1883.28</v>
          </cell>
          <cell r="C1073">
            <v>1773.57</v>
          </cell>
          <cell r="D1073">
            <v>1138.7</v>
          </cell>
        </row>
        <row r="1074">
          <cell r="A1074">
            <v>40245</v>
          </cell>
          <cell r="B1074">
            <v>1883.29</v>
          </cell>
          <cell r="C1074">
            <v>1773.48</v>
          </cell>
          <cell r="D1074">
            <v>1138.5</v>
          </cell>
        </row>
        <row r="1075">
          <cell r="A1075">
            <v>40246</v>
          </cell>
          <cell r="B1075">
            <v>1886.6</v>
          </cell>
          <cell r="C1075">
            <v>1776.58</v>
          </cell>
          <cell r="D1075">
            <v>1140.45</v>
          </cell>
        </row>
        <row r="1076">
          <cell r="A1076">
            <v>40247</v>
          </cell>
          <cell r="B1076">
            <v>1895.38</v>
          </cell>
          <cell r="C1076">
            <v>1784.78</v>
          </cell>
          <cell r="D1076">
            <v>1145.6099999999999</v>
          </cell>
        </row>
        <row r="1077">
          <cell r="A1077">
            <v>40248</v>
          </cell>
          <cell r="B1077">
            <v>1903.68</v>
          </cell>
          <cell r="C1077">
            <v>1792.41</v>
          </cell>
          <cell r="D1077">
            <v>1150.24</v>
          </cell>
        </row>
        <row r="1078">
          <cell r="A1078">
            <v>40249</v>
          </cell>
          <cell r="B1078">
            <v>1903.29</v>
          </cell>
          <cell r="C1078">
            <v>1792.03</v>
          </cell>
          <cell r="D1078">
            <v>1149.99</v>
          </cell>
        </row>
        <row r="1079">
          <cell r="A1079">
            <v>40252</v>
          </cell>
          <cell r="B1079">
            <v>1904.19</v>
          </cell>
          <cell r="C1079">
            <v>1792.87</v>
          </cell>
          <cell r="D1079">
            <v>1150.51</v>
          </cell>
        </row>
        <row r="1080">
          <cell r="A1080">
            <v>40253</v>
          </cell>
          <cell r="B1080">
            <v>1919.02</v>
          </cell>
          <cell r="C1080">
            <v>1806.83</v>
          </cell>
          <cell r="D1080">
            <v>1159.46</v>
          </cell>
        </row>
        <row r="1081">
          <cell r="A1081">
            <v>40254</v>
          </cell>
          <cell r="B1081">
            <v>1930.22</v>
          </cell>
          <cell r="C1081">
            <v>1817.37</v>
          </cell>
          <cell r="D1081">
            <v>1166.21</v>
          </cell>
        </row>
        <row r="1082">
          <cell r="A1082">
            <v>40255</v>
          </cell>
          <cell r="B1082">
            <v>1929.63</v>
          </cell>
          <cell r="C1082">
            <v>1816.8</v>
          </cell>
          <cell r="D1082">
            <v>1165.83</v>
          </cell>
        </row>
        <row r="1083">
          <cell r="A1083">
            <v>40256</v>
          </cell>
          <cell r="B1083">
            <v>1919.8</v>
          </cell>
          <cell r="C1083">
            <v>1807.55</v>
          </cell>
          <cell r="D1083">
            <v>1159.9000000000001</v>
          </cell>
        </row>
        <row r="1084">
          <cell r="A1084">
            <v>40259</v>
          </cell>
          <cell r="B1084">
            <v>1929.64</v>
          </cell>
          <cell r="C1084">
            <v>1816.79</v>
          </cell>
          <cell r="D1084">
            <v>1165.81</v>
          </cell>
        </row>
        <row r="1085">
          <cell r="A1085">
            <v>40260</v>
          </cell>
          <cell r="B1085">
            <v>1943.7</v>
          </cell>
          <cell r="C1085">
            <v>1829.97</v>
          </cell>
          <cell r="D1085">
            <v>1174.17</v>
          </cell>
        </row>
        <row r="1086">
          <cell r="A1086">
            <v>40261</v>
          </cell>
          <cell r="B1086">
            <v>1933.04</v>
          </cell>
          <cell r="C1086">
            <v>1819.93</v>
          </cell>
          <cell r="D1086">
            <v>1167.72</v>
          </cell>
        </row>
        <row r="1087">
          <cell r="A1087">
            <v>40262</v>
          </cell>
          <cell r="B1087">
            <v>1929.75</v>
          </cell>
          <cell r="C1087">
            <v>1816.83</v>
          </cell>
          <cell r="D1087">
            <v>1165.73</v>
          </cell>
        </row>
        <row r="1088">
          <cell r="A1088">
            <v>40263</v>
          </cell>
          <cell r="B1088">
            <v>1931.18</v>
          </cell>
          <cell r="C1088">
            <v>1818.18</v>
          </cell>
          <cell r="D1088">
            <v>1166.5899999999999</v>
          </cell>
        </row>
        <row r="1089">
          <cell r="A1089">
            <v>40266</v>
          </cell>
          <cell r="B1089">
            <v>1942.51</v>
          </cell>
          <cell r="C1089">
            <v>1828.74</v>
          </cell>
          <cell r="D1089">
            <v>1173.22</v>
          </cell>
        </row>
        <row r="1090">
          <cell r="A1090">
            <v>40267</v>
          </cell>
          <cell r="B1090">
            <v>1942.81</v>
          </cell>
          <cell r="C1090">
            <v>1828.97</v>
          </cell>
          <cell r="D1090">
            <v>1173.27</v>
          </cell>
        </row>
        <row r="1091">
          <cell r="A1091">
            <v>40268</v>
          </cell>
          <cell r="B1091">
            <v>1936.48</v>
          </cell>
          <cell r="C1091">
            <v>1823</v>
          </cell>
          <cell r="D1091">
            <v>1169.43</v>
          </cell>
        </row>
        <row r="1092">
          <cell r="A1092">
            <v>40269</v>
          </cell>
          <cell r="B1092">
            <v>1950.91</v>
          </cell>
          <cell r="C1092">
            <v>1836.56</v>
          </cell>
          <cell r="D1092">
            <v>1178.0999999999999</v>
          </cell>
        </row>
        <row r="1093">
          <cell r="A1093">
            <v>40273</v>
          </cell>
          <cell r="B1093">
            <v>1966.44</v>
          </cell>
          <cell r="C1093">
            <v>1851.16</v>
          </cell>
          <cell r="D1093">
            <v>1187.44</v>
          </cell>
        </row>
        <row r="1094">
          <cell r="A1094">
            <v>40274</v>
          </cell>
          <cell r="B1094">
            <v>1969.76</v>
          </cell>
          <cell r="C1094">
            <v>1854.28</v>
          </cell>
          <cell r="D1094">
            <v>1189.44</v>
          </cell>
        </row>
        <row r="1095">
          <cell r="A1095">
            <v>40275</v>
          </cell>
          <cell r="B1095">
            <v>1959.04</v>
          </cell>
          <cell r="C1095">
            <v>1843.95</v>
          </cell>
          <cell r="D1095">
            <v>1182.45</v>
          </cell>
        </row>
        <row r="1096">
          <cell r="A1096">
            <v>40276</v>
          </cell>
          <cell r="B1096">
            <v>1965.72</v>
          </cell>
          <cell r="C1096">
            <v>1850.22</v>
          </cell>
          <cell r="D1096">
            <v>1186.44</v>
          </cell>
        </row>
        <row r="1097">
          <cell r="A1097">
            <v>40277</v>
          </cell>
          <cell r="B1097">
            <v>1978.86</v>
          </cell>
          <cell r="C1097">
            <v>1862.59</v>
          </cell>
          <cell r="D1097">
            <v>1194.3699999999999</v>
          </cell>
        </row>
        <row r="1098">
          <cell r="A1098">
            <v>40280</v>
          </cell>
          <cell r="B1098">
            <v>1982.4</v>
          </cell>
          <cell r="C1098">
            <v>1865.91</v>
          </cell>
          <cell r="D1098">
            <v>1196.48</v>
          </cell>
        </row>
        <row r="1099">
          <cell r="A1099">
            <v>40281</v>
          </cell>
          <cell r="B1099">
            <v>1983.91</v>
          </cell>
          <cell r="C1099">
            <v>1867.29</v>
          </cell>
          <cell r="D1099">
            <v>1197.3</v>
          </cell>
        </row>
        <row r="1100">
          <cell r="A1100">
            <v>40282</v>
          </cell>
          <cell r="B1100">
            <v>2006.06</v>
          </cell>
          <cell r="C1100">
            <v>1888.13</v>
          </cell>
          <cell r="D1100">
            <v>1210.6500000000001</v>
          </cell>
        </row>
        <row r="1101">
          <cell r="A1101">
            <v>40283</v>
          </cell>
          <cell r="B1101">
            <v>2007.74</v>
          </cell>
          <cell r="C1101">
            <v>1889.71</v>
          </cell>
          <cell r="D1101">
            <v>1211.67</v>
          </cell>
        </row>
        <row r="1102">
          <cell r="A1102">
            <v>40284</v>
          </cell>
          <cell r="B1102">
            <v>1975.36</v>
          </cell>
          <cell r="C1102">
            <v>1859.24</v>
          </cell>
          <cell r="D1102">
            <v>1192.1300000000001</v>
          </cell>
        </row>
        <row r="1103">
          <cell r="A1103">
            <v>40287</v>
          </cell>
          <cell r="B1103">
            <v>1984.32</v>
          </cell>
          <cell r="C1103">
            <v>1867.66</v>
          </cell>
          <cell r="D1103">
            <v>1197.52</v>
          </cell>
        </row>
        <row r="1104">
          <cell r="A1104">
            <v>40288</v>
          </cell>
          <cell r="B1104">
            <v>2000.33</v>
          </cell>
          <cell r="C1104">
            <v>1882.72</v>
          </cell>
          <cell r="D1104">
            <v>1207.17</v>
          </cell>
        </row>
        <row r="1105">
          <cell r="A1105">
            <v>40289</v>
          </cell>
          <cell r="B1105">
            <v>1998.31</v>
          </cell>
          <cell r="C1105">
            <v>1880.82</v>
          </cell>
          <cell r="D1105">
            <v>1205.94</v>
          </cell>
        </row>
        <row r="1106">
          <cell r="A1106">
            <v>40290</v>
          </cell>
          <cell r="B1106">
            <v>2002.93</v>
          </cell>
          <cell r="C1106">
            <v>1885.14</v>
          </cell>
          <cell r="D1106">
            <v>1208.67</v>
          </cell>
        </row>
        <row r="1107">
          <cell r="A1107">
            <v>40291</v>
          </cell>
          <cell r="B1107">
            <v>2017.19</v>
          </cell>
          <cell r="C1107">
            <v>1898.56</v>
          </cell>
          <cell r="D1107">
            <v>1217.28</v>
          </cell>
        </row>
        <row r="1108">
          <cell r="A1108">
            <v>40294</v>
          </cell>
          <cell r="B1108">
            <v>2008.55</v>
          </cell>
          <cell r="C1108">
            <v>1890.43</v>
          </cell>
          <cell r="D1108">
            <v>1212.05</v>
          </cell>
        </row>
        <row r="1109">
          <cell r="A1109">
            <v>40295</v>
          </cell>
          <cell r="B1109">
            <v>1961.6</v>
          </cell>
          <cell r="C1109">
            <v>1846.23</v>
          </cell>
          <cell r="D1109">
            <v>1183.71</v>
          </cell>
        </row>
        <row r="1110">
          <cell r="A1110">
            <v>40296</v>
          </cell>
          <cell r="B1110">
            <v>1974.63</v>
          </cell>
          <cell r="C1110">
            <v>1858.39</v>
          </cell>
          <cell r="D1110">
            <v>1191.3599999999999</v>
          </cell>
        </row>
        <row r="1111">
          <cell r="A1111">
            <v>40297</v>
          </cell>
          <cell r="B1111">
            <v>2000.34</v>
          </cell>
          <cell r="C1111">
            <v>1882.55</v>
          </cell>
          <cell r="D1111">
            <v>1206.78</v>
          </cell>
        </row>
        <row r="1112">
          <cell r="A1112">
            <v>40298</v>
          </cell>
          <cell r="B1112">
            <v>1967.05</v>
          </cell>
          <cell r="C1112">
            <v>1851.21</v>
          </cell>
          <cell r="D1112">
            <v>1186.69</v>
          </cell>
        </row>
        <row r="1113">
          <cell r="A1113">
            <v>40301</v>
          </cell>
          <cell r="B1113">
            <v>1992.87</v>
          </cell>
          <cell r="C1113">
            <v>1875.51</v>
          </cell>
          <cell r="D1113">
            <v>1202.26</v>
          </cell>
        </row>
        <row r="1114">
          <cell r="A1114">
            <v>40302</v>
          </cell>
          <cell r="B1114">
            <v>1945.37</v>
          </cell>
          <cell r="C1114">
            <v>1830.81</v>
          </cell>
          <cell r="D1114">
            <v>1173.5999999999999</v>
          </cell>
        </row>
        <row r="1115">
          <cell r="A1115">
            <v>40303</v>
          </cell>
          <cell r="B1115">
            <v>1933.25</v>
          </cell>
          <cell r="C1115">
            <v>1819.22</v>
          </cell>
          <cell r="D1115">
            <v>1165.9000000000001</v>
          </cell>
        </row>
        <row r="1116">
          <cell r="A1116">
            <v>40304</v>
          </cell>
          <cell r="B1116">
            <v>1870.95</v>
          </cell>
          <cell r="C1116">
            <v>1760.51</v>
          </cell>
          <cell r="D1116">
            <v>1128.1500000000001</v>
          </cell>
        </row>
        <row r="1117">
          <cell r="A1117">
            <v>40305</v>
          </cell>
          <cell r="B1117">
            <v>1842.32</v>
          </cell>
          <cell r="C1117">
            <v>1733.57</v>
          </cell>
          <cell r="D1117">
            <v>1110.8800000000001</v>
          </cell>
        </row>
        <row r="1118">
          <cell r="A1118">
            <v>40308</v>
          </cell>
          <cell r="B1118">
            <v>1923.39</v>
          </cell>
          <cell r="C1118">
            <v>1809.83</v>
          </cell>
          <cell r="D1118">
            <v>1159.73</v>
          </cell>
        </row>
        <row r="1119">
          <cell r="A1119">
            <v>40309</v>
          </cell>
          <cell r="B1119">
            <v>1917.25</v>
          </cell>
          <cell r="C1119">
            <v>1803.94</v>
          </cell>
          <cell r="D1119">
            <v>1155.79</v>
          </cell>
        </row>
        <row r="1120">
          <cell r="A1120">
            <v>40310</v>
          </cell>
          <cell r="B1120">
            <v>1944.25</v>
          </cell>
          <cell r="C1120">
            <v>1829.17</v>
          </cell>
          <cell r="D1120">
            <v>1171.67</v>
          </cell>
        </row>
        <row r="1121">
          <cell r="A1121">
            <v>40311</v>
          </cell>
          <cell r="B1121">
            <v>1920.76</v>
          </cell>
          <cell r="C1121">
            <v>1807.03</v>
          </cell>
          <cell r="D1121">
            <v>1157.44</v>
          </cell>
        </row>
        <row r="1122">
          <cell r="A1122">
            <v>40312</v>
          </cell>
          <cell r="B1122">
            <v>1884.67</v>
          </cell>
          <cell r="C1122">
            <v>1773.07</v>
          </cell>
          <cell r="D1122">
            <v>1135.68</v>
          </cell>
        </row>
        <row r="1123">
          <cell r="A1123">
            <v>40315</v>
          </cell>
          <cell r="B1123">
            <v>1887.11</v>
          </cell>
          <cell r="C1123">
            <v>1775.27</v>
          </cell>
          <cell r="D1123">
            <v>1136.94</v>
          </cell>
        </row>
        <row r="1124">
          <cell r="A1124">
            <v>40316</v>
          </cell>
          <cell r="B1124">
            <v>1860.65</v>
          </cell>
          <cell r="C1124">
            <v>1750.28</v>
          </cell>
          <cell r="D1124">
            <v>1120.8</v>
          </cell>
        </row>
        <row r="1125">
          <cell r="A1125">
            <v>40317</v>
          </cell>
          <cell r="B1125">
            <v>1851.28</v>
          </cell>
          <cell r="C1125">
            <v>1741.42</v>
          </cell>
          <cell r="D1125">
            <v>1115.05</v>
          </cell>
        </row>
        <row r="1126">
          <cell r="A1126">
            <v>40318</v>
          </cell>
          <cell r="B1126">
            <v>1779.3</v>
          </cell>
          <cell r="C1126">
            <v>1673.66</v>
          </cell>
          <cell r="D1126">
            <v>1071.5899999999999</v>
          </cell>
        </row>
        <row r="1127">
          <cell r="A1127">
            <v>40319</v>
          </cell>
          <cell r="B1127">
            <v>1806.05</v>
          </cell>
          <cell r="C1127">
            <v>1698.82</v>
          </cell>
          <cell r="D1127">
            <v>1087.69</v>
          </cell>
        </row>
        <row r="1128">
          <cell r="A1128">
            <v>40322</v>
          </cell>
          <cell r="B1128">
            <v>1782.77</v>
          </cell>
          <cell r="C1128">
            <v>1676.91</v>
          </cell>
          <cell r="D1128">
            <v>1073.6500000000001</v>
          </cell>
        </row>
        <row r="1129">
          <cell r="A1129">
            <v>40323</v>
          </cell>
          <cell r="B1129">
            <v>1783.4</v>
          </cell>
          <cell r="C1129">
            <v>1677.5</v>
          </cell>
          <cell r="D1129">
            <v>1074.03</v>
          </cell>
        </row>
        <row r="1130">
          <cell r="A1130">
            <v>40324</v>
          </cell>
          <cell r="B1130">
            <v>1773.65</v>
          </cell>
          <cell r="C1130">
            <v>1668.23</v>
          </cell>
          <cell r="D1130">
            <v>1067.95</v>
          </cell>
        </row>
        <row r="1131">
          <cell r="A1131">
            <v>40325</v>
          </cell>
          <cell r="B1131">
            <v>1832.61</v>
          </cell>
          <cell r="C1131">
            <v>1723.51</v>
          </cell>
          <cell r="D1131">
            <v>1103.06</v>
          </cell>
        </row>
        <row r="1132">
          <cell r="A1132">
            <v>40326</v>
          </cell>
          <cell r="B1132">
            <v>1809.98</v>
          </cell>
          <cell r="C1132">
            <v>1702.21</v>
          </cell>
          <cell r="D1132">
            <v>1089.4100000000001</v>
          </cell>
        </row>
        <row r="1133">
          <cell r="A1133">
            <v>40330</v>
          </cell>
          <cell r="B1133">
            <v>1778.99</v>
          </cell>
          <cell r="C1133">
            <v>1673.05</v>
          </cell>
          <cell r="D1133">
            <v>1070.71</v>
          </cell>
        </row>
        <row r="1134">
          <cell r="A1134">
            <v>40331</v>
          </cell>
          <cell r="B1134">
            <v>1825.25</v>
          </cell>
          <cell r="C1134">
            <v>1716.47</v>
          </cell>
          <cell r="D1134">
            <v>1098.3800000000001</v>
          </cell>
        </row>
        <row r="1135">
          <cell r="A1135">
            <v>40332</v>
          </cell>
          <cell r="B1135">
            <v>1832.72</v>
          </cell>
          <cell r="C1135">
            <v>1723.48</v>
          </cell>
          <cell r="D1135">
            <v>1102.83</v>
          </cell>
        </row>
        <row r="1136">
          <cell r="A1136">
            <v>40333</v>
          </cell>
          <cell r="B1136">
            <v>1769.72</v>
          </cell>
          <cell r="C1136">
            <v>1664.21</v>
          </cell>
          <cell r="D1136">
            <v>1064.8800000000001</v>
          </cell>
        </row>
        <row r="1137">
          <cell r="A1137">
            <v>40336</v>
          </cell>
          <cell r="B1137">
            <v>1745.87</v>
          </cell>
          <cell r="C1137">
            <v>1641.76</v>
          </cell>
          <cell r="D1137">
            <v>1050.47</v>
          </cell>
        </row>
        <row r="1138">
          <cell r="A1138">
            <v>40337</v>
          </cell>
          <cell r="B1138">
            <v>1765.29</v>
          </cell>
          <cell r="C1138">
            <v>1659.95</v>
          </cell>
          <cell r="D1138">
            <v>1062</v>
          </cell>
        </row>
        <row r="1139">
          <cell r="A1139">
            <v>40338</v>
          </cell>
          <cell r="B1139">
            <v>1754.91</v>
          </cell>
          <cell r="C1139">
            <v>1650.15</v>
          </cell>
          <cell r="D1139">
            <v>1055.69</v>
          </cell>
        </row>
        <row r="1140">
          <cell r="A1140">
            <v>40339</v>
          </cell>
          <cell r="B1140">
            <v>1806.69</v>
          </cell>
          <cell r="C1140">
            <v>1698.84</v>
          </cell>
          <cell r="D1140">
            <v>1086.8399999999999</v>
          </cell>
        </row>
        <row r="1141">
          <cell r="A1141">
            <v>40340</v>
          </cell>
          <cell r="B1141">
            <v>1815.26</v>
          </cell>
          <cell r="C1141">
            <v>1706.72</v>
          </cell>
          <cell r="D1141">
            <v>1091.5999999999999</v>
          </cell>
        </row>
        <row r="1142">
          <cell r="A1142">
            <v>40343</v>
          </cell>
          <cell r="B1142">
            <v>1812.02</v>
          </cell>
          <cell r="C1142">
            <v>1703.66</v>
          </cell>
          <cell r="D1142">
            <v>1089.6300000000001</v>
          </cell>
        </row>
        <row r="1143">
          <cell r="A1143">
            <v>40344</v>
          </cell>
          <cell r="B1143">
            <v>1854.61</v>
          </cell>
          <cell r="C1143">
            <v>1743.7</v>
          </cell>
          <cell r="D1143">
            <v>1115.23</v>
          </cell>
        </row>
        <row r="1144">
          <cell r="A1144">
            <v>40345</v>
          </cell>
          <cell r="B1144">
            <v>1853.62</v>
          </cell>
          <cell r="C1144">
            <v>1742.76</v>
          </cell>
          <cell r="D1144">
            <v>1114.6099999999999</v>
          </cell>
        </row>
        <row r="1145">
          <cell r="A1145">
            <v>40346</v>
          </cell>
          <cell r="B1145">
            <v>1856.25</v>
          </cell>
          <cell r="C1145">
            <v>1745.15</v>
          </cell>
          <cell r="D1145">
            <v>1116.04</v>
          </cell>
        </row>
        <row r="1146">
          <cell r="A1146">
            <v>40347</v>
          </cell>
          <cell r="B1146">
            <v>1858.7</v>
          </cell>
          <cell r="C1146">
            <v>1747.46</v>
          </cell>
          <cell r="D1146">
            <v>1117.51</v>
          </cell>
        </row>
        <row r="1147">
          <cell r="A1147">
            <v>40350</v>
          </cell>
          <cell r="B1147">
            <v>1851.55</v>
          </cell>
          <cell r="C1147">
            <v>1740.73</v>
          </cell>
          <cell r="D1147">
            <v>1113.2</v>
          </cell>
        </row>
        <row r="1148">
          <cell r="A1148">
            <v>40351</v>
          </cell>
          <cell r="B1148">
            <v>1822.05</v>
          </cell>
          <cell r="C1148">
            <v>1712.92</v>
          </cell>
          <cell r="D1148">
            <v>1095.31</v>
          </cell>
        </row>
        <row r="1149">
          <cell r="A1149">
            <v>40352</v>
          </cell>
          <cell r="B1149">
            <v>1816.65</v>
          </cell>
          <cell r="C1149">
            <v>1707.83</v>
          </cell>
          <cell r="D1149">
            <v>1092.04</v>
          </cell>
        </row>
        <row r="1150">
          <cell r="A1150">
            <v>40353</v>
          </cell>
          <cell r="B1150">
            <v>1786.13</v>
          </cell>
          <cell r="C1150">
            <v>1679.14</v>
          </cell>
          <cell r="D1150">
            <v>1073.69</v>
          </cell>
        </row>
        <row r="1151">
          <cell r="A1151">
            <v>40354</v>
          </cell>
          <cell r="B1151">
            <v>1791.24</v>
          </cell>
          <cell r="C1151">
            <v>1683.95</v>
          </cell>
          <cell r="D1151">
            <v>1076.76</v>
          </cell>
        </row>
        <row r="1152">
          <cell r="A1152">
            <v>40357</v>
          </cell>
          <cell r="B1152">
            <v>1787.94</v>
          </cell>
          <cell r="C1152">
            <v>1680.75</v>
          </cell>
          <cell r="D1152">
            <v>1074.57</v>
          </cell>
        </row>
        <row r="1153">
          <cell r="A1153">
            <v>40358</v>
          </cell>
          <cell r="B1153">
            <v>1732.55</v>
          </cell>
          <cell r="C1153">
            <v>1628.66</v>
          </cell>
          <cell r="D1153">
            <v>1041.24</v>
          </cell>
        </row>
        <row r="1154">
          <cell r="A1154">
            <v>40359</v>
          </cell>
          <cell r="B1154">
            <v>1715.23</v>
          </cell>
          <cell r="C1154">
            <v>1612.32</v>
          </cell>
          <cell r="D1154">
            <v>1030.71</v>
          </cell>
        </row>
        <row r="1155">
          <cell r="A1155">
            <v>40360</v>
          </cell>
          <cell r="B1155">
            <v>1709.77</v>
          </cell>
          <cell r="C1155">
            <v>1607.16</v>
          </cell>
          <cell r="D1155">
            <v>1027.3699999999999</v>
          </cell>
        </row>
        <row r="1156">
          <cell r="A1156">
            <v>40361</v>
          </cell>
          <cell r="B1156">
            <v>1701.86</v>
          </cell>
          <cell r="C1156">
            <v>1599.71</v>
          </cell>
          <cell r="D1156">
            <v>1022.58</v>
          </cell>
        </row>
        <row r="1157">
          <cell r="A1157">
            <v>40365</v>
          </cell>
          <cell r="B1157">
            <v>1710.97</v>
          </cell>
          <cell r="C1157">
            <v>1608.28</v>
          </cell>
          <cell r="D1157">
            <v>1028.06</v>
          </cell>
        </row>
        <row r="1158">
          <cell r="A1158">
            <v>40366</v>
          </cell>
          <cell r="B1158">
            <v>1765.42</v>
          </cell>
          <cell r="C1158">
            <v>1659.22</v>
          </cell>
          <cell r="D1158">
            <v>1060.27</v>
          </cell>
        </row>
        <row r="1159">
          <cell r="A1159">
            <v>40367</v>
          </cell>
          <cell r="B1159">
            <v>1782.1</v>
          </cell>
          <cell r="C1159">
            <v>1674.87</v>
          </cell>
          <cell r="D1159">
            <v>1070.25</v>
          </cell>
        </row>
        <row r="1160">
          <cell r="A1160">
            <v>40368</v>
          </cell>
          <cell r="B1160">
            <v>1794.94</v>
          </cell>
          <cell r="C1160">
            <v>1686.94</v>
          </cell>
          <cell r="D1160">
            <v>1077.96</v>
          </cell>
        </row>
        <row r="1161">
          <cell r="A1161">
            <v>40371</v>
          </cell>
          <cell r="B1161">
            <v>1796.3</v>
          </cell>
          <cell r="C1161">
            <v>1688.21</v>
          </cell>
          <cell r="D1161">
            <v>1078.75</v>
          </cell>
        </row>
        <row r="1162">
          <cell r="A1162">
            <v>40372</v>
          </cell>
          <cell r="B1162">
            <v>1824.07</v>
          </cell>
          <cell r="C1162">
            <v>1714.27</v>
          </cell>
          <cell r="D1162">
            <v>1095.3399999999999</v>
          </cell>
        </row>
        <row r="1163">
          <cell r="A1163">
            <v>40373</v>
          </cell>
          <cell r="B1163">
            <v>1823.82</v>
          </cell>
          <cell r="C1163">
            <v>1714.03</v>
          </cell>
          <cell r="D1163">
            <v>1095.17</v>
          </cell>
        </row>
        <row r="1164">
          <cell r="A1164">
            <v>40374</v>
          </cell>
          <cell r="B1164">
            <v>1826</v>
          </cell>
          <cell r="C1164">
            <v>1716.07</v>
          </cell>
          <cell r="D1164">
            <v>1096.48</v>
          </cell>
        </row>
        <row r="1165">
          <cell r="A1165">
            <v>40375</v>
          </cell>
          <cell r="B1165">
            <v>1773.43</v>
          </cell>
          <cell r="C1165">
            <v>1666.65</v>
          </cell>
          <cell r="D1165">
            <v>1064.8800000000001</v>
          </cell>
        </row>
        <row r="1166">
          <cell r="A1166">
            <v>40378</v>
          </cell>
          <cell r="B1166">
            <v>1784.06</v>
          </cell>
          <cell r="C1166">
            <v>1676.64</v>
          </cell>
          <cell r="D1166">
            <v>1071.25</v>
          </cell>
        </row>
        <row r="1167">
          <cell r="A1167">
            <v>40379</v>
          </cell>
          <cell r="B1167">
            <v>1804.48</v>
          </cell>
          <cell r="C1167">
            <v>1695.81</v>
          </cell>
          <cell r="D1167">
            <v>1083.48</v>
          </cell>
        </row>
        <row r="1168">
          <cell r="A1168">
            <v>40380</v>
          </cell>
          <cell r="B1168">
            <v>1781.6</v>
          </cell>
          <cell r="C1168">
            <v>1674.24</v>
          </cell>
          <cell r="D1168">
            <v>1069.5899999999999</v>
          </cell>
        </row>
        <row r="1169">
          <cell r="A1169">
            <v>40381</v>
          </cell>
          <cell r="B1169">
            <v>1821.76</v>
          </cell>
          <cell r="C1169">
            <v>1711.96</v>
          </cell>
          <cell r="D1169">
            <v>1093.67</v>
          </cell>
        </row>
        <row r="1170">
          <cell r="A1170">
            <v>40382</v>
          </cell>
          <cell r="B1170">
            <v>1836.75</v>
          </cell>
          <cell r="C1170">
            <v>1726.05</v>
          </cell>
          <cell r="D1170">
            <v>1102.6600000000001</v>
          </cell>
        </row>
        <row r="1171">
          <cell r="A1171">
            <v>40385</v>
          </cell>
          <cell r="B1171">
            <v>1857.34</v>
          </cell>
          <cell r="C1171">
            <v>1745.39</v>
          </cell>
          <cell r="D1171">
            <v>1115.01</v>
          </cell>
        </row>
        <row r="1172">
          <cell r="A1172">
            <v>40386</v>
          </cell>
          <cell r="B1172">
            <v>1855.39</v>
          </cell>
          <cell r="C1172">
            <v>1743.56</v>
          </cell>
          <cell r="D1172">
            <v>1113.8399999999999</v>
          </cell>
        </row>
        <row r="1173">
          <cell r="A1173">
            <v>40387</v>
          </cell>
          <cell r="B1173">
            <v>1842.66</v>
          </cell>
          <cell r="C1173">
            <v>1731.56</v>
          </cell>
          <cell r="D1173">
            <v>1106.1300000000001</v>
          </cell>
        </row>
        <row r="1174">
          <cell r="A1174">
            <v>40388</v>
          </cell>
          <cell r="B1174">
            <v>1835.29</v>
          </cell>
          <cell r="C1174">
            <v>1724.56</v>
          </cell>
          <cell r="D1174">
            <v>1101.53</v>
          </cell>
        </row>
        <row r="1175">
          <cell r="A1175">
            <v>40389</v>
          </cell>
          <cell r="B1175">
            <v>1835.4</v>
          </cell>
          <cell r="C1175">
            <v>1724.66</v>
          </cell>
          <cell r="D1175">
            <v>1101.5999999999999</v>
          </cell>
        </row>
        <row r="1176">
          <cell r="A1176">
            <v>40392</v>
          </cell>
          <cell r="B1176">
            <v>1875.85</v>
          </cell>
          <cell r="C1176">
            <v>1762.66</v>
          </cell>
          <cell r="D1176">
            <v>1125.8599999999999</v>
          </cell>
        </row>
        <row r="1177">
          <cell r="A1177">
            <v>40393</v>
          </cell>
          <cell r="B1177">
            <v>1866.87</v>
          </cell>
          <cell r="C1177">
            <v>1754.22</v>
          </cell>
          <cell r="D1177">
            <v>1120.46</v>
          </cell>
        </row>
        <row r="1178">
          <cell r="A1178">
            <v>40394</v>
          </cell>
          <cell r="B1178">
            <v>1878.81</v>
          </cell>
          <cell r="C1178">
            <v>1765.26</v>
          </cell>
          <cell r="D1178">
            <v>1127.24</v>
          </cell>
        </row>
        <row r="1179">
          <cell r="A1179">
            <v>40395</v>
          </cell>
          <cell r="B1179">
            <v>1876.51</v>
          </cell>
          <cell r="C1179">
            <v>1763.08</v>
          </cell>
          <cell r="D1179">
            <v>1125.81</v>
          </cell>
        </row>
        <row r="1180">
          <cell r="A1180">
            <v>40396</v>
          </cell>
          <cell r="B1180">
            <v>1869.77</v>
          </cell>
          <cell r="C1180">
            <v>1756.68</v>
          </cell>
          <cell r="D1180">
            <v>1121.6400000000001</v>
          </cell>
        </row>
        <row r="1181">
          <cell r="A1181">
            <v>40399</v>
          </cell>
          <cell r="B1181">
            <v>1880.06</v>
          </cell>
          <cell r="C1181">
            <v>1766.34</v>
          </cell>
          <cell r="D1181">
            <v>1127.79</v>
          </cell>
        </row>
        <row r="1182">
          <cell r="A1182">
            <v>40400</v>
          </cell>
          <cell r="B1182">
            <v>1868.88</v>
          </cell>
          <cell r="C1182">
            <v>1755.82</v>
          </cell>
          <cell r="D1182">
            <v>1121.06</v>
          </cell>
        </row>
        <row r="1183">
          <cell r="A1183">
            <v>40401</v>
          </cell>
          <cell r="B1183">
            <v>1817.13</v>
          </cell>
          <cell r="C1183">
            <v>1706.95</v>
          </cell>
          <cell r="D1183">
            <v>1089.47</v>
          </cell>
        </row>
        <row r="1184">
          <cell r="A1184">
            <v>40402</v>
          </cell>
          <cell r="B1184">
            <v>1807.61</v>
          </cell>
          <cell r="C1184">
            <v>1697.93</v>
          </cell>
          <cell r="D1184">
            <v>1083.6099999999999</v>
          </cell>
        </row>
        <row r="1185">
          <cell r="A1185">
            <v>40403</v>
          </cell>
          <cell r="B1185">
            <v>1800.39</v>
          </cell>
          <cell r="C1185">
            <v>1691.13</v>
          </cell>
          <cell r="D1185">
            <v>1079.25</v>
          </cell>
        </row>
        <row r="1186">
          <cell r="A1186">
            <v>40406</v>
          </cell>
          <cell r="B1186">
            <v>1800.7</v>
          </cell>
          <cell r="C1186">
            <v>1691.4</v>
          </cell>
          <cell r="D1186">
            <v>1079.3800000000001</v>
          </cell>
        </row>
        <row r="1187">
          <cell r="A1187">
            <v>40407</v>
          </cell>
          <cell r="B1187">
            <v>1823.18</v>
          </cell>
          <cell r="C1187">
            <v>1712.37</v>
          </cell>
          <cell r="D1187">
            <v>1092.54</v>
          </cell>
        </row>
        <row r="1188">
          <cell r="A1188">
            <v>40408</v>
          </cell>
          <cell r="B1188">
            <v>1826.14</v>
          </cell>
          <cell r="C1188">
            <v>1715.08</v>
          </cell>
          <cell r="D1188">
            <v>1094.1600000000001</v>
          </cell>
        </row>
        <row r="1189">
          <cell r="A1189">
            <v>40409</v>
          </cell>
          <cell r="B1189">
            <v>1795.24</v>
          </cell>
          <cell r="C1189">
            <v>1686.05</v>
          </cell>
          <cell r="D1189">
            <v>1075.6300000000001</v>
          </cell>
        </row>
        <row r="1190">
          <cell r="A1190">
            <v>40410</v>
          </cell>
          <cell r="B1190">
            <v>1788.67</v>
          </cell>
          <cell r="C1190">
            <v>1679.88</v>
          </cell>
          <cell r="D1190">
            <v>1071.69</v>
          </cell>
        </row>
        <row r="1191">
          <cell r="A1191">
            <v>40413</v>
          </cell>
          <cell r="B1191">
            <v>1781.47</v>
          </cell>
          <cell r="C1191">
            <v>1673.1</v>
          </cell>
          <cell r="D1191">
            <v>1067.3599999999999</v>
          </cell>
        </row>
        <row r="1192">
          <cell r="A1192">
            <v>40414</v>
          </cell>
          <cell r="B1192">
            <v>1755.65</v>
          </cell>
          <cell r="C1192">
            <v>1648.85</v>
          </cell>
          <cell r="D1192">
            <v>1051.8699999999999</v>
          </cell>
        </row>
        <row r="1193">
          <cell r="A1193">
            <v>40415</v>
          </cell>
          <cell r="B1193">
            <v>1761.62</v>
          </cell>
          <cell r="C1193">
            <v>1654.4</v>
          </cell>
          <cell r="D1193">
            <v>1055.33</v>
          </cell>
        </row>
        <row r="1194">
          <cell r="A1194">
            <v>40416</v>
          </cell>
          <cell r="B1194">
            <v>1748.14</v>
          </cell>
          <cell r="C1194">
            <v>1641.72</v>
          </cell>
          <cell r="D1194">
            <v>1047.22</v>
          </cell>
        </row>
        <row r="1195">
          <cell r="A1195">
            <v>40417</v>
          </cell>
          <cell r="B1195">
            <v>1777.6</v>
          </cell>
          <cell r="C1195">
            <v>1669.26</v>
          </cell>
          <cell r="D1195">
            <v>1064.5899999999999</v>
          </cell>
        </row>
        <row r="1196">
          <cell r="A1196">
            <v>40420</v>
          </cell>
          <cell r="B1196">
            <v>1751.79</v>
          </cell>
          <cell r="C1196">
            <v>1644.92</v>
          </cell>
          <cell r="D1196">
            <v>1048.92</v>
          </cell>
        </row>
        <row r="1197">
          <cell r="A1197">
            <v>40421</v>
          </cell>
          <cell r="B1197">
            <v>1752.55</v>
          </cell>
          <cell r="C1197">
            <v>1645.61</v>
          </cell>
          <cell r="D1197">
            <v>1049.33</v>
          </cell>
        </row>
        <row r="1198">
          <cell r="A1198">
            <v>40422</v>
          </cell>
          <cell r="B1198">
            <v>1804.46</v>
          </cell>
          <cell r="C1198">
            <v>1694.3</v>
          </cell>
          <cell r="D1198">
            <v>1080.29</v>
          </cell>
        </row>
        <row r="1199">
          <cell r="A1199">
            <v>40423</v>
          </cell>
          <cell r="B1199">
            <v>1820.98</v>
          </cell>
          <cell r="C1199">
            <v>1709.77</v>
          </cell>
          <cell r="D1199">
            <v>1090.0999999999999</v>
          </cell>
        </row>
        <row r="1200">
          <cell r="A1200">
            <v>40424</v>
          </cell>
          <cell r="B1200">
            <v>1845.1</v>
          </cell>
          <cell r="C1200">
            <v>1732.41</v>
          </cell>
          <cell r="D1200">
            <v>1104.51</v>
          </cell>
        </row>
        <row r="1201">
          <cell r="A1201">
            <v>40428</v>
          </cell>
          <cell r="B1201">
            <v>1824.05</v>
          </cell>
          <cell r="C1201">
            <v>1712.61</v>
          </cell>
          <cell r="D1201">
            <v>1091.8399999999999</v>
          </cell>
        </row>
        <row r="1202">
          <cell r="A1202">
            <v>40429</v>
          </cell>
          <cell r="B1202">
            <v>1836.21</v>
          </cell>
          <cell r="C1202">
            <v>1723.91</v>
          </cell>
          <cell r="D1202">
            <v>1098.8699999999999</v>
          </cell>
        </row>
        <row r="1203">
          <cell r="A1203">
            <v>40430</v>
          </cell>
          <cell r="B1203">
            <v>1845.09</v>
          </cell>
          <cell r="C1203">
            <v>1732.25</v>
          </cell>
          <cell r="D1203">
            <v>1104.18</v>
          </cell>
        </row>
        <row r="1204">
          <cell r="A1204">
            <v>40431</v>
          </cell>
          <cell r="B1204">
            <v>1854.1</v>
          </cell>
          <cell r="C1204">
            <v>1740.7</v>
          </cell>
          <cell r="D1204">
            <v>1109.55</v>
          </cell>
        </row>
        <row r="1205">
          <cell r="A1205">
            <v>40434</v>
          </cell>
          <cell r="B1205">
            <v>1875.41</v>
          </cell>
          <cell r="C1205">
            <v>1760.51</v>
          </cell>
          <cell r="D1205">
            <v>1121.9000000000001</v>
          </cell>
        </row>
        <row r="1206">
          <cell r="A1206">
            <v>40435</v>
          </cell>
          <cell r="B1206">
            <v>1874.07</v>
          </cell>
          <cell r="C1206">
            <v>1759.25</v>
          </cell>
          <cell r="D1206">
            <v>1121.0999999999999</v>
          </cell>
        </row>
        <row r="1207">
          <cell r="A1207">
            <v>40436</v>
          </cell>
          <cell r="B1207">
            <v>1880.74</v>
          </cell>
          <cell r="C1207">
            <v>1765.5</v>
          </cell>
          <cell r="D1207">
            <v>1125.07</v>
          </cell>
        </row>
        <row r="1208">
          <cell r="A1208">
            <v>40437</v>
          </cell>
          <cell r="B1208">
            <v>1880.37</v>
          </cell>
          <cell r="C1208">
            <v>1765.07</v>
          </cell>
          <cell r="D1208">
            <v>1124.6600000000001</v>
          </cell>
        </row>
        <row r="1209">
          <cell r="A1209">
            <v>40438</v>
          </cell>
          <cell r="B1209">
            <v>1881.93</v>
          </cell>
          <cell r="C1209">
            <v>1766.53</v>
          </cell>
          <cell r="D1209">
            <v>1125.5899999999999</v>
          </cell>
        </row>
        <row r="1210">
          <cell r="A1210">
            <v>40441</v>
          </cell>
          <cell r="B1210">
            <v>1910.6</v>
          </cell>
          <cell r="C1210">
            <v>1793.43</v>
          </cell>
          <cell r="D1210">
            <v>1142.71</v>
          </cell>
        </row>
        <row r="1211">
          <cell r="A1211">
            <v>40442</v>
          </cell>
          <cell r="B1211">
            <v>1905.74</v>
          </cell>
          <cell r="C1211">
            <v>1788.86</v>
          </cell>
          <cell r="D1211">
            <v>1139.78</v>
          </cell>
        </row>
        <row r="1212">
          <cell r="A1212">
            <v>40443</v>
          </cell>
          <cell r="B1212">
            <v>1896.77</v>
          </cell>
          <cell r="C1212">
            <v>1780.37</v>
          </cell>
          <cell r="D1212">
            <v>1134.28</v>
          </cell>
        </row>
        <row r="1213">
          <cell r="A1213">
            <v>40444</v>
          </cell>
          <cell r="B1213">
            <v>1880.97</v>
          </cell>
          <cell r="C1213">
            <v>1765.54</v>
          </cell>
          <cell r="D1213">
            <v>1124.83</v>
          </cell>
        </row>
        <row r="1214">
          <cell r="A1214">
            <v>40445</v>
          </cell>
          <cell r="B1214">
            <v>1920.84</v>
          </cell>
          <cell r="C1214">
            <v>1802.97</v>
          </cell>
          <cell r="D1214">
            <v>1148.67</v>
          </cell>
        </row>
        <row r="1215">
          <cell r="A1215">
            <v>40448</v>
          </cell>
          <cell r="B1215">
            <v>1909.98</v>
          </cell>
          <cell r="C1215">
            <v>1792.77</v>
          </cell>
          <cell r="D1215">
            <v>1142.1600000000001</v>
          </cell>
        </row>
        <row r="1216">
          <cell r="A1216">
            <v>40449</v>
          </cell>
          <cell r="B1216">
            <v>1919.59</v>
          </cell>
          <cell r="C1216">
            <v>1801.68</v>
          </cell>
          <cell r="D1216">
            <v>1147.7</v>
          </cell>
        </row>
        <row r="1217">
          <cell r="A1217">
            <v>40450</v>
          </cell>
          <cell r="B1217">
            <v>1914.84</v>
          </cell>
          <cell r="C1217">
            <v>1797.16</v>
          </cell>
          <cell r="D1217">
            <v>1144.73</v>
          </cell>
        </row>
        <row r="1218">
          <cell r="A1218">
            <v>40451</v>
          </cell>
          <cell r="B1218">
            <v>1908.95</v>
          </cell>
          <cell r="C1218">
            <v>1791.64</v>
          </cell>
          <cell r="D1218">
            <v>1141.2</v>
          </cell>
        </row>
        <row r="1219">
          <cell r="A1219">
            <v>40452</v>
          </cell>
          <cell r="B1219">
            <v>1917.42</v>
          </cell>
          <cell r="C1219">
            <v>1799.57</v>
          </cell>
          <cell r="D1219">
            <v>1146.24</v>
          </cell>
        </row>
        <row r="1220">
          <cell r="A1220">
            <v>40455</v>
          </cell>
          <cell r="B1220">
            <v>1902.15</v>
          </cell>
          <cell r="C1220">
            <v>1785.21</v>
          </cell>
          <cell r="D1220">
            <v>1137.03</v>
          </cell>
        </row>
        <row r="1221">
          <cell r="A1221">
            <v>40456</v>
          </cell>
          <cell r="B1221">
            <v>1941.82</v>
          </cell>
          <cell r="C1221">
            <v>1822.44</v>
          </cell>
          <cell r="D1221">
            <v>1160.75</v>
          </cell>
        </row>
        <row r="1222">
          <cell r="A1222">
            <v>40457</v>
          </cell>
          <cell r="B1222">
            <v>1941.5</v>
          </cell>
          <cell r="C1222">
            <v>1821.86</v>
          </cell>
          <cell r="D1222">
            <v>1159.97</v>
          </cell>
        </row>
        <row r="1223">
          <cell r="A1223">
            <v>40458</v>
          </cell>
          <cell r="B1223">
            <v>1938.31</v>
          </cell>
          <cell r="C1223">
            <v>1818.86</v>
          </cell>
          <cell r="D1223">
            <v>1158.06</v>
          </cell>
        </row>
        <row r="1224">
          <cell r="A1224">
            <v>40459</v>
          </cell>
          <cell r="B1224">
            <v>1950.18</v>
          </cell>
          <cell r="C1224">
            <v>1830</v>
          </cell>
          <cell r="D1224">
            <v>1165.1500000000001</v>
          </cell>
        </row>
        <row r="1225">
          <cell r="A1225">
            <v>40462</v>
          </cell>
          <cell r="B1225">
            <v>1950.47</v>
          </cell>
          <cell r="C1225">
            <v>1830.27</v>
          </cell>
          <cell r="D1225">
            <v>1165.32</v>
          </cell>
        </row>
        <row r="1226">
          <cell r="A1226">
            <v>40463</v>
          </cell>
          <cell r="B1226">
            <v>1957.92</v>
          </cell>
          <cell r="C1226">
            <v>1837.27</v>
          </cell>
          <cell r="D1226">
            <v>1169.77</v>
          </cell>
        </row>
        <row r="1227">
          <cell r="A1227">
            <v>40464</v>
          </cell>
          <cell r="B1227">
            <v>1972.08</v>
          </cell>
          <cell r="C1227">
            <v>1850.49</v>
          </cell>
          <cell r="D1227">
            <v>1178.0999999999999</v>
          </cell>
        </row>
        <row r="1228">
          <cell r="A1228">
            <v>40465</v>
          </cell>
          <cell r="B1228">
            <v>1964.9</v>
          </cell>
          <cell r="C1228">
            <v>1843.75</v>
          </cell>
          <cell r="D1228">
            <v>1173.81</v>
          </cell>
        </row>
        <row r="1229">
          <cell r="A1229">
            <v>40466</v>
          </cell>
          <cell r="B1229">
            <v>1968.87</v>
          </cell>
          <cell r="C1229">
            <v>1847.48</v>
          </cell>
          <cell r="D1229">
            <v>1176.19</v>
          </cell>
        </row>
        <row r="1230">
          <cell r="A1230">
            <v>40469</v>
          </cell>
          <cell r="B1230">
            <v>1983.17</v>
          </cell>
          <cell r="C1230">
            <v>1860.89</v>
          </cell>
          <cell r="D1230">
            <v>1184.71</v>
          </cell>
        </row>
        <row r="1231">
          <cell r="A1231">
            <v>40470</v>
          </cell>
          <cell r="B1231">
            <v>1951.67</v>
          </cell>
          <cell r="C1231">
            <v>1831.33</v>
          </cell>
          <cell r="D1231">
            <v>1165.9000000000001</v>
          </cell>
        </row>
        <row r="1232">
          <cell r="A1232">
            <v>40471</v>
          </cell>
          <cell r="B1232">
            <v>1972.51</v>
          </cell>
          <cell r="C1232">
            <v>1850.81</v>
          </cell>
          <cell r="D1232">
            <v>1178.17</v>
          </cell>
        </row>
        <row r="1233">
          <cell r="A1233">
            <v>40472</v>
          </cell>
          <cell r="B1233">
            <v>1976.12</v>
          </cell>
          <cell r="C1233">
            <v>1854.17</v>
          </cell>
          <cell r="D1233">
            <v>1180.26</v>
          </cell>
        </row>
        <row r="1234">
          <cell r="A1234">
            <v>40473</v>
          </cell>
          <cell r="B1234">
            <v>1980.83</v>
          </cell>
          <cell r="C1234">
            <v>1858.58</v>
          </cell>
          <cell r="D1234">
            <v>1183.08</v>
          </cell>
        </row>
        <row r="1235">
          <cell r="A1235">
            <v>40476</v>
          </cell>
          <cell r="B1235">
            <v>1985.11</v>
          </cell>
          <cell r="C1235">
            <v>1862.59</v>
          </cell>
          <cell r="D1235">
            <v>1185.6199999999999</v>
          </cell>
        </row>
        <row r="1236">
          <cell r="A1236">
            <v>40477</v>
          </cell>
          <cell r="B1236">
            <v>1985.13</v>
          </cell>
          <cell r="C1236">
            <v>1862.61</v>
          </cell>
          <cell r="D1236">
            <v>1185.6400000000001</v>
          </cell>
        </row>
        <row r="1237">
          <cell r="A1237">
            <v>40478</v>
          </cell>
          <cell r="B1237">
            <v>1980.05</v>
          </cell>
          <cell r="C1237">
            <v>1857.78</v>
          </cell>
          <cell r="D1237">
            <v>1182.45</v>
          </cell>
        </row>
        <row r="1238">
          <cell r="A1238">
            <v>40479</v>
          </cell>
          <cell r="B1238">
            <v>1982.45</v>
          </cell>
          <cell r="C1238">
            <v>1859.98</v>
          </cell>
          <cell r="D1238">
            <v>1183.78</v>
          </cell>
        </row>
        <row r="1239">
          <cell r="A1239">
            <v>40480</v>
          </cell>
          <cell r="B1239">
            <v>1981.59</v>
          </cell>
          <cell r="C1239">
            <v>1859.16</v>
          </cell>
          <cell r="D1239">
            <v>1183.26</v>
          </cell>
        </row>
        <row r="1240">
          <cell r="A1240">
            <v>40483</v>
          </cell>
          <cell r="B1240">
            <v>1983.47</v>
          </cell>
          <cell r="C1240">
            <v>1860.94</v>
          </cell>
          <cell r="D1240">
            <v>1184.3800000000001</v>
          </cell>
        </row>
        <row r="1241">
          <cell r="A1241">
            <v>40484</v>
          </cell>
          <cell r="B1241">
            <v>1998.86</v>
          </cell>
          <cell r="C1241">
            <v>1875.37</v>
          </cell>
          <cell r="D1241">
            <v>1193.57</v>
          </cell>
        </row>
        <row r="1242">
          <cell r="A1242">
            <v>40485</v>
          </cell>
          <cell r="B1242">
            <v>2006.58</v>
          </cell>
          <cell r="C1242">
            <v>1882.51</v>
          </cell>
          <cell r="D1242">
            <v>1197.96</v>
          </cell>
        </row>
        <row r="1243">
          <cell r="A1243">
            <v>40486</v>
          </cell>
          <cell r="B1243">
            <v>2045.62</v>
          </cell>
          <cell r="C1243">
            <v>1919.03</v>
          </cell>
          <cell r="D1243">
            <v>1221.06</v>
          </cell>
        </row>
        <row r="1244">
          <cell r="A1244">
            <v>40487</v>
          </cell>
          <cell r="B1244">
            <v>2053.77</v>
          </cell>
          <cell r="C1244">
            <v>1926.65</v>
          </cell>
          <cell r="D1244">
            <v>1225.8499999999999</v>
          </cell>
        </row>
        <row r="1245">
          <cell r="A1245">
            <v>40490</v>
          </cell>
          <cell r="B1245">
            <v>2049.69</v>
          </cell>
          <cell r="C1245">
            <v>1922.74</v>
          </cell>
          <cell r="D1245">
            <v>1223.25</v>
          </cell>
        </row>
        <row r="1246">
          <cell r="A1246">
            <v>40491</v>
          </cell>
          <cell r="B1246">
            <v>2033.85</v>
          </cell>
          <cell r="C1246">
            <v>1907.69</v>
          </cell>
          <cell r="D1246">
            <v>1213.4000000000001</v>
          </cell>
        </row>
        <row r="1247">
          <cell r="A1247">
            <v>40492</v>
          </cell>
          <cell r="B1247">
            <v>2043.16</v>
          </cell>
          <cell r="C1247">
            <v>1916.31</v>
          </cell>
          <cell r="D1247">
            <v>1218.71</v>
          </cell>
        </row>
        <row r="1248">
          <cell r="A1248">
            <v>40493</v>
          </cell>
          <cell r="B1248">
            <v>2034.48</v>
          </cell>
          <cell r="C1248">
            <v>1908.18</v>
          </cell>
          <cell r="D1248">
            <v>1213.54</v>
          </cell>
        </row>
        <row r="1249">
          <cell r="A1249">
            <v>40494</v>
          </cell>
          <cell r="B1249">
            <v>2010.57</v>
          </cell>
          <cell r="C1249">
            <v>1885.72</v>
          </cell>
          <cell r="D1249">
            <v>1199.21</v>
          </cell>
        </row>
        <row r="1250">
          <cell r="A1250">
            <v>40497</v>
          </cell>
          <cell r="B1250">
            <v>2008.25</v>
          </cell>
          <cell r="C1250">
            <v>1883.51</v>
          </cell>
          <cell r="D1250">
            <v>1197.75</v>
          </cell>
        </row>
        <row r="1251">
          <cell r="A1251">
            <v>40498</v>
          </cell>
          <cell r="B1251">
            <v>1976.26</v>
          </cell>
          <cell r="C1251">
            <v>1853.35</v>
          </cell>
          <cell r="D1251">
            <v>1178.3399999999999</v>
          </cell>
        </row>
        <row r="1252">
          <cell r="A1252">
            <v>40499</v>
          </cell>
          <cell r="B1252">
            <v>1977</v>
          </cell>
          <cell r="C1252">
            <v>1853.95</v>
          </cell>
          <cell r="D1252">
            <v>1178.5899999999999</v>
          </cell>
        </row>
        <row r="1253">
          <cell r="A1253">
            <v>40500</v>
          </cell>
          <cell r="B1253">
            <v>2007.38</v>
          </cell>
          <cell r="C1253">
            <v>1882.43</v>
          </cell>
          <cell r="D1253">
            <v>1196.69</v>
          </cell>
        </row>
        <row r="1254">
          <cell r="A1254">
            <v>40501</v>
          </cell>
          <cell r="B1254">
            <v>2012.59</v>
          </cell>
          <cell r="C1254">
            <v>1887.29</v>
          </cell>
          <cell r="D1254">
            <v>1199.73</v>
          </cell>
        </row>
        <row r="1255">
          <cell r="A1255">
            <v>40504</v>
          </cell>
          <cell r="B1255">
            <v>2009.52</v>
          </cell>
          <cell r="C1255">
            <v>1884.38</v>
          </cell>
          <cell r="D1255">
            <v>1197.8399999999999</v>
          </cell>
        </row>
        <row r="1256">
          <cell r="A1256">
            <v>40505</v>
          </cell>
          <cell r="B1256">
            <v>1980.89</v>
          </cell>
          <cell r="C1256">
            <v>1857.52</v>
          </cell>
          <cell r="D1256">
            <v>1180.73</v>
          </cell>
        </row>
        <row r="1257">
          <cell r="A1257">
            <v>40506</v>
          </cell>
          <cell r="B1257">
            <v>2010.56</v>
          </cell>
          <cell r="C1257">
            <v>1885.31</v>
          </cell>
          <cell r="D1257">
            <v>1198.3499999999999</v>
          </cell>
        </row>
        <row r="1258">
          <cell r="A1258">
            <v>40508</v>
          </cell>
          <cell r="B1258">
            <v>1996.03</v>
          </cell>
          <cell r="C1258">
            <v>1871.55</v>
          </cell>
          <cell r="D1258">
            <v>1189.4000000000001</v>
          </cell>
        </row>
        <row r="1259">
          <cell r="A1259">
            <v>40511</v>
          </cell>
          <cell r="B1259">
            <v>1993.83</v>
          </cell>
          <cell r="C1259">
            <v>1869.33</v>
          </cell>
          <cell r="D1259">
            <v>1187.76</v>
          </cell>
        </row>
        <row r="1260">
          <cell r="A1260">
            <v>40512</v>
          </cell>
          <cell r="B1260">
            <v>1981.84</v>
          </cell>
          <cell r="C1260">
            <v>1858.06</v>
          </cell>
          <cell r="D1260">
            <v>1180.55</v>
          </cell>
        </row>
        <row r="1261">
          <cell r="A1261">
            <v>40513</v>
          </cell>
          <cell r="B1261">
            <v>2024.97</v>
          </cell>
          <cell r="C1261">
            <v>1898.41</v>
          </cell>
          <cell r="D1261">
            <v>1206.07</v>
          </cell>
        </row>
        <row r="1262">
          <cell r="A1262">
            <v>40514</v>
          </cell>
          <cell r="B1262">
            <v>2050.96</v>
          </cell>
          <cell r="C1262">
            <v>1922.77</v>
          </cell>
          <cell r="D1262">
            <v>1221.53</v>
          </cell>
        </row>
        <row r="1263">
          <cell r="A1263">
            <v>40515</v>
          </cell>
          <cell r="B1263">
            <v>2056.4</v>
          </cell>
          <cell r="C1263">
            <v>1927.83</v>
          </cell>
          <cell r="D1263">
            <v>1224.71</v>
          </cell>
        </row>
        <row r="1264">
          <cell r="A1264">
            <v>40518</v>
          </cell>
          <cell r="B1264">
            <v>2053.8000000000002</v>
          </cell>
          <cell r="C1264">
            <v>1925.38</v>
          </cell>
          <cell r="D1264">
            <v>1223.1199999999999</v>
          </cell>
        </row>
        <row r="1265">
          <cell r="A1265">
            <v>40519</v>
          </cell>
          <cell r="B1265">
            <v>2054.89</v>
          </cell>
          <cell r="C1265">
            <v>1926.39</v>
          </cell>
          <cell r="D1265">
            <v>1223.75</v>
          </cell>
        </row>
        <row r="1266">
          <cell r="A1266">
            <v>40520</v>
          </cell>
          <cell r="B1266">
            <v>2063.0300000000002</v>
          </cell>
          <cell r="C1266">
            <v>1933.87</v>
          </cell>
          <cell r="D1266">
            <v>1228.28</v>
          </cell>
        </row>
        <row r="1267">
          <cell r="A1267">
            <v>40521</v>
          </cell>
          <cell r="B1267">
            <v>2071.12</v>
          </cell>
          <cell r="C1267">
            <v>1941.41</v>
          </cell>
          <cell r="D1267">
            <v>1233</v>
          </cell>
        </row>
        <row r="1268">
          <cell r="A1268">
            <v>40522</v>
          </cell>
          <cell r="B1268">
            <v>2083.5700000000002</v>
          </cell>
          <cell r="C1268">
            <v>1953.07</v>
          </cell>
          <cell r="D1268">
            <v>1240.4000000000001</v>
          </cell>
        </row>
        <row r="1269">
          <cell r="A1269">
            <v>40525</v>
          </cell>
          <cell r="B1269">
            <v>2084</v>
          </cell>
          <cell r="C1269">
            <v>1953.39</v>
          </cell>
          <cell r="D1269">
            <v>1240.46</v>
          </cell>
        </row>
        <row r="1270">
          <cell r="A1270">
            <v>40526</v>
          </cell>
          <cell r="B1270">
            <v>2085.9299999999998</v>
          </cell>
          <cell r="C1270">
            <v>1955.19</v>
          </cell>
          <cell r="D1270">
            <v>1241.5899999999999</v>
          </cell>
        </row>
        <row r="1271">
          <cell r="A1271">
            <v>40527</v>
          </cell>
          <cell r="B1271">
            <v>2075.29</v>
          </cell>
          <cell r="C1271">
            <v>1945.2</v>
          </cell>
          <cell r="D1271">
            <v>1235.23</v>
          </cell>
        </row>
        <row r="1272">
          <cell r="A1272">
            <v>40528</v>
          </cell>
          <cell r="B1272">
            <v>2088.19</v>
          </cell>
          <cell r="C1272">
            <v>1957.27</v>
          </cell>
          <cell r="D1272">
            <v>1242.8699999999999</v>
          </cell>
        </row>
        <row r="1273">
          <cell r="A1273">
            <v>40529</v>
          </cell>
          <cell r="B1273">
            <v>2089.9499999999998</v>
          </cell>
          <cell r="C1273">
            <v>1958.92</v>
          </cell>
          <cell r="D1273">
            <v>1243.9100000000001</v>
          </cell>
        </row>
        <row r="1274">
          <cell r="A1274">
            <v>40532</v>
          </cell>
          <cell r="B1274">
            <v>2095.3200000000002</v>
          </cell>
          <cell r="C1274">
            <v>1963.94</v>
          </cell>
          <cell r="D1274">
            <v>1247.08</v>
          </cell>
        </row>
        <row r="1275">
          <cell r="A1275">
            <v>40533</v>
          </cell>
          <cell r="B1275">
            <v>2108.2600000000002</v>
          </cell>
          <cell r="C1275">
            <v>1975.99</v>
          </cell>
          <cell r="D1275">
            <v>1254.5999999999999</v>
          </cell>
        </row>
        <row r="1276">
          <cell r="A1276">
            <v>40534</v>
          </cell>
          <cell r="B1276">
            <v>2115.69</v>
          </cell>
          <cell r="C1276">
            <v>1982.86</v>
          </cell>
          <cell r="D1276">
            <v>1258.8399999999999</v>
          </cell>
        </row>
        <row r="1277">
          <cell r="A1277">
            <v>40535</v>
          </cell>
          <cell r="B1277">
            <v>2112.37</v>
          </cell>
          <cell r="C1277">
            <v>1979.71</v>
          </cell>
          <cell r="D1277">
            <v>1256.77</v>
          </cell>
        </row>
        <row r="1278">
          <cell r="A1278">
            <v>40539</v>
          </cell>
          <cell r="B1278">
            <v>2113.67</v>
          </cell>
          <cell r="C1278">
            <v>1980.92</v>
          </cell>
          <cell r="D1278">
            <v>1257.54</v>
          </cell>
        </row>
        <row r="1279">
          <cell r="A1279">
            <v>40540</v>
          </cell>
          <cell r="B1279">
            <v>2115.3200000000002</v>
          </cell>
          <cell r="C1279">
            <v>1982.47</v>
          </cell>
          <cell r="D1279">
            <v>1258.51</v>
          </cell>
        </row>
        <row r="1280">
          <cell r="A1280">
            <v>40541</v>
          </cell>
          <cell r="B1280">
            <v>2117.83</v>
          </cell>
          <cell r="C1280">
            <v>1984.72</v>
          </cell>
          <cell r="D1280">
            <v>1259.78</v>
          </cell>
        </row>
        <row r="1281">
          <cell r="A1281">
            <v>40542</v>
          </cell>
          <cell r="B1281">
            <v>2114.6999999999998</v>
          </cell>
          <cell r="C1281">
            <v>1981.76</v>
          </cell>
          <cell r="D1281">
            <v>1257.8800000000001</v>
          </cell>
        </row>
        <row r="1282">
          <cell r="A1282">
            <v>40543</v>
          </cell>
          <cell r="B1282">
            <v>2114.29</v>
          </cell>
          <cell r="C1282">
            <v>1981.37</v>
          </cell>
          <cell r="D1282">
            <v>1257.6400000000001</v>
          </cell>
        </row>
        <row r="1283">
          <cell r="A1283">
            <v>40546</v>
          </cell>
          <cell r="B1283">
            <v>2138.3000000000002</v>
          </cell>
          <cell r="C1283">
            <v>2003.85</v>
          </cell>
          <cell r="D1283">
            <v>1271.8699999999999</v>
          </cell>
        </row>
        <row r="1284">
          <cell r="A1284">
            <v>40547</v>
          </cell>
          <cell r="B1284">
            <v>2135.5300000000002</v>
          </cell>
          <cell r="C1284">
            <v>2001.24</v>
          </cell>
          <cell r="D1284">
            <v>1270.2</v>
          </cell>
        </row>
        <row r="1285">
          <cell r="A1285">
            <v>40548</v>
          </cell>
          <cell r="B1285">
            <v>2146.5</v>
          </cell>
          <cell r="C1285">
            <v>2011.45</v>
          </cell>
          <cell r="D1285">
            <v>1276.56</v>
          </cell>
        </row>
        <row r="1286">
          <cell r="A1286">
            <v>40549</v>
          </cell>
          <cell r="B1286">
            <v>2142.7600000000002</v>
          </cell>
          <cell r="C1286">
            <v>2007.71</v>
          </cell>
          <cell r="D1286">
            <v>1273.8499999999999</v>
          </cell>
        </row>
        <row r="1287">
          <cell r="A1287">
            <v>40550</v>
          </cell>
          <cell r="B1287">
            <v>2138.81</v>
          </cell>
          <cell r="C1287">
            <v>2004.01</v>
          </cell>
          <cell r="D1287">
            <v>1271.5</v>
          </cell>
        </row>
        <row r="1288">
          <cell r="A1288">
            <v>40553</v>
          </cell>
          <cell r="B1288">
            <v>2135.86</v>
          </cell>
          <cell r="C1288">
            <v>2001.25</v>
          </cell>
          <cell r="D1288">
            <v>1269.75</v>
          </cell>
        </row>
        <row r="1289">
          <cell r="A1289">
            <v>40554</v>
          </cell>
          <cell r="B1289">
            <v>2143.8200000000002</v>
          </cell>
          <cell r="C1289">
            <v>2008.71</v>
          </cell>
          <cell r="D1289">
            <v>1274.48</v>
          </cell>
        </row>
        <row r="1290">
          <cell r="A1290">
            <v>40555</v>
          </cell>
          <cell r="B1290">
            <v>2163.36</v>
          </cell>
          <cell r="C1290">
            <v>2026.95</v>
          </cell>
          <cell r="D1290">
            <v>1285.96</v>
          </cell>
        </row>
        <row r="1291">
          <cell r="A1291">
            <v>40556</v>
          </cell>
          <cell r="B1291">
            <v>2159.66</v>
          </cell>
          <cell r="C1291">
            <v>2023.48</v>
          </cell>
          <cell r="D1291">
            <v>1283.76</v>
          </cell>
        </row>
        <row r="1292">
          <cell r="A1292">
            <v>40557</v>
          </cell>
          <cell r="B1292">
            <v>2175.6799999999998</v>
          </cell>
          <cell r="C1292">
            <v>2038.48</v>
          </cell>
          <cell r="D1292">
            <v>1293.24</v>
          </cell>
        </row>
        <row r="1293">
          <cell r="A1293">
            <v>40561</v>
          </cell>
          <cell r="B1293">
            <v>2178.7199999999998</v>
          </cell>
          <cell r="C1293">
            <v>2041.31</v>
          </cell>
          <cell r="D1293">
            <v>1295.02</v>
          </cell>
        </row>
        <row r="1294">
          <cell r="A1294">
            <v>40562</v>
          </cell>
          <cell r="B1294">
            <v>2156.9699999999998</v>
          </cell>
          <cell r="C1294">
            <v>2020.85</v>
          </cell>
          <cell r="D1294">
            <v>1281.92</v>
          </cell>
        </row>
        <row r="1295">
          <cell r="A1295">
            <v>40563</v>
          </cell>
          <cell r="B1295">
            <v>2154.1799999999998</v>
          </cell>
          <cell r="C1295">
            <v>2018.24</v>
          </cell>
          <cell r="D1295">
            <v>1280.26</v>
          </cell>
        </row>
        <row r="1296">
          <cell r="A1296">
            <v>40564</v>
          </cell>
          <cell r="B1296">
            <v>2159.4299999999998</v>
          </cell>
          <cell r="C1296">
            <v>2023.14</v>
          </cell>
          <cell r="D1296">
            <v>1283.3499999999999</v>
          </cell>
        </row>
        <row r="1297">
          <cell r="A1297">
            <v>40567</v>
          </cell>
          <cell r="B1297">
            <v>2172.0300000000002</v>
          </cell>
          <cell r="C1297">
            <v>2034.94</v>
          </cell>
          <cell r="D1297">
            <v>1290.8399999999999</v>
          </cell>
        </row>
        <row r="1298">
          <cell r="A1298">
            <v>40568</v>
          </cell>
          <cell r="B1298">
            <v>2172.67</v>
          </cell>
          <cell r="C1298">
            <v>2035.53</v>
          </cell>
          <cell r="D1298">
            <v>1291.18</v>
          </cell>
        </row>
        <row r="1299">
          <cell r="A1299">
            <v>40569</v>
          </cell>
          <cell r="B1299">
            <v>2181.92</v>
          </cell>
          <cell r="C1299">
            <v>2044.17</v>
          </cell>
          <cell r="D1299">
            <v>1296.6300000000001</v>
          </cell>
        </row>
        <row r="1300">
          <cell r="A1300">
            <v>40570</v>
          </cell>
          <cell r="B1300">
            <v>2186.9299999999998</v>
          </cell>
          <cell r="C1300">
            <v>2048.83</v>
          </cell>
          <cell r="D1300">
            <v>1299.54</v>
          </cell>
        </row>
        <row r="1301">
          <cell r="A1301">
            <v>40571</v>
          </cell>
          <cell r="B1301">
            <v>2147.9499999999998</v>
          </cell>
          <cell r="C1301">
            <v>2012.3</v>
          </cell>
          <cell r="D1301">
            <v>1276.3399999999999</v>
          </cell>
        </row>
        <row r="1302">
          <cell r="A1302">
            <v>40574</v>
          </cell>
          <cell r="B1302">
            <v>2164.4</v>
          </cell>
          <cell r="C1302">
            <v>2027.71</v>
          </cell>
          <cell r="D1302">
            <v>1286.1199999999999</v>
          </cell>
        </row>
        <row r="1303">
          <cell r="A1303">
            <v>40575</v>
          </cell>
          <cell r="B1303">
            <v>2200.54</v>
          </cell>
          <cell r="C1303">
            <v>2061.5700000000002</v>
          </cell>
          <cell r="D1303">
            <v>1307.5899999999999</v>
          </cell>
        </row>
        <row r="1304">
          <cell r="A1304">
            <v>40576</v>
          </cell>
          <cell r="B1304">
            <v>2194.94</v>
          </cell>
          <cell r="C1304">
            <v>2056.21</v>
          </cell>
          <cell r="D1304">
            <v>1304.03</v>
          </cell>
        </row>
        <row r="1305">
          <cell r="A1305">
            <v>40577</v>
          </cell>
          <cell r="B1305">
            <v>2200.42</v>
          </cell>
          <cell r="C1305">
            <v>2061.2600000000002</v>
          </cell>
          <cell r="D1305">
            <v>1307.0999999999999</v>
          </cell>
        </row>
        <row r="1306">
          <cell r="A1306">
            <v>40578</v>
          </cell>
          <cell r="B1306">
            <v>2206.8000000000002</v>
          </cell>
          <cell r="C1306">
            <v>2067.2199999999998</v>
          </cell>
          <cell r="D1306">
            <v>1310.87</v>
          </cell>
        </row>
        <row r="1307">
          <cell r="A1307">
            <v>40581</v>
          </cell>
          <cell r="B1307">
            <v>2220.6</v>
          </cell>
          <cell r="C1307">
            <v>2080.14</v>
          </cell>
          <cell r="D1307">
            <v>1319.05</v>
          </cell>
        </row>
        <row r="1308">
          <cell r="A1308">
            <v>40582</v>
          </cell>
          <cell r="B1308">
            <v>2230.59</v>
          </cell>
          <cell r="C1308">
            <v>2089.3000000000002</v>
          </cell>
          <cell r="D1308">
            <v>1324.57</v>
          </cell>
        </row>
        <row r="1309">
          <cell r="A1309">
            <v>40583</v>
          </cell>
          <cell r="B1309">
            <v>2224.64</v>
          </cell>
          <cell r="C1309">
            <v>2083.66</v>
          </cell>
          <cell r="D1309">
            <v>1320.88</v>
          </cell>
        </row>
        <row r="1310">
          <cell r="A1310">
            <v>40584</v>
          </cell>
          <cell r="B1310">
            <v>2226.5100000000002</v>
          </cell>
          <cell r="C1310">
            <v>2085.35</v>
          </cell>
          <cell r="D1310">
            <v>1321.87</v>
          </cell>
        </row>
        <row r="1311">
          <cell r="A1311">
            <v>40585</v>
          </cell>
          <cell r="B1311">
            <v>2239.08</v>
          </cell>
          <cell r="C1311">
            <v>2097.04</v>
          </cell>
          <cell r="D1311">
            <v>1329.15</v>
          </cell>
        </row>
        <row r="1312">
          <cell r="A1312">
            <v>40588</v>
          </cell>
          <cell r="B1312">
            <v>2244.89</v>
          </cell>
          <cell r="C1312">
            <v>2102.35</v>
          </cell>
          <cell r="D1312">
            <v>1332.32</v>
          </cell>
        </row>
        <row r="1313">
          <cell r="A1313">
            <v>40589</v>
          </cell>
          <cell r="B1313">
            <v>2237.9</v>
          </cell>
          <cell r="C1313">
            <v>2095.7199999999998</v>
          </cell>
          <cell r="D1313">
            <v>1328.01</v>
          </cell>
        </row>
        <row r="1314">
          <cell r="A1314">
            <v>40590</v>
          </cell>
          <cell r="B1314">
            <v>2252.3000000000002</v>
          </cell>
          <cell r="C1314">
            <v>2109.1</v>
          </cell>
          <cell r="D1314">
            <v>1336.32</v>
          </cell>
        </row>
        <row r="1315">
          <cell r="A1315">
            <v>40591</v>
          </cell>
          <cell r="B1315">
            <v>2259.42</v>
          </cell>
          <cell r="C1315">
            <v>2115.71</v>
          </cell>
          <cell r="D1315">
            <v>1340.43</v>
          </cell>
        </row>
        <row r="1316">
          <cell r="A1316">
            <v>40592</v>
          </cell>
          <cell r="B1316">
            <v>2263.79</v>
          </cell>
          <cell r="C1316">
            <v>2119.8000000000002</v>
          </cell>
          <cell r="D1316">
            <v>1343.01</v>
          </cell>
        </row>
        <row r="1317">
          <cell r="A1317">
            <v>40596</v>
          </cell>
          <cell r="B1317">
            <v>2217.35</v>
          </cell>
          <cell r="C1317">
            <v>2076.3000000000002</v>
          </cell>
          <cell r="D1317">
            <v>1315.44</v>
          </cell>
        </row>
        <row r="1318">
          <cell r="A1318">
            <v>40597</v>
          </cell>
          <cell r="B1318">
            <v>2203.89</v>
          </cell>
          <cell r="C1318">
            <v>2063.67</v>
          </cell>
          <cell r="D1318">
            <v>1307.4000000000001</v>
          </cell>
        </row>
        <row r="1319">
          <cell r="A1319">
            <v>40598</v>
          </cell>
          <cell r="B1319">
            <v>2202.23</v>
          </cell>
          <cell r="C1319">
            <v>2061.9699999999998</v>
          </cell>
          <cell r="D1319">
            <v>1306.0999999999999</v>
          </cell>
        </row>
        <row r="1320">
          <cell r="A1320">
            <v>40599</v>
          </cell>
          <cell r="B1320">
            <v>2226.0500000000002</v>
          </cell>
          <cell r="C1320">
            <v>2084.11</v>
          </cell>
          <cell r="D1320">
            <v>1319.88</v>
          </cell>
        </row>
        <row r="1321">
          <cell r="A1321">
            <v>40602</v>
          </cell>
          <cell r="B1321">
            <v>2238.5500000000002</v>
          </cell>
          <cell r="C1321">
            <v>2095.7800000000002</v>
          </cell>
          <cell r="D1321">
            <v>1327.22</v>
          </cell>
        </row>
        <row r="1322">
          <cell r="A1322">
            <v>40603</v>
          </cell>
          <cell r="B1322">
            <v>2203.3200000000002</v>
          </cell>
          <cell r="C1322">
            <v>2062.79</v>
          </cell>
          <cell r="D1322">
            <v>1306.33</v>
          </cell>
        </row>
        <row r="1323">
          <cell r="A1323">
            <v>40604</v>
          </cell>
          <cell r="B1323">
            <v>2207.2399999999998</v>
          </cell>
          <cell r="C1323">
            <v>2066.36</v>
          </cell>
          <cell r="D1323">
            <v>1308.44</v>
          </cell>
        </row>
        <row r="1324">
          <cell r="A1324">
            <v>40605</v>
          </cell>
          <cell r="B1324">
            <v>2245.33</v>
          </cell>
          <cell r="C1324">
            <v>2101.9899999999998</v>
          </cell>
          <cell r="D1324">
            <v>1330.97</v>
          </cell>
        </row>
        <row r="1325">
          <cell r="A1325">
            <v>40606</v>
          </cell>
          <cell r="B1325">
            <v>2228.7800000000002</v>
          </cell>
          <cell r="C1325">
            <v>2086.5</v>
          </cell>
          <cell r="D1325">
            <v>1321.15</v>
          </cell>
        </row>
        <row r="1326">
          <cell r="A1326">
            <v>40609</v>
          </cell>
          <cell r="B1326">
            <v>2210.2600000000002</v>
          </cell>
          <cell r="C1326">
            <v>2069.14</v>
          </cell>
          <cell r="D1326">
            <v>1310.1300000000001</v>
          </cell>
        </row>
        <row r="1327">
          <cell r="A1327">
            <v>40610</v>
          </cell>
          <cell r="B1327">
            <v>2230.4</v>
          </cell>
          <cell r="C1327">
            <v>2087.87</v>
          </cell>
          <cell r="D1327">
            <v>1321.82</v>
          </cell>
        </row>
        <row r="1328">
          <cell r="A1328">
            <v>40611</v>
          </cell>
          <cell r="B1328">
            <v>2227.6999999999998</v>
          </cell>
          <cell r="C1328">
            <v>2085.2600000000002</v>
          </cell>
          <cell r="D1328">
            <v>1320.02</v>
          </cell>
        </row>
        <row r="1329">
          <cell r="A1329">
            <v>40612</v>
          </cell>
          <cell r="B1329">
            <v>2185.65</v>
          </cell>
          <cell r="C1329">
            <v>2045.9</v>
          </cell>
          <cell r="D1329">
            <v>1295.1099999999999</v>
          </cell>
        </row>
        <row r="1330">
          <cell r="A1330">
            <v>40613</v>
          </cell>
          <cell r="B1330">
            <v>2201.81</v>
          </cell>
          <cell r="C1330">
            <v>2060.83</v>
          </cell>
          <cell r="D1330">
            <v>1304.28</v>
          </cell>
        </row>
        <row r="1331">
          <cell r="A1331">
            <v>40616</v>
          </cell>
          <cell r="B1331">
            <v>2188.56</v>
          </cell>
          <cell r="C1331">
            <v>2048.41</v>
          </cell>
          <cell r="D1331">
            <v>1296.3900000000001</v>
          </cell>
        </row>
        <row r="1332">
          <cell r="A1332">
            <v>40617</v>
          </cell>
          <cell r="B1332">
            <v>2164.06</v>
          </cell>
          <cell r="C1332">
            <v>2025.48</v>
          </cell>
          <cell r="D1332">
            <v>1281.8699999999999</v>
          </cell>
        </row>
        <row r="1333">
          <cell r="A1333">
            <v>40618</v>
          </cell>
          <cell r="B1333">
            <v>2121.94</v>
          </cell>
          <cell r="C1333">
            <v>1986.03</v>
          </cell>
          <cell r="D1333">
            <v>1256.8800000000001</v>
          </cell>
        </row>
        <row r="1334">
          <cell r="A1334">
            <v>40619</v>
          </cell>
          <cell r="B1334">
            <v>2150.4299999999998</v>
          </cell>
          <cell r="C1334">
            <v>2012.68</v>
          </cell>
          <cell r="D1334">
            <v>1273.72</v>
          </cell>
        </row>
        <row r="1335">
          <cell r="A1335">
            <v>40620</v>
          </cell>
          <cell r="B1335">
            <v>2159.69</v>
          </cell>
          <cell r="C1335">
            <v>2021.35</v>
          </cell>
          <cell r="D1335">
            <v>1279.2</v>
          </cell>
        </row>
        <row r="1336">
          <cell r="A1336">
            <v>40623</v>
          </cell>
          <cell r="B1336">
            <v>2192.09</v>
          </cell>
          <cell r="C1336">
            <v>2051.67</v>
          </cell>
          <cell r="D1336">
            <v>1298.3800000000001</v>
          </cell>
        </row>
        <row r="1337">
          <cell r="A1337">
            <v>40624</v>
          </cell>
          <cell r="B1337">
            <v>2184.5700000000002</v>
          </cell>
          <cell r="C1337">
            <v>2044.55</v>
          </cell>
          <cell r="D1337">
            <v>1293.77</v>
          </cell>
        </row>
        <row r="1338">
          <cell r="A1338">
            <v>40625</v>
          </cell>
          <cell r="B1338">
            <v>2190.96</v>
          </cell>
          <cell r="C1338">
            <v>2050.5300000000002</v>
          </cell>
          <cell r="D1338">
            <v>1297.54</v>
          </cell>
        </row>
        <row r="1339">
          <cell r="A1339">
            <v>40626</v>
          </cell>
          <cell r="B1339">
            <v>2211.42</v>
          </cell>
          <cell r="C1339">
            <v>2069.6799999999998</v>
          </cell>
          <cell r="D1339">
            <v>1309.6600000000001</v>
          </cell>
        </row>
        <row r="1340">
          <cell r="A1340">
            <v>40627</v>
          </cell>
          <cell r="B1340">
            <v>2218.42</v>
          </cell>
          <cell r="C1340">
            <v>2076.23</v>
          </cell>
          <cell r="D1340">
            <v>1313.8</v>
          </cell>
        </row>
        <row r="1341">
          <cell r="A1341">
            <v>40630</v>
          </cell>
          <cell r="B1341">
            <v>2212.3200000000002</v>
          </cell>
          <cell r="C1341">
            <v>2070.52</v>
          </cell>
          <cell r="D1341">
            <v>1310.19</v>
          </cell>
        </row>
        <row r="1342">
          <cell r="A1342">
            <v>40631</v>
          </cell>
          <cell r="B1342">
            <v>2228.41</v>
          </cell>
          <cell r="C1342">
            <v>2085.44</v>
          </cell>
          <cell r="D1342">
            <v>1319.44</v>
          </cell>
        </row>
        <row r="1343">
          <cell r="A1343">
            <v>40632</v>
          </cell>
          <cell r="B1343">
            <v>2243.5500000000002</v>
          </cell>
          <cell r="C1343">
            <v>2099.5500000000002</v>
          </cell>
          <cell r="D1343">
            <v>1328.26</v>
          </cell>
        </row>
        <row r="1344">
          <cell r="A1344">
            <v>40633</v>
          </cell>
          <cell r="B1344">
            <v>2239.44</v>
          </cell>
          <cell r="C1344">
            <v>2095.6999999999998</v>
          </cell>
          <cell r="D1344">
            <v>1325.83</v>
          </cell>
        </row>
        <row r="1345">
          <cell r="A1345">
            <v>40634</v>
          </cell>
          <cell r="B1345">
            <v>2250.58</v>
          </cell>
          <cell r="C1345">
            <v>2106.12</v>
          </cell>
          <cell r="D1345">
            <v>1332.41</v>
          </cell>
        </row>
        <row r="1346">
          <cell r="A1346">
            <v>40637</v>
          </cell>
          <cell r="B1346">
            <v>2251.64</v>
          </cell>
          <cell r="C1346">
            <v>2107.0300000000002</v>
          </cell>
          <cell r="D1346">
            <v>1332.87</v>
          </cell>
        </row>
        <row r="1347">
          <cell r="A1347">
            <v>40638</v>
          </cell>
          <cell r="B1347">
            <v>2251.2600000000002</v>
          </cell>
          <cell r="C1347">
            <v>2106.67</v>
          </cell>
          <cell r="D1347">
            <v>1332.63</v>
          </cell>
        </row>
        <row r="1348">
          <cell r="A1348">
            <v>40639</v>
          </cell>
          <cell r="B1348">
            <v>2257.11</v>
          </cell>
          <cell r="C1348">
            <v>2111.88</v>
          </cell>
          <cell r="D1348">
            <v>1335.54</v>
          </cell>
        </row>
        <row r="1349">
          <cell r="A1349">
            <v>40640</v>
          </cell>
          <cell r="B1349">
            <v>2253.7600000000002</v>
          </cell>
          <cell r="C1349">
            <v>2108.7199999999998</v>
          </cell>
          <cell r="D1349">
            <v>1333.51</v>
          </cell>
        </row>
        <row r="1350">
          <cell r="A1350">
            <v>40641</v>
          </cell>
          <cell r="B1350">
            <v>2244.7399999999998</v>
          </cell>
          <cell r="C1350">
            <v>2100.2800000000002</v>
          </cell>
          <cell r="D1350">
            <v>1328.17</v>
          </cell>
        </row>
        <row r="1351">
          <cell r="A1351">
            <v>40644</v>
          </cell>
          <cell r="B1351">
            <v>2238.5100000000002</v>
          </cell>
          <cell r="C1351">
            <v>2094.44</v>
          </cell>
          <cell r="D1351">
            <v>1324.46</v>
          </cell>
        </row>
        <row r="1352">
          <cell r="A1352">
            <v>40645</v>
          </cell>
          <cell r="B1352">
            <v>2221.12</v>
          </cell>
          <cell r="C1352">
            <v>2078.16</v>
          </cell>
          <cell r="D1352">
            <v>1314.16</v>
          </cell>
        </row>
        <row r="1353">
          <cell r="A1353">
            <v>40646</v>
          </cell>
          <cell r="B1353">
            <v>2221.77</v>
          </cell>
          <cell r="C1353">
            <v>2078.71</v>
          </cell>
          <cell r="D1353">
            <v>1314.41</v>
          </cell>
        </row>
        <row r="1354">
          <cell r="A1354">
            <v>40647</v>
          </cell>
          <cell r="B1354">
            <v>2221.9899999999998</v>
          </cell>
          <cell r="C1354">
            <v>2078.9</v>
          </cell>
          <cell r="D1354">
            <v>1314.52</v>
          </cell>
        </row>
        <row r="1355">
          <cell r="A1355">
            <v>40648</v>
          </cell>
          <cell r="B1355">
            <v>2230.6999999999998</v>
          </cell>
          <cell r="C1355">
            <v>2087.06</v>
          </cell>
          <cell r="D1355">
            <v>1319.68</v>
          </cell>
        </row>
        <row r="1356">
          <cell r="A1356">
            <v>40651</v>
          </cell>
          <cell r="B1356">
            <v>2206.15</v>
          </cell>
          <cell r="C1356">
            <v>2064.08</v>
          </cell>
          <cell r="D1356">
            <v>1305.1400000000001</v>
          </cell>
        </row>
        <row r="1357">
          <cell r="A1357">
            <v>40652</v>
          </cell>
          <cell r="B1357">
            <v>2218.86</v>
          </cell>
          <cell r="C1357">
            <v>2075.96</v>
          </cell>
          <cell r="D1357">
            <v>1312.62</v>
          </cell>
        </row>
        <row r="1358">
          <cell r="A1358">
            <v>40653</v>
          </cell>
          <cell r="B1358">
            <v>2248.9</v>
          </cell>
          <cell r="C1358">
            <v>2104.0500000000002</v>
          </cell>
          <cell r="D1358">
            <v>1330.36</v>
          </cell>
        </row>
        <row r="1359">
          <cell r="A1359">
            <v>40654</v>
          </cell>
          <cell r="B1359">
            <v>2260.84</v>
          </cell>
          <cell r="C1359">
            <v>2115.19</v>
          </cell>
          <cell r="D1359">
            <v>1337.38</v>
          </cell>
        </row>
        <row r="1360">
          <cell r="A1360">
            <v>40658</v>
          </cell>
          <cell r="B1360">
            <v>2257.2399999999998</v>
          </cell>
          <cell r="C1360">
            <v>2111.8200000000002</v>
          </cell>
          <cell r="D1360">
            <v>1335.25</v>
          </cell>
        </row>
        <row r="1361">
          <cell r="A1361">
            <v>40659</v>
          </cell>
          <cell r="B1361">
            <v>2277.5100000000002</v>
          </cell>
          <cell r="C1361">
            <v>2130.79</v>
          </cell>
          <cell r="D1361">
            <v>1347.24</v>
          </cell>
        </row>
        <row r="1362">
          <cell r="A1362">
            <v>40660</v>
          </cell>
          <cell r="B1362">
            <v>2292.13</v>
          </cell>
          <cell r="C1362">
            <v>2144.36</v>
          </cell>
          <cell r="D1362">
            <v>1355.66</v>
          </cell>
        </row>
        <row r="1363">
          <cell r="A1363">
            <v>40661</v>
          </cell>
          <cell r="B1363">
            <v>2300.46</v>
          </cell>
          <cell r="C1363">
            <v>2152.1</v>
          </cell>
          <cell r="D1363">
            <v>1360.48</v>
          </cell>
        </row>
        <row r="1364">
          <cell r="A1364">
            <v>40662</v>
          </cell>
          <cell r="B1364">
            <v>2305.7600000000002</v>
          </cell>
          <cell r="C1364">
            <v>2157.06</v>
          </cell>
          <cell r="D1364">
            <v>1363.61</v>
          </cell>
        </row>
        <row r="1365">
          <cell r="A1365">
            <v>40665</v>
          </cell>
          <cell r="B1365">
            <v>2301.7199999999998</v>
          </cell>
          <cell r="C1365">
            <v>2153.2800000000002</v>
          </cell>
          <cell r="D1365">
            <v>1361.22</v>
          </cell>
        </row>
        <row r="1366">
          <cell r="A1366">
            <v>40666</v>
          </cell>
          <cell r="B1366">
            <v>2293.9499999999998</v>
          </cell>
          <cell r="C1366">
            <v>2146.0100000000002</v>
          </cell>
          <cell r="D1366">
            <v>1356.62</v>
          </cell>
        </row>
        <row r="1367">
          <cell r="A1367">
            <v>40667</v>
          </cell>
          <cell r="B1367">
            <v>2278.63</v>
          </cell>
          <cell r="C1367">
            <v>2131.5700000000002</v>
          </cell>
          <cell r="D1367">
            <v>1347.32</v>
          </cell>
        </row>
        <row r="1368">
          <cell r="A1368">
            <v>40668</v>
          </cell>
          <cell r="B1368">
            <v>2258.08</v>
          </cell>
          <cell r="C1368">
            <v>2112.3000000000002</v>
          </cell>
          <cell r="D1368">
            <v>1335.1</v>
          </cell>
        </row>
        <row r="1369">
          <cell r="A1369">
            <v>40669</v>
          </cell>
          <cell r="B1369">
            <v>2266.9699999999998</v>
          </cell>
          <cell r="C1369">
            <v>2120.5500000000002</v>
          </cell>
          <cell r="D1369">
            <v>1340.2</v>
          </cell>
        </row>
        <row r="1370">
          <cell r="A1370">
            <v>40672</v>
          </cell>
          <cell r="B1370">
            <v>2277.3000000000002</v>
          </cell>
          <cell r="C1370">
            <v>2130.21</v>
          </cell>
          <cell r="D1370">
            <v>1346.29</v>
          </cell>
        </row>
        <row r="1371">
          <cell r="A1371">
            <v>40673</v>
          </cell>
          <cell r="B1371">
            <v>2295.7199999999998</v>
          </cell>
          <cell r="C1371">
            <v>2147.4299999999998</v>
          </cell>
          <cell r="D1371">
            <v>1357.16</v>
          </cell>
        </row>
        <row r="1372">
          <cell r="A1372">
            <v>40674</v>
          </cell>
          <cell r="B1372">
            <v>2271.4699999999998</v>
          </cell>
          <cell r="C1372">
            <v>2124.39</v>
          </cell>
          <cell r="D1372">
            <v>1342.08</v>
          </cell>
        </row>
        <row r="1373">
          <cell r="A1373">
            <v>40675</v>
          </cell>
          <cell r="B1373">
            <v>2282.84</v>
          </cell>
          <cell r="C1373">
            <v>2134.9499999999998</v>
          </cell>
          <cell r="D1373">
            <v>1348.65</v>
          </cell>
        </row>
        <row r="1374">
          <cell r="A1374">
            <v>40676</v>
          </cell>
          <cell r="B1374">
            <v>2264.52</v>
          </cell>
          <cell r="C1374">
            <v>2117.79</v>
          </cell>
          <cell r="D1374">
            <v>1337.77</v>
          </cell>
        </row>
        <row r="1375">
          <cell r="A1375">
            <v>40679</v>
          </cell>
          <cell r="B1375">
            <v>2250.61</v>
          </cell>
          <cell r="C1375">
            <v>2104.7399999999998</v>
          </cell>
          <cell r="D1375">
            <v>1329.47</v>
          </cell>
        </row>
        <row r="1376">
          <cell r="A1376">
            <v>40680</v>
          </cell>
          <cell r="B1376">
            <v>2250.35</v>
          </cell>
          <cell r="C1376">
            <v>2104.34</v>
          </cell>
          <cell r="D1376">
            <v>1328.98</v>
          </cell>
        </row>
        <row r="1377">
          <cell r="A1377">
            <v>40681</v>
          </cell>
          <cell r="B1377">
            <v>2270.5700000000002</v>
          </cell>
          <cell r="C1377">
            <v>2123.13</v>
          </cell>
          <cell r="D1377">
            <v>1340.68</v>
          </cell>
        </row>
        <row r="1378">
          <cell r="A1378">
            <v>40682</v>
          </cell>
          <cell r="B1378">
            <v>2275.71</v>
          </cell>
          <cell r="C1378">
            <v>2127.88</v>
          </cell>
          <cell r="D1378">
            <v>1343.6</v>
          </cell>
        </row>
        <row r="1379">
          <cell r="A1379">
            <v>40683</v>
          </cell>
          <cell r="B1379">
            <v>2258.21</v>
          </cell>
          <cell r="C1379">
            <v>2111.52</v>
          </cell>
          <cell r="D1379">
            <v>1333.27</v>
          </cell>
        </row>
        <row r="1380">
          <cell r="A1380">
            <v>40686</v>
          </cell>
          <cell r="B1380">
            <v>2231.31</v>
          </cell>
          <cell r="C1380">
            <v>2086.36</v>
          </cell>
          <cell r="D1380">
            <v>1317.37</v>
          </cell>
        </row>
        <row r="1381">
          <cell r="A1381">
            <v>40687</v>
          </cell>
          <cell r="B1381">
            <v>2229.4899999999998</v>
          </cell>
          <cell r="C1381">
            <v>2084.65</v>
          </cell>
          <cell r="D1381">
            <v>1316.28</v>
          </cell>
        </row>
        <row r="1382">
          <cell r="A1382">
            <v>40688</v>
          </cell>
          <cell r="B1382">
            <v>2236.75</v>
          </cell>
          <cell r="C1382">
            <v>2091.4</v>
          </cell>
          <cell r="D1382">
            <v>1320.47</v>
          </cell>
        </row>
        <row r="1383">
          <cell r="A1383">
            <v>40689</v>
          </cell>
          <cell r="B1383">
            <v>2246.13</v>
          </cell>
          <cell r="C1383">
            <v>2100.0100000000002</v>
          </cell>
          <cell r="D1383">
            <v>1325.69</v>
          </cell>
        </row>
        <row r="1384">
          <cell r="A1384">
            <v>40690</v>
          </cell>
          <cell r="B1384">
            <v>2255.7399999999998</v>
          </cell>
          <cell r="C1384">
            <v>2108.88</v>
          </cell>
          <cell r="D1384">
            <v>1331.1</v>
          </cell>
        </row>
        <row r="1385">
          <cell r="A1385">
            <v>40694</v>
          </cell>
          <cell r="B1385">
            <v>2279.66</v>
          </cell>
          <cell r="C1385">
            <v>2131.23</v>
          </cell>
          <cell r="D1385">
            <v>1345.2</v>
          </cell>
        </row>
        <row r="1386">
          <cell r="A1386">
            <v>40695</v>
          </cell>
          <cell r="B1386">
            <v>2227.96</v>
          </cell>
          <cell r="C1386">
            <v>2082.83</v>
          </cell>
          <cell r="D1386">
            <v>1314.55</v>
          </cell>
        </row>
        <row r="1387">
          <cell r="A1387">
            <v>40696</v>
          </cell>
          <cell r="B1387">
            <v>2225.36</v>
          </cell>
          <cell r="C1387">
            <v>2080.36</v>
          </cell>
          <cell r="D1387">
            <v>1312.94</v>
          </cell>
        </row>
        <row r="1388">
          <cell r="A1388">
            <v>40697</v>
          </cell>
          <cell r="B1388">
            <v>2203.81</v>
          </cell>
          <cell r="C1388">
            <v>2060.19</v>
          </cell>
          <cell r="D1388">
            <v>1300.1600000000001</v>
          </cell>
        </row>
        <row r="1389">
          <cell r="A1389">
            <v>40700</v>
          </cell>
          <cell r="B1389">
            <v>2180.14</v>
          </cell>
          <cell r="C1389">
            <v>2038.04</v>
          </cell>
          <cell r="D1389">
            <v>1286.17</v>
          </cell>
        </row>
        <row r="1390">
          <cell r="A1390">
            <v>40701</v>
          </cell>
          <cell r="B1390">
            <v>2178.15</v>
          </cell>
          <cell r="C1390">
            <v>2036.16</v>
          </cell>
          <cell r="D1390">
            <v>1284.94</v>
          </cell>
        </row>
        <row r="1391">
          <cell r="A1391">
            <v>40702</v>
          </cell>
          <cell r="B1391">
            <v>2169.5</v>
          </cell>
          <cell r="C1391">
            <v>2027.94</v>
          </cell>
          <cell r="D1391">
            <v>1279.56</v>
          </cell>
        </row>
        <row r="1392">
          <cell r="A1392">
            <v>40703</v>
          </cell>
          <cell r="B1392">
            <v>2185.52</v>
          </cell>
          <cell r="C1392">
            <v>2042.91</v>
          </cell>
          <cell r="D1392">
            <v>1289</v>
          </cell>
        </row>
        <row r="1393">
          <cell r="A1393">
            <v>40704</v>
          </cell>
          <cell r="B1393">
            <v>2155</v>
          </cell>
          <cell r="C1393">
            <v>2014.37</v>
          </cell>
          <cell r="D1393">
            <v>1270.98</v>
          </cell>
        </row>
        <row r="1394">
          <cell r="A1394">
            <v>40707</v>
          </cell>
          <cell r="B1394">
            <v>2157.15</v>
          </cell>
          <cell r="C1394">
            <v>2016.18</v>
          </cell>
          <cell r="D1394">
            <v>1271.83</v>
          </cell>
        </row>
        <row r="1395">
          <cell r="A1395">
            <v>40708</v>
          </cell>
          <cell r="B1395">
            <v>2184.48</v>
          </cell>
          <cell r="C1395">
            <v>2041.69</v>
          </cell>
          <cell r="D1395">
            <v>1287.8699999999999</v>
          </cell>
        </row>
        <row r="1396">
          <cell r="A1396">
            <v>40709</v>
          </cell>
          <cell r="B1396">
            <v>2146.4499999999998</v>
          </cell>
          <cell r="C1396">
            <v>2006.13</v>
          </cell>
          <cell r="D1396">
            <v>1265.42</v>
          </cell>
        </row>
        <row r="1397">
          <cell r="A1397">
            <v>40710</v>
          </cell>
          <cell r="B1397">
            <v>2150.58</v>
          </cell>
          <cell r="C1397">
            <v>2009.89</v>
          </cell>
          <cell r="D1397">
            <v>1267.6400000000001</v>
          </cell>
        </row>
        <row r="1398">
          <cell r="A1398">
            <v>40711</v>
          </cell>
          <cell r="B1398">
            <v>2157.14</v>
          </cell>
          <cell r="C1398">
            <v>2016.02</v>
          </cell>
          <cell r="D1398">
            <v>1271.5</v>
          </cell>
        </row>
        <row r="1399">
          <cell r="A1399">
            <v>40714</v>
          </cell>
          <cell r="B1399">
            <v>2168.8000000000002</v>
          </cell>
          <cell r="C1399">
            <v>2026.91</v>
          </cell>
          <cell r="D1399">
            <v>1278.3599999999999</v>
          </cell>
        </row>
        <row r="1400">
          <cell r="A1400">
            <v>40715</v>
          </cell>
          <cell r="B1400">
            <v>2198.15</v>
          </cell>
          <cell r="C1400">
            <v>2054.27</v>
          </cell>
          <cell r="D1400">
            <v>1295.52</v>
          </cell>
        </row>
        <row r="1401">
          <cell r="A1401">
            <v>40716</v>
          </cell>
          <cell r="B1401">
            <v>2184.0300000000002</v>
          </cell>
          <cell r="C1401">
            <v>2041.05</v>
          </cell>
          <cell r="D1401">
            <v>1287.1400000000001</v>
          </cell>
        </row>
        <row r="1402">
          <cell r="A1402">
            <v>40717</v>
          </cell>
          <cell r="B1402">
            <v>2177.85</v>
          </cell>
          <cell r="C1402">
            <v>2035.28</v>
          </cell>
          <cell r="D1402">
            <v>1283.5</v>
          </cell>
        </row>
        <row r="1403">
          <cell r="A1403">
            <v>40718</v>
          </cell>
          <cell r="B1403">
            <v>2152.31</v>
          </cell>
          <cell r="C1403">
            <v>2011.41</v>
          </cell>
          <cell r="D1403">
            <v>1268.45</v>
          </cell>
        </row>
        <row r="1404">
          <cell r="A1404">
            <v>40721</v>
          </cell>
          <cell r="B1404">
            <v>2172.08</v>
          </cell>
          <cell r="C1404">
            <v>2029.88</v>
          </cell>
          <cell r="D1404">
            <v>1280.0999999999999</v>
          </cell>
        </row>
        <row r="1405">
          <cell r="A1405">
            <v>40722</v>
          </cell>
          <cell r="B1405">
            <v>2200.6799999999998</v>
          </cell>
          <cell r="C1405">
            <v>2056.48</v>
          </cell>
          <cell r="D1405">
            <v>1296.67</v>
          </cell>
        </row>
        <row r="1406">
          <cell r="A1406">
            <v>40723</v>
          </cell>
          <cell r="B1406">
            <v>2219.1999999999998</v>
          </cell>
          <cell r="C1406">
            <v>2073.6999999999998</v>
          </cell>
          <cell r="D1406">
            <v>1307.4100000000001</v>
          </cell>
        </row>
        <row r="1407">
          <cell r="A1407">
            <v>40724</v>
          </cell>
          <cell r="B1407">
            <v>2241.66</v>
          </cell>
          <cell r="C1407">
            <v>2094.69</v>
          </cell>
          <cell r="D1407">
            <v>1320.64</v>
          </cell>
        </row>
        <row r="1408">
          <cell r="A1408">
            <v>40725</v>
          </cell>
          <cell r="B1408">
            <v>2274.2600000000002</v>
          </cell>
          <cell r="C1408">
            <v>2125.06</v>
          </cell>
          <cell r="D1408">
            <v>1339.67</v>
          </cell>
        </row>
        <row r="1409">
          <cell r="A1409">
            <v>40729</v>
          </cell>
          <cell r="B1409">
            <v>2271.29</v>
          </cell>
          <cell r="C1409">
            <v>2122.27</v>
          </cell>
          <cell r="D1409">
            <v>1337.88</v>
          </cell>
        </row>
        <row r="1410">
          <cell r="A1410">
            <v>40730</v>
          </cell>
          <cell r="B1410">
            <v>2274.42</v>
          </cell>
          <cell r="C1410">
            <v>2124.96</v>
          </cell>
          <cell r="D1410">
            <v>1339.22</v>
          </cell>
        </row>
        <row r="1411">
          <cell r="A1411">
            <v>40731</v>
          </cell>
          <cell r="B1411">
            <v>2298.31</v>
          </cell>
          <cell r="C1411">
            <v>2147.2399999999998</v>
          </cell>
          <cell r="D1411">
            <v>1353.22</v>
          </cell>
        </row>
        <row r="1412">
          <cell r="A1412">
            <v>40732</v>
          </cell>
          <cell r="B1412">
            <v>2282.3200000000002</v>
          </cell>
          <cell r="C1412">
            <v>2132.31</v>
          </cell>
          <cell r="D1412">
            <v>1343.8</v>
          </cell>
        </row>
        <row r="1413">
          <cell r="A1413">
            <v>40735</v>
          </cell>
          <cell r="B1413">
            <v>2241.0700000000002</v>
          </cell>
          <cell r="C1413">
            <v>2093.7600000000002</v>
          </cell>
          <cell r="D1413">
            <v>1319.49</v>
          </cell>
        </row>
        <row r="1414">
          <cell r="A1414">
            <v>40736</v>
          </cell>
          <cell r="B1414">
            <v>2231.15</v>
          </cell>
          <cell r="C1414">
            <v>2084.4899999999998</v>
          </cell>
          <cell r="D1414">
            <v>1313.64</v>
          </cell>
        </row>
        <row r="1415">
          <cell r="A1415">
            <v>40737</v>
          </cell>
          <cell r="B1415">
            <v>2238.29</v>
          </cell>
          <cell r="C1415">
            <v>2091.09</v>
          </cell>
          <cell r="D1415">
            <v>1317.72</v>
          </cell>
        </row>
        <row r="1416">
          <cell r="A1416">
            <v>40738</v>
          </cell>
          <cell r="B1416">
            <v>2223.29</v>
          </cell>
          <cell r="C1416">
            <v>2077.0700000000002</v>
          </cell>
          <cell r="D1416">
            <v>1308.8699999999999</v>
          </cell>
        </row>
        <row r="1417">
          <cell r="A1417">
            <v>40739</v>
          </cell>
          <cell r="B1417">
            <v>2235.65</v>
          </cell>
          <cell r="C1417">
            <v>2088.61</v>
          </cell>
          <cell r="D1417">
            <v>1316.14</v>
          </cell>
        </row>
        <row r="1418">
          <cell r="A1418">
            <v>40742</v>
          </cell>
          <cell r="B1418">
            <v>2217.5500000000002</v>
          </cell>
          <cell r="C1418">
            <v>2071.6799999999998</v>
          </cell>
          <cell r="D1418">
            <v>1305.44</v>
          </cell>
        </row>
        <row r="1419">
          <cell r="A1419">
            <v>40743</v>
          </cell>
          <cell r="B1419">
            <v>2253.71</v>
          </cell>
          <cell r="C1419">
            <v>2105.4699999999998</v>
          </cell>
          <cell r="D1419">
            <v>1326.73</v>
          </cell>
        </row>
        <row r="1420">
          <cell r="A1420">
            <v>40744</v>
          </cell>
          <cell r="B1420">
            <v>2252.52</v>
          </cell>
          <cell r="C1420">
            <v>2104.27</v>
          </cell>
          <cell r="D1420">
            <v>1325.84</v>
          </cell>
        </row>
        <row r="1421">
          <cell r="A1421">
            <v>40745</v>
          </cell>
          <cell r="B1421">
            <v>2283.23</v>
          </cell>
          <cell r="C1421">
            <v>2132.9</v>
          </cell>
          <cell r="D1421">
            <v>1343.8</v>
          </cell>
        </row>
        <row r="1422">
          <cell r="A1422">
            <v>40746</v>
          </cell>
          <cell r="B1422">
            <v>2285.34</v>
          </cell>
          <cell r="C1422">
            <v>2134.86</v>
          </cell>
          <cell r="D1422">
            <v>1345.02</v>
          </cell>
        </row>
        <row r="1423">
          <cell r="A1423">
            <v>40749</v>
          </cell>
          <cell r="B1423">
            <v>2272.4699999999998</v>
          </cell>
          <cell r="C1423">
            <v>2122.83</v>
          </cell>
          <cell r="D1423">
            <v>1337.43</v>
          </cell>
        </row>
        <row r="1424">
          <cell r="A1424">
            <v>40750</v>
          </cell>
          <cell r="B1424">
            <v>2263.15</v>
          </cell>
          <cell r="C1424">
            <v>2114.12</v>
          </cell>
          <cell r="D1424">
            <v>1331.94</v>
          </cell>
        </row>
        <row r="1425">
          <cell r="A1425">
            <v>40751</v>
          </cell>
          <cell r="B1425">
            <v>2217.29</v>
          </cell>
          <cell r="C1425">
            <v>2071.25</v>
          </cell>
          <cell r="D1425">
            <v>1304.8900000000001</v>
          </cell>
        </row>
        <row r="1426">
          <cell r="A1426">
            <v>40752</v>
          </cell>
          <cell r="B1426">
            <v>2210.33</v>
          </cell>
          <cell r="C1426">
            <v>2064.69</v>
          </cell>
          <cell r="D1426">
            <v>1300.67</v>
          </cell>
        </row>
        <row r="1427">
          <cell r="A1427">
            <v>40753</v>
          </cell>
          <cell r="B1427">
            <v>2196.08</v>
          </cell>
          <cell r="C1427">
            <v>2051.38</v>
          </cell>
          <cell r="D1427">
            <v>1292.28</v>
          </cell>
        </row>
        <row r="1428">
          <cell r="A1428">
            <v>40756</v>
          </cell>
          <cell r="B1428">
            <v>2187</v>
          </cell>
          <cell r="C1428">
            <v>2042.9</v>
          </cell>
          <cell r="D1428">
            <v>1286.94</v>
          </cell>
        </row>
        <row r="1429">
          <cell r="A1429">
            <v>40757</v>
          </cell>
          <cell r="B1429">
            <v>2131.1</v>
          </cell>
          <cell r="C1429">
            <v>1990.68</v>
          </cell>
          <cell r="D1429">
            <v>1254.05</v>
          </cell>
        </row>
        <row r="1430">
          <cell r="A1430">
            <v>40758</v>
          </cell>
          <cell r="B1430">
            <v>2142.56</v>
          </cell>
          <cell r="C1430">
            <v>2001.18</v>
          </cell>
          <cell r="D1430">
            <v>1260.3399999999999</v>
          </cell>
        </row>
        <row r="1431">
          <cell r="A1431">
            <v>40759</v>
          </cell>
          <cell r="B1431">
            <v>2040.2</v>
          </cell>
          <cell r="C1431">
            <v>1905.54</v>
          </cell>
          <cell r="D1431">
            <v>1200.07</v>
          </cell>
        </row>
        <row r="1432">
          <cell r="A1432">
            <v>40760</v>
          </cell>
          <cell r="B1432">
            <v>2039.04</v>
          </cell>
          <cell r="C1432">
            <v>1904.45</v>
          </cell>
          <cell r="D1432">
            <v>1199.3800000000001</v>
          </cell>
        </row>
        <row r="1433">
          <cell r="A1433">
            <v>40763</v>
          </cell>
          <cell r="B1433">
            <v>1903.47</v>
          </cell>
          <cell r="C1433">
            <v>1777.75</v>
          </cell>
          <cell r="D1433">
            <v>1119.46</v>
          </cell>
        </row>
        <row r="1434">
          <cell r="A1434">
            <v>40764</v>
          </cell>
          <cell r="B1434">
            <v>1993.76</v>
          </cell>
          <cell r="C1434">
            <v>1862.06</v>
          </cell>
          <cell r="D1434">
            <v>1172.53</v>
          </cell>
        </row>
        <row r="1435">
          <cell r="A1435">
            <v>40765</v>
          </cell>
          <cell r="B1435">
            <v>1906.53</v>
          </cell>
          <cell r="C1435">
            <v>1780.37</v>
          </cell>
          <cell r="D1435">
            <v>1120.76</v>
          </cell>
        </row>
        <row r="1436">
          <cell r="A1436">
            <v>40766</v>
          </cell>
          <cell r="B1436">
            <v>1995.14</v>
          </cell>
          <cell r="C1436">
            <v>1863.01</v>
          </cell>
          <cell r="D1436">
            <v>1172.6400000000001</v>
          </cell>
        </row>
        <row r="1437">
          <cell r="A1437">
            <v>40767</v>
          </cell>
          <cell r="B1437">
            <v>2005.67</v>
          </cell>
          <cell r="C1437">
            <v>1872.84</v>
          </cell>
          <cell r="D1437">
            <v>1178.81</v>
          </cell>
        </row>
        <row r="1438">
          <cell r="A1438">
            <v>40770</v>
          </cell>
          <cell r="B1438">
            <v>2049.5100000000002</v>
          </cell>
          <cell r="C1438">
            <v>1913.73</v>
          </cell>
          <cell r="D1438">
            <v>1204.49</v>
          </cell>
        </row>
        <row r="1439">
          <cell r="A1439">
            <v>40771</v>
          </cell>
          <cell r="B1439">
            <v>2029.92</v>
          </cell>
          <cell r="C1439">
            <v>1895.34</v>
          </cell>
          <cell r="D1439">
            <v>1192.76</v>
          </cell>
        </row>
        <row r="1440">
          <cell r="A1440">
            <v>40772</v>
          </cell>
          <cell r="B1440">
            <v>2032.41</v>
          </cell>
          <cell r="C1440">
            <v>1897.5</v>
          </cell>
          <cell r="D1440">
            <v>1193.8900000000001</v>
          </cell>
        </row>
        <row r="1441">
          <cell r="A1441">
            <v>40773</v>
          </cell>
          <cell r="B1441">
            <v>1941.92</v>
          </cell>
          <cell r="C1441">
            <v>1812.98</v>
          </cell>
          <cell r="D1441">
            <v>1140.6500000000001</v>
          </cell>
        </row>
        <row r="1442">
          <cell r="A1442">
            <v>40774</v>
          </cell>
          <cell r="B1442">
            <v>1912.77</v>
          </cell>
          <cell r="C1442">
            <v>1785.77</v>
          </cell>
          <cell r="D1442">
            <v>1123.53</v>
          </cell>
        </row>
        <row r="1443">
          <cell r="A1443">
            <v>40777</v>
          </cell>
          <cell r="B1443">
            <v>1913.27</v>
          </cell>
          <cell r="C1443">
            <v>1786.23</v>
          </cell>
          <cell r="D1443">
            <v>1123.82</v>
          </cell>
        </row>
        <row r="1444">
          <cell r="A1444">
            <v>40778</v>
          </cell>
          <cell r="B1444">
            <v>1978.89</v>
          </cell>
          <cell r="C1444">
            <v>1847.49</v>
          </cell>
          <cell r="D1444">
            <v>1162.3499999999999</v>
          </cell>
        </row>
        <row r="1445">
          <cell r="A1445">
            <v>40779</v>
          </cell>
          <cell r="B1445">
            <v>2005.13</v>
          </cell>
          <cell r="C1445">
            <v>1871.91</v>
          </cell>
          <cell r="D1445">
            <v>1177.5999999999999</v>
          </cell>
        </row>
        <row r="1446">
          <cell r="A1446">
            <v>40780</v>
          </cell>
          <cell r="B1446">
            <v>1973.96</v>
          </cell>
          <cell r="C1446">
            <v>1842.8</v>
          </cell>
          <cell r="D1446">
            <v>1159.27</v>
          </cell>
        </row>
        <row r="1447">
          <cell r="A1447">
            <v>40781</v>
          </cell>
          <cell r="B1447">
            <v>2004.11</v>
          </cell>
          <cell r="C1447">
            <v>1870.86</v>
          </cell>
          <cell r="D1447">
            <v>1176.8</v>
          </cell>
        </row>
        <row r="1448">
          <cell r="A1448">
            <v>40784</v>
          </cell>
          <cell r="B1448">
            <v>2061.0500000000002</v>
          </cell>
          <cell r="C1448">
            <v>1923.94</v>
          </cell>
          <cell r="D1448">
            <v>1210.08</v>
          </cell>
        </row>
        <row r="1449">
          <cell r="A1449">
            <v>40785</v>
          </cell>
          <cell r="B1449">
            <v>2066.37</v>
          </cell>
          <cell r="C1449">
            <v>1928.77</v>
          </cell>
          <cell r="D1449">
            <v>1212.92</v>
          </cell>
        </row>
        <row r="1450">
          <cell r="A1450">
            <v>40786</v>
          </cell>
          <cell r="B1450">
            <v>2076.7800000000002</v>
          </cell>
          <cell r="C1450">
            <v>1938.42</v>
          </cell>
          <cell r="D1450">
            <v>1218.8900000000001</v>
          </cell>
        </row>
        <row r="1451">
          <cell r="A1451">
            <v>40787</v>
          </cell>
          <cell r="B1451">
            <v>2052.3000000000002</v>
          </cell>
          <cell r="C1451">
            <v>1915.52</v>
          </cell>
          <cell r="D1451">
            <v>1204.42</v>
          </cell>
        </row>
        <row r="1452">
          <cell r="A1452">
            <v>40788</v>
          </cell>
          <cell r="B1452">
            <v>2000.5</v>
          </cell>
          <cell r="C1452">
            <v>1867.15</v>
          </cell>
          <cell r="D1452">
            <v>1173.97</v>
          </cell>
        </row>
        <row r="1453">
          <cell r="A1453">
            <v>40792</v>
          </cell>
          <cell r="B1453">
            <v>1985.67</v>
          </cell>
          <cell r="C1453">
            <v>1853.3</v>
          </cell>
          <cell r="D1453">
            <v>1165.24</v>
          </cell>
        </row>
        <row r="1454">
          <cell r="A1454">
            <v>40793</v>
          </cell>
          <cell r="B1454">
            <v>2043.05</v>
          </cell>
          <cell r="C1454">
            <v>1906.71</v>
          </cell>
          <cell r="D1454">
            <v>1198.6199999999999</v>
          </cell>
        </row>
        <row r="1455">
          <cell r="A1455">
            <v>40794</v>
          </cell>
          <cell r="B1455">
            <v>2021.42</v>
          </cell>
          <cell r="C1455">
            <v>1886.51</v>
          </cell>
          <cell r="D1455">
            <v>1185.9000000000001</v>
          </cell>
        </row>
        <row r="1456">
          <cell r="A1456">
            <v>40795</v>
          </cell>
          <cell r="B1456">
            <v>1967.47</v>
          </cell>
          <cell r="C1456">
            <v>1836.16</v>
          </cell>
          <cell r="D1456">
            <v>1154.23</v>
          </cell>
        </row>
        <row r="1457">
          <cell r="A1457">
            <v>40798</v>
          </cell>
          <cell r="B1457">
            <v>1981.3</v>
          </cell>
          <cell r="C1457">
            <v>1849.02</v>
          </cell>
          <cell r="D1457">
            <v>1162.27</v>
          </cell>
        </row>
        <row r="1458">
          <cell r="A1458">
            <v>40799</v>
          </cell>
          <cell r="B1458">
            <v>2000.08</v>
          </cell>
          <cell r="C1458">
            <v>1866.35</v>
          </cell>
          <cell r="D1458">
            <v>1172.8699999999999</v>
          </cell>
        </row>
        <row r="1459">
          <cell r="A1459">
            <v>40800</v>
          </cell>
          <cell r="B1459">
            <v>2027.04</v>
          </cell>
          <cell r="C1459">
            <v>1891.5</v>
          </cell>
          <cell r="D1459">
            <v>1188.68</v>
          </cell>
        </row>
        <row r="1460">
          <cell r="A1460">
            <v>40801</v>
          </cell>
          <cell r="B1460">
            <v>2062.25</v>
          </cell>
          <cell r="C1460">
            <v>1924.26</v>
          </cell>
          <cell r="D1460">
            <v>1209.1099999999999</v>
          </cell>
        </row>
        <row r="1461">
          <cell r="A1461">
            <v>40802</v>
          </cell>
          <cell r="B1461">
            <v>2074.06</v>
          </cell>
          <cell r="C1461">
            <v>1935.27</v>
          </cell>
          <cell r="D1461">
            <v>1216.01</v>
          </cell>
        </row>
        <row r="1462">
          <cell r="A1462">
            <v>40805</v>
          </cell>
          <cell r="B1462">
            <v>2053.7399999999998</v>
          </cell>
          <cell r="C1462">
            <v>1916.31</v>
          </cell>
          <cell r="D1462">
            <v>1204.0899999999999</v>
          </cell>
        </row>
        <row r="1463">
          <cell r="A1463">
            <v>40806</v>
          </cell>
          <cell r="B1463">
            <v>2050.39</v>
          </cell>
          <cell r="C1463">
            <v>1913.16</v>
          </cell>
          <cell r="D1463">
            <v>1202.0899999999999</v>
          </cell>
        </row>
        <row r="1464">
          <cell r="A1464">
            <v>40807</v>
          </cell>
          <cell r="B1464">
            <v>1990.2</v>
          </cell>
          <cell r="C1464">
            <v>1856.98</v>
          </cell>
          <cell r="D1464">
            <v>1166.76</v>
          </cell>
        </row>
        <row r="1465">
          <cell r="A1465">
            <v>40808</v>
          </cell>
          <cell r="B1465">
            <v>1926.76</v>
          </cell>
          <cell r="C1465">
            <v>1797.78</v>
          </cell>
          <cell r="D1465">
            <v>1129.56</v>
          </cell>
        </row>
        <row r="1466">
          <cell r="A1466">
            <v>40809</v>
          </cell>
          <cell r="B1466">
            <v>1938.73</v>
          </cell>
          <cell r="C1466">
            <v>1808.88</v>
          </cell>
          <cell r="D1466">
            <v>1136.43</v>
          </cell>
        </row>
        <row r="1467">
          <cell r="A1467">
            <v>40812</v>
          </cell>
          <cell r="B1467">
            <v>1983.97</v>
          </cell>
          <cell r="C1467">
            <v>1851.09</v>
          </cell>
          <cell r="D1467">
            <v>1162.95</v>
          </cell>
        </row>
        <row r="1468">
          <cell r="A1468">
            <v>40813</v>
          </cell>
          <cell r="B1468">
            <v>2005.19</v>
          </cell>
          <cell r="C1468">
            <v>1870.89</v>
          </cell>
          <cell r="D1468">
            <v>1175.3800000000001</v>
          </cell>
        </row>
        <row r="1469">
          <cell r="A1469">
            <v>40814</v>
          </cell>
          <cell r="B1469">
            <v>1964.2</v>
          </cell>
          <cell r="C1469">
            <v>1832.5</v>
          </cell>
          <cell r="D1469">
            <v>1151.06</v>
          </cell>
        </row>
        <row r="1470">
          <cell r="A1470">
            <v>40815</v>
          </cell>
          <cell r="B1470">
            <v>1980.23</v>
          </cell>
          <cell r="C1470">
            <v>1847.43</v>
          </cell>
          <cell r="D1470">
            <v>1160.4000000000001</v>
          </cell>
        </row>
        <row r="1471">
          <cell r="A1471">
            <v>40816</v>
          </cell>
          <cell r="B1471">
            <v>1930.79</v>
          </cell>
          <cell r="C1471">
            <v>1801.3</v>
          </cell>
          <cell r="D1471">
            <v>1131.42</v>
          </cell>
        </row>
        <row r="1472">
          <cell r="A1472">
            <v>40819</v>
          </cell>
          <cell r="B1472">
            <v>1875.95</v>
          </cell>
          <cell r="C1472">
            <v>1750.11</v>
          </cell>
          <cell r="D1472">
            <v>1099.23</v>
          </cell>
        </row>
        <row r="1473">
          <cell r="A1473">
            <v>40820</v>
          </cell>
          <cell r="B1473">
            <v>1918.39</v>
          </cell>
          <cell r="C1473">
            <v>1789.64</v>
          </cell>
          <cell r="D1473">
            <v>1123.95</v>
          </cell>
        </row>
        <row r="1474">
          <cell r="A1474">
            <v>40821</v>
          </cell>
          <cell r="B1474">
            <v>1953.67</v>
          </cell>
          <cell r="C1474">
            <v>1822.27</v>
          </cell>
          <cell r="D1474">
            <v>1144.03</v>
          </cell>
        </row>
        <row r="1475">
          <cell r="A1475">
            <v>40822</v>
          </cell>
          <cell r="B1475">
            <v>1989.61</v>
          </cell>
          <cell r="C1475">
            <v>1855.74</v>
          </cell>
          <cell r="D1475">
            <v>1164.97</v>
          </cell>
        </row>
        <row r="1476">
          <cell r="A1476">
            <v>40823</v>
          </cell>
          <cell r="B1476">
            <v>1973.42</v>
          </cell>
          <cell r="C1476">
            <v>1840.63</v>
          </cell>
          <cell r="D1476">
            <v>1155.46</v>
          </cell>
        </row>
        <row r="1477">
          <cell r="A1477">
            <v>40826</v>
          </cell>
          <cell r="B1477">
            <v>2040.76</v>
          </cell>
          <cell r="C1477">
            <v>1903.43</v>
          </cell>
          <cell r="D1477">
            <v>1194.8900000000001</v>
          </cell>
        </row>
        <row r="1478">
          <cell r="A1478">
            <v>40827</v>
          </cell>
          <cell r="B1478">
            <v>2041.9</v>
          </cell>
          <cell r="C1478">
            <v>1904.48</v>
          </cell>
          <cell r="D1478">
            <v>1195.54</v>
          </cell>
        </row>
        <row r="1479">
          <cell r="A1479">
            <v>40828</v>
          </cell>
          <cell r="B1479">
            <v>2062.2199999999998</v>
          </cell>
          <cell r="C1479">
            <v>1923.36</v>
          </cell>
          <cell r="D1479">
            <v>1207.25</v>
          </cell>
        </row>
        <row r="1480">
          <cell r="A1480">
            <v>40829</v>
          </cell>
          <cell r="B1480">
            <v>2056.2600000000002</v>
          </cell>
          <cell r="C1480">
            <v>1917.74</v>
          </cell>
          <cell r="D1480">
            <v>1203.6600000000001</v>
          </cell>
        </row>
        <row r="1481">
          <cell r="A1481">
            <v>40830</v>
          </cell>
          <cell r="B1481">
            <v>2091.9899999999998</v>
          </cell>
          <cell r="C1481">
            <v>1951.07</v>
          </cell>
          <cell r="D1481">
            <v>1224.58</v>
          </cell>
        </row>
        <row r="1482">
          <cell r="A1482">
            <v>40833</v>
          </cell>
          <cell r="B1482">
            <v>2051.54</v>
          </cell>
          <cell r="C1482">
            <v>1913.33</v>
          </cell>
          <cell r="D1482">
            <v>1200.8599999999999</v>
          </cell>
        </row>
        <row r="1483">
          <cell r="A1483">
            <v>40834</v>
          </cell>
          <cell r="B1483">
            <v>2093.4299999999998</v>
          </cell>
          <cell r="C1483">
            <v>1952.4</v>
          </cell>
          <cell r="D1483">
            <v>1225.3800000000001</v>
          </cell>
        </row>
        <row r="1484">
          <cell r="A1484">
            <v>40835</v>
          </cell>
          <cell r="B1484">
            <v>2067.2800000000002</v>
          </cell>
          <cell r="C1484">
            <v>1927.91</v>
          </cell>
          <cell r="D1484">
            <v>1209.8800000000001</v>
          </cell>
        </row>
        <row r="1485">
          <cell r="A1485">
            <v>40836</v>
          </cell>
          <cell r="B1485">
            <v>2076.75</v>
          </cell>
          <cell r="C1485">
            <v>1936.73</v>
          </cell>
          <cell r="D1485">
            <v>1215.3900000000001</v>
          </cell>
        </row>
        <row r="1486">
          <cell r="A1486">
            <v>40837</v>
          </cell>
          <cell r="B1486">
            <v>2115.86</v>
          </cell>
          <cell r="C1486">
            <v>1973.19</v>
          </cell>
          <cell r="D1486">
            <v>1238.25</v>
          </cell>
        </row>
        <row r="1487">
          <cell r="A1487">
            <v>40840</v>
          </cell>
          <cell r="B1487">
            <v>2143.13</v>
          </cell>
          <cell r="C1487">
            <v>1998.61</v>
          </cell>
          <cell r="D1487">
            <v>1254.19</v>
          </cell>
        </row>
        <row r="1488">
          <cell r="A1488">
            <v>40841</v>
          </cell>
          <cell r="B1488">
            <v>2100.17</v>
          </cell>
          <cell r="C1488">
            <v>1958.55</v>
          </cell>
          <cell r="D1488">
            <v>1229.05</v>
          </cell>
        </row>
        <row r="1489">
          <cell r="A1489">
            <v>40842</v>
          </cell>
          <cell r="B1489">
            <v>2122.3200000000002</v>
          </cell>
          <cell r="C1489">
            <v>1979.2</v>
          </cell>
          <cell r="D1489">
            <v>1242</v>
          </cell>
        </row>
        <row r="1490">
          <cell r="A1490">
            <v>40843</v>
          </cell>
          <cell r="B1490">
            <v>2195.2199999999998</v>
          </cell>
          <cell r="C1490">
            <v>2047.15</v>
          </cell>
          <cell r="D1490">
            <v>1284.5899999999999</v>
          </cell>
        </row>
        <row r="1491">
          <cell r="A1491">
            <v>40844</v>
          </cell>
          <cell r="B1491">
            <v>2196.13</v>
          </cell>
          <cell r="C1491">
            <v>2047.98</v>
          </cell>
          <cell r="D1491">
            <v>1285.0899999999999</v>
          </cell>
        </row>
        <row r="1492">
          <cell r="A1492">
            <v>40847</v>
          </cell>
          <cell r="B1492">
            <v>2141.81</v>
          </cell>
          <cell r="C1492">
            <v>1997.32</v>
          </cell>
          <cell r="D1492">
            <v>1253.3</v>
          </cell>
        </row>
        <row r="1493">
          <cell r="A1493">
            <v>40848</v>
          </cell>
          <cell r="B1493">
            <v>2081.9699999999998</v>
          </cell>
          <cell r="C1493">
            <v>1941.52</v>
          </cell>
          <cell r="D1493">
            <v>1218.28</v>
          </cell>
        </row>
        <row r="1494">
          <cell r="A1494">
            <v>40849</v>
          </cell>
          <cell r="B1494">
            <v>2115.6999999999998</v>
          </cell>
          <cell r="C1494">
            <v>1972.92</v>
          </cell>
          <cell r="D1494">
            <v>1237.9000000000001</v>
          </cell>
        </row>
        <row r="1495">
          <cell r="A1495">
            <v>40850</v>
          </cell>
          <cell r="B1495">
            <v>2155.87</v>
          </cell>
          <cell r="C1495">
            <v>2010.26</v>
          </cell>
          <cell r="D1495">
            <v>1261.1500000000001</v>
          </cell>
        </row>
        <row r="1496">
          <cell r="A1496">
            <v>40851</v>
          </cell>
          <cell r="B1496">
            <v>2142.34</v>
          </cell>
          <cell r="C1496">
            <v>1997.64</v>
          </cell>
          <cell r="D1496">
            <v>1253.23</v>
          </cell>
        </row>
        <row r="1497">
          <cell r="A1497">
            <v>40854</v>
          </cell>
          <cell r="B1497">
            <v>2156</v>
          </cell>
          <cell r="C1497">
            <v>2010.33</v>
          </cell>
          <cell r="D1497">
            <v>1261.1199999999999</v>
          </cell>
        </row>
        <row r="1498">
          <cell r="A1498">
            <v>40855</v>
          </cell>
          <cell r="B1498">
            <v>2182.61</v>
          </cell>
          <cell r="C1498">
            <v>2034.77</v>
          </cell>
          <cell r="D1498">
            <v>1275.92</v>
          </cell>
        </row>
        <row r="1499">
          <cell r="A1499">
            <v>40856</v>
          </cell>
          <cell r="B1499">
            <v>2102.7199999999998</v>
          </cell>
          <cell r="C1499">
            <v>1960.24</v>
          </cell>
          <cell r="D1499">
            <v>1229.0999999999999</v>
          </cell>
        </row>
        <row r="1500">
          <cell r="A1500">
            <v>40857</v>
          </cell>
          <cell r="B1500">
            <v>2121.14</v>
          </cell>
          <cell r="C1500">
            <v>1977.32</v>
          </cell>
          <cell r="D1500">
            <v>1239.69</v>
          </cell>
        </row>
        <row r="1501">
          <cell r="A1501">
            <v>40858</v>
          </cell>
          <cell r="B1501">
            <v>2162.48</v>
          </cell>
          <cell r="C1501">
            <v>2015.87</v>
          </cell>
          <cell r="D1501">
            <v>1263.8499999999999</v>
          </cell>
        </row>
        <row r="1502">
          <cell r="A1502">
            <v>40861</v>
          </cell>
          <cell r="B1502">
            <v>2142.09</v>
          </cell>
          <cell r="C1502">
            <v>1996.78</v>
          </cell>
          <cell r="D1502">
            <v>1251.78</v>
          </cell>
        </row>
        <row r="1503">
          <cell r="A1503">
            <v>40862</v>
          </cell>
          <cell r="B1503">
            <v>2152.8000000000002</v>
          </cell>
          <cell r="C1503">
            <v>2006.65</v>
          </cell>
          <cell r="D1503">
            <v>1257.81</v>
          </cell>
        </row>
        <row r="1504">
          <cell r="A1504">
            <v>40863</v>
          </cell>
          <cell r="B1504">
            <v>2117.64</v>
          </cell>
          <cell r="C1504">
            <v>1973.71</v>
          </cell>
          <cell r="D1504">
            <v>1236.9100000000001</v>
          </cell>
        </row>
        <row r="1505">
          <cell r="A1505">
            <v>40864</v>
          </cell>
          <cell r="B1505">
            <v>2082.1</v>
          </cell>
          <cell r="C1505">
            <v>1940.57</v>
          </cell>
          <cell r="D1505">
            <v>1216.1300000000001</v>
          </cell>
        </row>
        <row r="1506">
          <cell r="A1506">
            <v>40865</v>
          </cell>
          <cell r="B1506">
            <v>2081.42</v>
          </cell>
          <cell r="C1506">
            <v>1939.9</v>
          </cell>
          <cell r="D1506">
            <v>1215.6500000000001</v>
          </cell>
        </row>
        <row r="1507">
          <cell r="A1507">
            <v>40868</v>
          </cell>
          <cell r="B1507">
            <v>2042.71</v>
          </cell>
          <cell r="C1507">
            <v>1903.79</v>
          </cell>
          <cell r="D1507">
            <v>1192.98</v>
          </cell>
        </row>
        <row r="1508">
          <cell r="A1508">
            <v>40869</v>
          </cell>
          <cell r="B1508">
            <v>2034.41</v>
          </cell>
          <cell r="C1508">
            <v>1896.01</v>
          </cell>
          <cell r="D1508">
            <v>1188.04</v>
          </cell>
        </row>
        <row r="1509">
          <cell r="A1509">
            <v>40870</v>
          </cell>
          <cell r="B1509">
            <v>1989.54</v>
          </cell>
          <cell r="C1509">
            <v>1854.17</v>
          </cell>
          <cell r="D1509">
            <v>1161.79</v>
          </cell>
        </row>
        <row r="1510">
          <cell r="A1510">
            <v>40872</v>
          </cell>
          <cell r="B1510">
            <v>1984.5</v>
          </cell>
          <cell r="C1510">
            <v>1849.39</v>
          </cell>
          <cell r="D1510">
            <v>1158.67</v>
          </cell>
        </row>
        <row r="1511">
          <cell r="A1511">
            <v>40875</v>
          </cell>
          <cell r="B1511">
            <v>2042.8</v>
          </cell>
          <cell r="C1511">
            <v>1903.65</v>
          </cell>
          <cell r="D1511">
            <v>1192.55</v>
          </cell>
        </row>
        <row r="1512">
          <cell r="A1512">
            <v>40876</v>
          </cell>
          <cell r="B1512">
            <v>2048.06</v>
          </cell>
          <cell r="C1512">
            <v>1908.35</v>
          </cell>
          <cell r="D1512">
            <v>1195.19</v>
          </cell>
        </row>
        <row r="1513">
          <cell r="A1513">
            <v>40877</v>
          </cell>
          <cell r="B1513">
            <v>2137.08</v>
          </cell>
          <cell r="C1513">
            <v>1991.2</v>
          </cell>
          <cell r="D1513">
            <v>1246.96</v>
          </cell>
        </row>
        <row r="1514">
          <cell r="A1514">
            <v>40878</v>
          </cell>
          <cell r="B1514">
            <v>2133.0700000000002</v>
          </cell>
          <cell r="C1514">
            <v>1987.45</v>
          </cell>
          <cell r="D1514">
            <v>1244.58</v>
          </cell>
        </row>
        <row r="1515">
          <cell r="A1515">
            <v>40879</v>
          </cell>
          <cell r="B1515">
            <v>2132.64</v>
          </cell>
          <cell r="C1515">
            <v>1987.02</v>
          </cell>
          <cell r="D1515">
            <v>1244.28</v>
          </cell>
        </row>
        <row r="1516">
          <cell r="A1516">
            <v>40882</v>
          </cell>
          <cell r="B1516">
            <v>2154.6799999999998</v>
          </cell>
          <cell r="C1516">
            <v>2007.53</v>
          </cell>
          <cell r="D1516">
            <v>1257.08</v>
          </cell>
        </row>
        <row r="1517">
          <cell r="A1517">
            <v>40883</v>
          </cell>
          <cell r="B1517">
            <v>2157.1</v>
          </cell>
          <cell r="C1517">
            <v>2009.77</v>
          </cell>
          <cell r="D1517">
            <v>1258.47</v>
          </cell>
        </row>
        <row r="1518">
          <cell r="A1518">
            <v>40884</v>
          </cell>
          <cell r="B1518">
            <v>2162.0700000000002</v>
          </cell>
          <cell r="C1518">
            <v>2014.23</v>
          </cell>
          <cell r="D1518">
            <v>1261.01</v>
          </cell>
        </row>
        <row r="1519">
          <cell r="A1519">
            <v>40885</v>
          </cell>
          <cell r="B1519">
            <v>2116.41</v>
          </cell>
          <cell r="C1519">
            <v>1971.68</v>
          </cell>
          <cell r="D1519">
            <v>1234.3499999999999</v>
          </cell>
        </row>
        <row r="1520">
          <cell r="A1520">
            <v>40886</v>
          </cell>
          <cell r="B1520">
            <v>2152.15</v>
          </cell>
          <cell r="C1520">
            <v>2004.97</v>
          </cell>
          <cell r="D1520">
            <v>1255.19</v>
          </cell>
        </row>
        <row r="1521">
          <cell r="A1521">
            <v>40889</v>
          </cell>
          <cell r="B1521">
            <v>2120.15</v>
          </cell>
          <cell r="C1521">
            <v>1975.14</v>
          </cell>
          <cell r="D1521">
            <v>1236.47</v>
          </cell>
        </row>
        <row r="1522">
          <cell r="A1522">
            <v>40890</v>
          </cell>
          <cell r="B1522">
            <v>2102.15</v>
          </cell>
          <cell r="C1522">
            <v>1958.25</v>
          </cell>
          <cell r="D1522">
            <v>1225.73</v>
          </cell>
        </row>
        <row r="1523">
          <cell r="A1523">
            <v>40891</v>
          </cell>
          <cell r="B1523">
            <v>2078.5100000000002</v>
          </cell>
          <cell r="C1523">
            <v>1936.17</v>
          </cell>
          <cell r="D1523">
            <v>1211.82</v>
          </cell>
        </row>
        <row r="1524">
          <cell r="A1524">
            <v>40892</v>
          </cell>
          <cell r="B1524">
            <v>2085.44</v>
          </cell>
          <cell r="C1524">
            <v>1942.57</v>
          </cell>
          <cell r="D1524">
            <v>1215.75</v>
          </cell>
        </row>
        <row r="1525">
          <cell r="A1525">
            <v>40893</v>
          </cell>
          <cell r="B1525">
            <v>2092.1799999999998</v>
          </cell>
          <cell r="C1525">
            <v>1948.84</v>
          </cell>
          <cell r="D1525">
            <v>1219.6600000000001</v>
          </cell>
        </row>
        <row r="1526">
          <cell r="A1526">
            <v>40896</v>
          </cell>
          <cell r="B1526">
            <v>2067.67</v>
          </cell>
          <cell r="C1526">
            <v>1926</v>
          </cell>
          <cell r="D1526">
            <v>1205.3499999999999</v>
          </cell>
        </row>
        <row r="1527">
          <cell r="A1527">
            <v>40897</v>
          </cell>
          <cell r="B1527">
            <v>2129.67</v>
          </cell>
          <cell r="C1527">
            <v>1983.66</v>
          </cell>
          <cell r="D1527">
            <v>1241.3</v>
          </cell>
        </row>
        <row r="1528">
          <cell r="A1528">
            <v>40898</v>
          </cell>
          <cell r="B1528">
            <v>2133.86</v>
          </cell>
          <cell r="C1528">
            <v>1987.55</v>
          </cell>
          <cell r="D1528">
            <v>1243.72</v>
          </cell>
        </row>
        <row r="1529">
          <cell r="A1529">
            <v>40899</v>
          </cell>
          <cell r="B1529">
            <v>2152.04</v>
          </cell>
          <cell r="C1529">
            <v>2004.33</v>
          </cell>
          <cell r="D1529">
            <v>1254</v>
          </cell>
        </row>
        <row r="1530">
          <cell r="A1530">
            <v>40900</v>
          </cell>
          <cell r="B1530">
            <v>2171.5</v>
          </cell>
          <cell r="C1530">
            <v>2022.46</v>
          </cell>
          <cell r="D1530">
            <v>1265.33</v>
          </cell>
        </row>
        <row r="1531">
          <cell r="A1531">
            <v>40904</v>
          </cell>
          <cell r="B1531">
            <v>2171.71</v>
          </cell>
          <cell r="C1531">
            <v>2022.64</v>
          </cell>
          <cell r="D1531">
            <v>1265.43</v>
          </cell>
        </row>
        <row r="1532">
          <cell r="A1532">
            <v>40905</v>
          </cell>
          <cell r="B1532">
            <v>2145.09</v>
          </cell>
          <cell r="C1532">
            <v>1997.71</v>
          </cell>
          <cell r="D1532">
            <v>1249.6400000000001</v>
          </cell>
        </row>
        <row r="1533">
          <cell r="A1533">
            <v>40906</v>
          </cell>
          <cell r="B1533">
            <v>2168.12</v>
          </cell>
          <cell r="C1533">
            <v>2019.14</v>
          </cell>
          <cell r="D1533">
            <v>1263.02</v>
          </cell>
        </row>
        <row r="1534">
          <cell r="A1534">
            <v>40907</v>
          </cell>
          <cell r="B1534">
            <v>2158.94</v>
          </cell>
          <cell r="C1534">
            <v>2010.56</v>
          </cell>
          <cell r="D1534">
            <v>1257.5999999999999</v>
          </cell>
        </row>
        <row r="1535">
          <cell r="A1535">
            <v>40911</v>
          </cell>
          <cell r="B1535">
            <v>2192.4</v>
          </cell>
          <cell r="C1535">
            <v>2041.7</v>
          </cell>
          <cell r="D1535">
            <v>1277.06</v>
          </cell>
        </row>
        <row r="1536">
          <cell r="A1536">
            <v>40912</v>
          </cell>
          <cell r="B1536">
            <v>2193.2800000000002</v>
          </cell>
          <cell r="C1536">
            <v>2042.39</v>
          </cell>
          <cell r="D1536">
            <v>1277.3</v>
          </cell>
        </row>
        <row r="1537">
          <cell r="A1537">
            <v>40913</v>
          </cell>
          <cell r="B1537">
            <v>2199.73</v>
          </cell>
          <cell r="C1537">
            <v>2048.4</v>
          </cell>
          <cell r="D1537">
            <v>1281.06</v>
          </cell>
        </row>
        <row r="1538">
          <cell r="A1538">
            <v>40914</v>
          </cell>
          <cell r="B1538">
            <v>2194.98</v>
          </cell>
          <cell r="C1538">
            <v>2043.75</v>
          </cell>
          <cell r="D1538">
            <v>1277.81</v>
          </cell>
        </row>
        <row r="1539">
          <cell r="A1539">
            <v>40917</v>
          </cell>
          <cell r="B1539">
            <v>2200</v>
          </cell>
          <cell r="C1539">
            <v>2048.4</v>
          </cell>
          <cell r="D1539">
            <v>1280.7</v>
          </cell>
        </row>
        <row r="1540">
          <cell r="A1540">
            <v>40918</v>
          </cell>
          <cell r="B1540">
            <v>2219.58</v>
          </cell>
          <cell r="C1540">
            <v>2066.62</v>
          </cell>
          <cell r="D1540">
            <v>1292.08</v>
          </cell>
        </row>
        <row r="1541">
          <cell r="A1541">
            <v>40919</v>
          </cell>
          <cell r="B1541">
            <v>2220.48</v>
          </cell>
          <cell r="C1541">
            <v>2067.4</v>
          </cell>
          <cell r="D1541">
            <v>1292.48</v>
          </cell>
        </row>
        <row r="1542">
          <cell r="A1542">
            <v>40920</v>
          </cell>
          <cell r="B1542">
            <v>2225.7399999999998</v>
          </cell>
          <cell r="C1542">
            <v>2072.2800000000002</v>
          </cell>
          <cell r="D1542">
            <v>1295.5</v>
          </cell>
        </row>
        <row r="1543">
          <cell r="A1543">
            <v>40921</v>
          </cell>
          <cell r="B1543">
            <v>2214.73</v>
          </cell>
          <cell r="C1543">
            <v>2062.0300000000002</v>
          </cell>
          <cell r="D1543">
            <v>1289.0899999999999</v>
          </cell>
        </row>
        <row r="1544">
          <cell r="A1544">
            <v>40925</v>
          </cell>
          <cell r="B1544">
            <v>2222.59</v>
          </cell>
          <cell r="C1544">
            <v>2069.35</v>
          </cell>
          <cell r="D1544">
            <v>1293.67</v>
          </cell>
        </row>
        <row r="1545">
          <cell r="A1545">
            <v>40926</v>
          </cell>
          <cell r="B1545">
            <v>2247.64</v>
          </cell>
          <cell r="C1545">
            <v>2092.5700000000002</v>
          </cell>
          <cell r="D1545">
            <v>1308.04</v>
          </cell>
        </row>
        <row r="1546">
          <cell r="A1546">
            <v>40927</v>
          </cell>
          <cell r="B1546">
            <v>2258.8000000000002</v>
          </cell>
          <cell r="C1546">
            <v>2102.9499999999998</v>
          </cell>
          <cell r="D1546">
            <v>1314.5</v>
          </cell>
        </row>
        <row r="1547">
          <cell r="A1547">
            <v>40928</v>
          </cell>
          <cell r="B1547">
            <v>2260.37</v>
          </cell>
          <cell r="C1547">
            <v>2104.4</v>
          </cell>
          <cell r="D1547">
            <v>1315.38</v>
          </cell>
        </row>
        <row r="1548">
          <cell r="A1548">
            <v>40931</v>
          </cell>
          <cell r="B1548">
            <v>2261.4699999999998</v>
          </cell>
          <cell r="C1548">
            <v>2105.41</v>
          </cell>
          <cell r="D1548">
            <v>1316</v>
          </cell>
        </row>
        <row r="1549">
          <cell r="A1549">
            <v>40932</v>
          </cell>
          <cell r="B1549">
            <v>2259.2199999999998</v>
          </cell>
          <cell r="C1549">
            <v>2103.29</v>
          </cell>
          <cell r="D1549">
            <v>1314.65</v>
          </cell>
        </row>
        <row r="1550">
          <cell r="A1550">
            <v>40933</v>
          </cell>
          <cell r="B1550">
            <v>2278.83</v>
          </cell>
          <cell r="C1550">
            <v>2121.54</v>
          </cell>
          <cell r="D1550">
            <v>1326.05</v>
          </cell>
        </row>
        <row r="1551">
          <cell r="A1551">
            <v>40934</v>
          </cell>
          <cell r="B1551">
            <v>2265.84</v>
          </cell>
          <cell r="C1551">
            <v>2109.42</v>
          </cell>
          <cell r="D1551">
            <v>1318.43</v>
          </cell>
        </row>
        <row r="1552">
          <cell r="A1552">
            <v>40935</v>
          </cell>
          <cell r="B1552">
            <v>2262.35</v>
          </cell>
          <cell r="C1552">
            <v>2106.13</v>
          </cell>
          <cell r="D1552">
            <v>1316.33</v>
          </cell>
        </row>
        <row r="1553">
          <cell r="A1553">
            <v>40938</v>
          </cell>
          <cell r="B1553">
            <v>2256.7199999999998</v>
          </cell>
          <cell r="C1553">
            <v>2100.88</v>
          </cell>
          <cell r="D1553">
            <v>1313.01</v>
          </cell>
        </row>
        <row r="1554">
          <cell r="A1554">
            <v>40939</v>
          </cell>
          <cell r="B1554">
            <v>2255.69</v>
          </cell>
          <cell r="C1554">
            <v>2099.92</v>
          </cell>
          <cell r="D1554">
            <v>1312.41</v>
          </cell>
        </row>
        <row r="1555">
          <cell r="A1555">
            <v>40940</v>
          </cell>
          <cell r="B1555">
            <v>2276.2399999999998</v>
          </cell>
          <cell r="C1555">
            <v>2118.91</v>
          </cell>
          <cell r="D1555">
            <v>1324.09</v>
          </cell>
        </row>
        <row r="1556">
          <cell r="A1556">
            <v>40941</v>
          </cell>
          <cell r="B1556">
            <v>2278.92</v>
          </cell>
          <cell r="C1556">
            <v>2121.35</v>
          </cell>
          <cell r="D1556">
            <v>1325.54</v>
          </cell>
        </row>
        <row r="1557">
          <cell r="A1557">
            <v>40942</v>
          </cell>
          <cell r="B1557">
            <v>2312.4899999999998</v>
          </cell>
          <cell r="C1557">
            <v>2152.52</v>
          </cell>
          <cell r="D1557">
            <v>1344.9</v>
          </cell>
        </row>
        <row r="1558">
          <cell r="A1558">
            <v>40945</v>
          </cell>
          <cell r="B1558">
            <v>2311.5500000000002</v>
          </cell>
          <cell r="C1558">
            <v>2151.64</v>
          </cell>
          <cell r="D1558">
            <v>1344.33</v>
          </cell>
        </row>
        <row r="1559">
          <cell r="A1559">
            <v>40946</v>
          </cell>
          <cell r="B1559">
            <v>2316.27</v>
          </cell>
          <cell r="C1559">
            <v>2156.02</v>
          </cell>
          <cell r="D1559">
            <v>1347.05</v>
          </cell>
        </row>
        <row r="1560">
          <cell r="A1560">
            <v>40947</v>
          </cell>
          <cell r="B1560">
            <v>2322.11</v>
          </cell>
          <cell r="C1560">
            <v>2161.2199999999998</v>
          </cell>
          <cell r="D1560">
            <v>1349.96</v>
          </cell>
        </row>
        <row r="1561">
          <cell r="A1561">
            <v>40948</v>
          </cell>
          <cell r="B1561">
            <v>2325.56</v>
          </cell>
          <cell r="C1561">
            <v>2164.4299999999998</v>
          </cell>
          <cell r="D1561">
            <v>1351.95</v>
          </cell>
        </row>
        <row r="1562">
          <cell r="A1562">
            <v>40949</v>
          </cell>
          <cell r="B1562">
            <v>2309.6</v>
          </cell>
          <cell r="C1562">
            <v>2149.5500000000002</v>
          </cell>
          <cell r="D1562">
            <v>1342.64</v>
          </cell>
        </row>
        <row r="1563">
          <cell r="A1563">
            <v>40952</v>
          </cell>
          <cell r="B1563">
            <v>2325.81</v>
          </cell>
          <cell r="C1563">
            <v>2164.5100000000002</v>
          </cell>
          <cell r="D1563">
            <v>1351.77</v>
          </cell>
        </row>
        <row r="1564">
          <cell r="A1564">
            <v>40953</v>
          </cell>
          <cell r="B1564">
            <v>2324</v>
          </cell>
          <cell r="C1564">
            <v>2162.71</v>
          </cell>
          <cell r="D1564">
            <v>1350.5</v>
          </cell>
        </row>
        <row r="1565">
          <cell r="A1565">
            <v>40954</v>
          </cell>
          <cell r="B1565">
            <v>2312.2800000000002</v>
          </cell>
          <cell r="C1565">
            <v>2151.58</v>
          </cell>
          <cell r="D1565">
            <v>1343.23</v>
          </cell>
        </row>
        <row r="1566">
          <cell r="A1566">
            <v>40955</v>
          </cell>
          <cell r="B1566">
            <v>2338.12</v>
          </cell>
          <cell r="C1566">
            <v>2175.5300000000002</v>
          </cell>
          <cell r="D1566">
            <v>1358.04</v>
          </cell>
        </row>
        <row r="1567">
          <cell r="A1567">
            <v>40956</v>
          </cell>
          <cell r="B1567">
            <v>2343.67</v>
          </cell>
          <cell r="C1567">
            <v>2180.6799999999998</v>
          </cell>
          <cell r="D1567">
            <v>1361.23</v>
          </cell>
        </row>
        <row r="1568">
          <cell r="A1568">
            <v>40960</v>
          </cell>
          <cell r="B1568">
            <v>2345.41</v>
          </cell>
          <cell r="C1568">
            <v>2182.2800000000002</v>
          </cell>
          <cell r="D1568">
            <v>1362.21</v>
          </cell>
        </row>
        <row r="1569">
          <cell r="A1569">
            <v>40961</v>
          </cell>
          <cell r="B1569">
            <v>2337.67</v>
          </cell>
          <cell r="C1569">
            <v>2175.0500000000002</v>
          </cell>
          <cell r="D1569">
            <v>1357.66</v>
          </cell>
        </row>
        <row r="1570">
          <cell r="A1570">
            <v>40962</v>
          </cell>
          <cell r="B1570">
            <v>2348.11</v>
          </cell>
          <cell r="C1570">
            <v>2184.64</v>
          </cell>
          <cell r="D1570">
            <v>1363.46</v>
          </cell>
        </row>
        <row r="1571">
          <cell r="A1571">
            <v>40963</v>
          </cell>
          <cell r="B1571">
            <v>2352.34</v>
          </cell>
          <cell r="C1571">
            <v>2188.5</v>
          </cell>
          <cell r="D1571">
            <v>1365.74</v>
          </cell>
        </row>
        <row r="1572">
          <cell r="A1572">
            <v>40966</v>
          </cell>
          <cell r="B1572">
            <v>2355.7399999999998</v>
          </cell>
          <cell r="C1572">
            <v>2191.6</v>
          </cell>
          <cell r="D1572">
            <v>1367.59</v>
          </cell>
        </row>
        <row r="1573">
          <cell r="A1573">
            <v>40967</v>
          </cell>
          <cell r="B1573">
            <v>2364.0300000000002</v>
          </cell>
          <cell r="C1573">
            <v>2199.1999999999998</v>
          </cell>
          <cell r="D1573">
            <v>1372.18</v>
          </cell>
        </row>
        <row r="1574">
          <cell r="A1574">
            <v>40968</v>
          </cell>
          <cell r="B1574">
            <v>2353.23</v>
          </cell>
          <cell r="C1574">
            <v>2189.0500000000002</v>
          </cell>
          <cell r="D1574">
            <v>1365.68</v>
          </cell>
        </row>
        <row r="1575">
          <cell r="A1575">
            <v>40969</v>
          </cell>
          <cell r="B1575">
            <v>2367.87</v>
          </cell>
          <cell r="C1575">
            <v>2202.62</v>
          </cell>
          <cell r="D1575">
            <v>1374.09</v>
          </cell>
        </row>
        <row r="1576">
          <cell r="A1576">
            <v>40970</v>
          </cell>
          <cell r="B1576">
            <v>2360.2800000000002</v>
          </cell>
          <cell r="C1576">
            <v>2195.54</v>
          </cell>
          <cell r="D1576">
            <v>1369.63</v>
          </cell>
        </row>
        <row r="1577">
          <cell r="A1577">
            <v>40973</v>
          </cell>
          <cell r="B1577">
            <v>2351.2800000000002</v>
          </cell>
          <cell r="C1577">
            <v>2187.13</v>
          </cell>
          <cell r="D1577">
            <v>1364.33</v>
          </cell>
        </row>
        <row r="1578">
          <cell r="A1578">
            <v>40974</v>
          </cell>
          <cell r="B1578">
            <v>2315.21</v>
          </cell>
          <cell r="C1578">
            <v>2153.56</v>
          </cell>
          <cell r="D1578">
            <v>1343.36</v>
          </cell>
        </row>
        <row r="1579">
          <cell r="A1579">
            <v>40975</v>
          </cell>
          <cell r="B1579">
            <v>2331.89</v>
          </cell>
          <cell r="C1579">
            <v>2168.87</v>
          </cell>
          <cell r="D1579">
            <v>1352.63</v>
          </cell>
        </row>
        <row r="1580">
          <cell r="A1580">
            <v>40976</v>
          </cell>
          <cell r="B1580">
            <v>2355.0100000000002</v>
          </cell>
          <cell r="C1580">
            <v>2190.3200000000002</v>
          </cell>
          <cell r="D1580">
            <v>1365.91</v>
          </cell>
        </row>
        <row r="1581">
          <cell r="A1581">
            <v>40977</v>
          </cell>
          <cell r="B1581">
            <v>2363.56</v>
          </cell>
          <cell r="C1581">
            <v>2198.27</v>
          </cell>
          <cell r="D1581">
            <v>1370.87</v>
          </cell>
        </row>
        <row r="1582">
          <cell r="A1582">
            <v>40980</v>
          </cell>
          <cell r="B1582">
            <v>2364.1</v>
          </cell>
          <cell r="C1582">
            <v>2198.73</v>
          </cell>
          <cell r="D1582">
            <v>1371.09</v>
          </cell>
        </row>
        <row r="1583">
          <cell r="A1583">
            <v>40981</v>
          </cell>
          <cell r="B1583">
            <v>2407.79</v>
          </cell>
          <cell r="C1583">
            <v>2239.13</v>
          </cell>
          <cell r="D1583">
            <v>1395.95</v>
          </cell>
        </row>
        <row r="1584">
          <cell r="A1584">
            <v>40982</v>
          </cell>
          <cell r="B1584">
            <v>2404.98</v>
          </cell>
          <cell r="C1584">
            <v>2236.5</v>
          </cell>
          <cell r="D1584">
            <v>1394.28</v>
          </cell>
        </row>
        <row r="1585">
          <cell r="A1585">
            <v>40983</v>
          </cell>
          <cell r="B1585">
            <v>2419.37</v>
          </cell>
          <cell r="C1585">
            <v>2249.87</v>
          </cell>
          <cell r="D1585">
            <v>1402.6</v>
          </cell>
        </row>
        <row r="1586">
          <cell r="A1586">
            <v>40984</v>
          </cell>
          <cell r="B1586">
            <v>2422.09</v>
          </cell>
          <cell r="C1586">
            <v>2252.4</v>
          </cell>
          <cell r="D1586">
            <v>1404.17</v>
          </cell>
        </row>
        <row r="1587">
          <cell r="A1587">
            <v>40987</v>
          </cell>
          <cell r="B1587">
            <v>2431.73</v>
          </cell>
          <cell r="C1587">
            <v>2261.35</v>
          </cell>
          <cell r="D1587">
            <v>1409.75</v>
          </cell>
        </row>
        <row r="1588">
          <cell r="A1588">
            <v>40988</v>
          </cell>
          <cell r="B1588">
            <v>2424.46</v>
          </cell>
          <cell r="C1588">
            <v>2254.59</v>
          </cell>
          <cell r="D1588">
            <v>1405.52</v>
          </cell>
        </row>
        <row r="1589">
          <cell r="A1589">
            <v>40989</v>
          </cell>
          <cell r="B1589">
            <v>2420.02</v>
          </cell>
          <cell r="C1589">
            <v>2250.4299999999998</v>
          </cell>
          <cell r="D1589">
            <v>1402.89</v>
          </cell>
        </row>
        <row r="1590">
          <cell r="A1590">
            <v>40990</v>
          </cell>
          <cell r="B1590">
            <v>2402.71</v>
          </cell>
          <cell r="C1590">
            <v>2234.3000000000002</v>
          </cell>
          <cell r="D1590">
            <v>1392.78</v>
          </cell>
        </row>
        <row r="1591">
          <cell r="A1591">
            <v>40991</v>
          </cell>
          <cell r="B1591">
            <v>2410.16</v>
          </cell>
          <cell r="C1591">
            <v>2241.23</v>
          </cell>
          <cell r="D1591">
            <v>1397.11</v>
          </cell>
        </row>
        <row r="1592">
          <cell r="A1592">
            <v>40994</v>
          </cell>
          <cell r="B1592">
            <v>2443.64</v>
          </cell>
          <cell r="C1592">
            <v>2272.36</v>
          </cell>
          <cell r="D1592">
            <v>1416.51</v>
          </cell>
        </row>
        <row r="1593">
          <cell r="A1593">
            <v>40995</v>
          </cell>
          <cell r="B1593">
            <v>2437.0100000000002</v>
          </cell>
          <cell r="C1593">
            <v>2266.12</v>
          </cell>
          <cell r="D1593">
            <v>1412.52</v>
          </cell>
        </row>
        <row r="1594">
          <cell r="A1594">
            <v>40996</v>
          </cell>
          <cell r="B1594">
            <v>2425.5500000000002</v>
          </cell>
          <cell r="C1594">
            <v>2255.31</v>
          </cell>
          <cell r="D1594">
            <v>1405.54</v>
          </cell>
        </row>
        <row r="1595">
          <cell r="A1595">
            <v>40997</v>
          </cell>
          <cell r="B1595">
            <v>2421.6999999999998</v>
          </cell>
          <cell r="C1595">
            <v>2251.71</v>
          </cell>
          <cell r="D1595">
            <v>1403.28</v>
          </cell>
        </row>
        <row r="1596">
          <cell r="A1596">
            <v>40998</v>
          </cell>
          <cell r="B1596">
            <v>2430.67</v>
          </cell>
          <cell r="C1596">
            <v>2260.0500000000002</v>
          </cell>
          <cell r="D1596">
            <v>1408.47</v>
          </cell>
        </row>
        <row r="1597">
          <cell r="A1597">
            <v>41001</v>
          </cell>
          <cell r="B1597">
            <v>2449.08</v>
          </cell>
          <cell r="C1597">
            <v>2277.12</v>
          </cell>
          <cell r="D1597">
            <v>1419.04</v>
          </cell>
        </row>
        <row r="1598">
          <cell r="A1598">
            <v>41002</v>
          </cell>
          <cell r="B1598">
            <v>2439.89</v>
          </cell>
          <cell r="C1598">
            <v>2268.41</v>
          </cell>
          <cell r="D1598">
            <v>1413.38</v>
          </cell>
        </row>
        <row r="1599">
          <cell r="A1599">
            <v>41003</v>
          </cell>
          <cell r="B1599">
            <v>2415.0500000000002</v>
          </cell>
          <cell r="C1599">
            <v>2245.3000000000002</v>
          </cell>
          <cell r="D1599">
            <v>1398.96</v>
          </cell>
        </row>
        <row r="1600">
          <cell r="A1600">
            <v>41004</v>
          </cell>
          <cell r="B1600">
            <v>2414.4</v>
          </cell>
          <cell r="C1600">
            <v>2244.46</v>
          </cell>
          <cell r="D1600">
            <v>1398.08</v>
          </cell>
        </row>
        <row r="1601">
          <cell r="A1601">
            <v>41008</v>
          </cell>
          <cell r="B1601">
            <v>2387.0300000000002</v>
          </cell>
          <cell r="C1601">
            <v>2219</v>
          </cell>
          <cell r="D1601">
            <v>1382.2</v>
          </cell>
        </row>
        <row r="1602">
          <cell r="A1602">
            <v>41009</v>
          </cell>
          <cell r="B1602">
            <v>2346.27</v>
          </cell>
          <cell r="C1602">
            <v>2181.11</v>
          </cell>
          <cell r="D1602">
            <v>1358.59</v>
          </cell>
        </row>
        <row r="1603">
          <cell r="A1603">
            <v>41010</v>
          </cell>
          <cell r="B1603">
            <v>2364.09</v>
          </cell>
          <cell r="C1603">
            <v>2197.5700000000002</v>
          </cell>
          <cell r="D1603">
            <v>1368.71</v>
          </cell>
        </row>
        <row r="1604">
          <cell r="A1604">
            <v>41011</v>
          </cell>
          <cell r="B1604">
            <v>2396.69</v>
          </cell>
          <cell r="C1604">
            <v>2227.87</v>
          </cell>
          <cell r="D1604">
            <v>1387.57</v>
          </cell>
        </row>
        <row r="1605">
          <cell r="A1605">
            <v>41012</v>
          </cell>
          <cell r="B1605">
            <v>2366.84</v>
          </cell>
          <cell r="C1605">
            <v>2200.11</v>
          </cell>
          <cell r="D1605">
            <v>1370.26</v>
          </cell>
        </row>
        <row r="1606">
          <cell r="A1606">
            <v>41015</v>
          </cell>
          <cell r="B1606">
            <v>2365.65</v>
          </cell>
          <cell r="C1606">
            <v>2199</v>
          </cell>
          <cell r="D1606">
            <v>1369.57</v>
          </cell>
        </row>
        <row r="1607">
          <cell r="A1607">
            <v>41016</v>
          </cell>
          <cell r="B1607">
            <v>2402.29</v>
          </cell>
          <cell r="C1607">
            <v>2233.06</v>
          </cell>
          <cell r="D1607">
            <v>1390.78</v>
          </cell>
        </row>
        <row r="1608">
          <cell r="A1608">
            <v>41017</v>
          </cell>
          <cell r="B1608">
            <v>2392.5700000000002</v>
          </cell>
          <cell r="C1608">
            <v>2224.02</v>
          </cell>
          <cell r="D1608">
            <v>1385.14</v>
          </cell>
        </row>
        <row r="1609">
          <cell r="A1609">
            <v>41018</v>
          </cell>
          <cell r="B1609">
            <v>2378.48</v>
          </cell>
          <cell r="C1609">
            <v>2210.89</v>
          </cell>
          <cell r="D1609">
            <v>1376.92</v>
          </cell>
        </row>
        <row r="1610">
          <cell r="A1610">
            <v>41019</v>
          </cell>
          <cell r="B1610">
            <v>2381.3200000000002</v>
          </cell>
          <cell r="C1610">
            <v>2213.52</v>
          </cell>
          <cell r="D1610">
            <v>1378.53</v>
          </cell>
        </row>
        <row r="1611">
          <cell r="A1611">
            <v>41022</v>
          </cell>
          <cell r="B1611">
            <v>2361.35</v>
          </cell>
          <cell r="C1611">
            <v>2194.94</v>
          </cell>
          <cell r="D1611">
            <v>1366.94</v>
          </cell>
        </row>
        <row r="1612">
          <cell r="A1612">
            <v>41023</v>
          </cell>
          <cell r="B1612">
            <v>2370.04</v>
          </cell>
          <cell r="C1612">
            <v>2203.02</v>
          </cell>
          <cell r="D1612">
            <v>1371.97</v>
          </cell>
        </row>
        <row r="1613">
          <cell r="A1613">
            <v>41024</v>
          </cell>
          <cell r="B1613">
            <v>2402.71</v>
          </cell>
          <cell r="C1613">
            <v>2233.3000000000002</v>
          </cell>
          <cell r="D1613">
            <v>1390.69</v>
          </cell>
        </row>
        <row r="1614">
          <cell r="A1614">
            <v>41025</v>
          </cell>
          <cell r="B1614">
            <v>2418.89</v>
          </cell>
          <cell r="C1614">
            <v>2248.3000000000002</v>
          </cell>
          <cell r="D1614">
            <v>1399.98</v>
          </cell>
        </row>
        <row r="1615">
          <cell r="A1615">
            <v>41026</v>
          </cell>
          <cell r="B1615">
            <v>2424.7800000000002</v>
          </cell>
          <cell r="C1615">
            <v>2253.7600000000002</v>
          </cell>
          <cell r="D1615">
            <v>1403.36</v>
          </cell>
        </row>
        <row r="1616">
          <cell r="A1616">
            <v>41029</v>
          </cell>
          <cell r="B1616">
            <v>2415.42</v>
          </cell>
          <cell r="C1616">
            <v>2245.04</v>
          </cell>
          <cell r="D1616">
            <v>1397.91</v>
          </cell>
        </row>
        <row r="1617">
          <cell r="A1617">
            <v>41030</v>
          </cell>
          <cell r="B1617">
            <v>2429.1</v>
          </cell>
          <cell r="C1617">
            <v>2257.75</v>
          </cell>
          <cell r="D1617">
            <v>1405.82</v>
          </cell>
        </row>
        <row r="1618">
          <cell r="A1618">
            <v>41031</v>
          </cell>
          <cell r="B1618">
            <v>2423.29</v>
          </cell>
          <cell r="C1618">
            <v>2252.2800000000002</v>
          </cell>
          <cell r="D1618">
            <v>1402.31</v>
          </cell>
        </row>
        <row r="1619">
          <cell r="A1619">
            <v>41032</v>
          </cell>
          <cell r="B1619">
            <v>2405.17</v>
          </cell>
          <cell r="C1619">
            <v>2235.31</v>
          </cell>
          <cell r="D1619">
            <v>1391.57</v>
          </cell>
        </row>
        <row r="1620">
          <cell r="A1620">
            <v>41033</v>
          </cell>
          <cell r="B1620">
            <v>2366.39</v>
          </cell>
          <cell r="C1620">
            <v>2199.25</v>
          </cell>
          <cell r="D1620">
            <v>1369.1</v>
          </cell>
        </row>
        <row r="1621">
          <cell r="A1621">
            <v>41036</v>
          </cell>
          <cell r="B1621">
            <v>2367.2600000000002</v>
          </cell>
          <cell r="C1621">
            <v>2200.06</v>
          </cell>
          <cell r="D1621">
            <v>1369.58</v>
          </cell>
        </row>
        <row r="1622">
          <cell r="A1622">
            <v>41037</v>
          </cell>
          <cell r="B1622">
            <v>2357.4499999999998</v>
          </cell>
          <cell r="C1622">
            <v>2190.85</v>
          </cell>
          <cell r="D1622">
            <v>1363.72</v>
          </cell>
        </row>
        <row r="1623">
          <cell r="A1623">
            <v>41038</v>
          </cell>
          <cell r="B1623">
            <v>2342.31</v>
          </cell>
          <cell r="C1623">
            <v>2176.59</v>
          </cell>
          <cell r="D1623">
            <v>1354.58</v>
          </cell>
        </row>
        <row r="1624">
          <cell r="A1624">
            <v>41039</v>
          </cell>
          <cell r="B1624">
            <v>2348.9299999999998</v>
          </cell>
          <cell r="C1624">
            <v>2182.5500000000002</v>
          </cell>
          <cell r="D1624">
            <v>1357.99</v>
          </cell>
        </row>
        <row r="1625">
          <cell r="A1625">
            <v>41040</v>
          </cell>
          <cell r="B1625">
            <v>2341.23</v>
          </cell>
          <cell r="C1625">
            <v>2175.3200000000002</v>
          </cell>
          <cell r="D1625">
            <v>1353.39</v>
          </cell>
        </row>
        <row r="1626">
          <cell r="A1626">
            <v>41043</v>
          </cell>
          <cell r="B1626">
            <v>2315.4499999999998</v>
          </cell>
          <cell r="C1626">
            <v>2151.3000000000002</v>
          </cell>
          <cell r="D1626">
            <v>1338.35</v>
          </cell>
        </row>
        <row r="1627">
          <cell r="A1627">
            <v>41044</v>
          </cell>
          <cell r="B1627">
            <v>2302.56</v>
          </cell>
          <cell r="C1627">
            <v>2139.21</v>
          </cell>
          <cell r="D1627">
            <v>1330.66</v>
          </cell>
        </row>
        <row r="1628">
          <cell r="A1628">
            <v>41045</v>
          </cell>
          <cell r="B1628">
            <v>2293.21</v>
          </cell>
          <cell r="C1628">
            <v>2130.31</v>
          </cell>
          <cell r="D1628">
            <v>1324.8</v>
          </cell>
        </row>
        <row r="1629">
          <cell r="A1629">
            <v>41046</v>
          </cell>
          <cell r="B1629">
            <v>2258.9299999999998</v>
          </cell>
          <cell r="C1629">
            <v>2098.39</v>
          </cell>
          <cell r="D1629">
            <v>1304.8599999999999</v>
          </cell>
        </row>
        <row r="1630">
          <cell r="A1630">
            <v>41047</v>
          </cell>
          <cell r="B1630">
            <v>2242.25</v>
          </cell>
          <cell r="C1630">
            <v>2082.9</v>
          </cell>
          <cell r="D1630">
            <v>1295.22</v>
          </cell>
        </row>
        <row r="1631">
          <cell r="A1631">
            <v>41050</v>
          </cell>
          <cell r="B1631">
            <v>2278.2399999999998</v>
          </cell>
          <cell r="C1631">
            <v>2116.3200000000002</v>
          </cell>
          <cell r="D1631">
            <v>1315.99</v>
          </cell>
        </row>
        <row r="1632">
          <cell r="A1632">
            <v>41051</v>
          </cell>
          <cell r="B1632">
            <v>2279.4</v>
          </cell>
          <cell r="C1632">
            <v>2117.38</v>
          </cell>
          <cell r="D1632">
            <v>1316.63</v>
          </cell>
        </row>
        <row r="1633">
          <cell r="A1633">
            <v>41052</v>
          </cell>
          <cell r="B1633">
            <v>2283.36</v>
          </cell>
          <cell r="C1633">
            <v>2121.0300000000002</v>
          </cell>
          <cell r="D1633">
            <v>1318.86</v>
          </cell>
        </row>
        <row r="1634">
          <cell r="A1634">
            <v>41053</v>
          </cell>
          <cell r="B1634">
            <v>2286.87</v>
          </cell>
          <cell r="C1634">
            <v>2124.19</v>
          </cell>
          <cell r="D1634">
            <v>1320.68</v>
          </cell>
        </row>
        <row r="1635">
          <cell r="A1635">
            <v>41054</v>
          </cell>
          <cell r="B1635">
            <v>2281.92</v>
          </cell>
          <cell r="C1635">
            <v>2119.6</v>
          </cell>
          <cell r="D1635">
            <v>1317.82</v>
          </cell>
        </row>
        <row r="1636">
          <cell r="A1636">
            <v>41058</v>
          </cell>
          <cell r="B1636">
            <v>2307.5700000000002</v>
          </cell>
          <cell r="C1636">
            <v>2143.3200000000002</v>
          </cell>
          <cell r="D1636">
            <v>1332.42</v>
          </cell>
        </row>
        <row r="1637">
          <cell r="A1637">
            <v>41059</v>
          </cell>
          <cell r="B1637">
            <v>2275.19</v>
          </cell>
          <cell r="C1637">
            <v>2113.04</v>
          </cell>
          <cell r="D1637">
            <v>1313.32</v>
          </cell>
        </row>
        <row r="1638">
          <cell r="A1638">
            <v>41060</v>
          </cell>
          <cell r="B1638">
            <v>2270.25</v>
          </cell>
          <cell r="C1638">
            <v>2108.39</v>
          </cell>
          <cell r="D1638">
            <v>1310.33</v>
          </cell>
        </row>
        <row r="1639">
          <cell r="A1639">
            <v>41061</v>
          </cell>
          <cell r="B1639">
            <v>2214.41</v>
          </cell>
          <cell r="C1639">
            <v>2056.5</v>
          </cell>
          <cell r="D1639">
            <v>1278.04</v>
          </cell>
        </row>
        <row r="1640">
          <cell r="A1640">
            <v>41064</v>
          </cell>
          <cell r="B1640">
            <v>2214.6999999999998</v>
          </cell>
          <cell r="C1640">
            <v>2056.7600000000002</v>
          </cell>
          <cell r="D1640">
            <v>1278.18</v>
          </cell>
        </row>
        <row r="1641">
          <cell r="A1641">
            <v>41065</v>
          </cell>
          <cell r="B1641">
            <v>2227.4499999999998</v>
          </cell>
          <cell r="C1641">
            <v>2068.58</v>
          </cell>
          <cell r="D1641">
            <v>1285.5</v>
          </cell>
        </row>
        <row r="1642">
          <cell r="A1642">
            <v>41066</v>
          </cell>
          <cell r="B1642">
            <v>2279.42</v>
          </cell>
          <cell r="C1642">
            <v>2116.67</v>
          </cell>
          <cell r="D1642">
            <v>1315.13</v>
          </cell>
        </row>
        <row r="1643">
          <cell r="A1643">
            <v>41067</v>
          </cell>
          <cell r="B1643">
            <v>2279.2800000000002</v>
          </cell>
          <cell r="C1643">
            <v>2116.5100000000002</v>
          </cell>
          <cell r="D1643">
            <v>1314.99</v>
          </cell>
        </row>
        <row r="1644">
          <cell r="A1644">
            <v>41068</v>
          </cell>
          <cell r="B1644">
            <v>2297.8200000000002</v>
          </cell>
          <cell r="C1644">
            <v>2133.71</v>
          </cell>
          <cell r="D1644">
            <v>1325.66</v>
          </cell>
        </row>
        <row r="1645">
          <cell r="A1645">
            <v>41071</v>
          </cell>
          <cell r="B1645">
            <v>2268.94</v>
          </cell>
          <cell r="C1645">
            <v>2106.86</v>
          </cell>
          <cell r="D1645">
            <v>1308.93</v>
          </cell>
        </row>
        <row r="1646">
          <cell r="A1646">
            <v>41072</v>
          </cell>
          <cell r="B1646">
            <v>2295.4</v>
          </cell>
          <cell r="C1646">
            <v>2131.4299999999998</v>
          </cell>
          <cell r="D1646">
            <v>1324.18</v>
          </cell>
        </row>
        <row r="1647">
          <cell r="A1647">
            <v>41073</v>
          </cell>
          <cell r="B1647">
            <v>2280.13</v>
          </cell>
          <cell r="C1647">
            <v>2117.0100000000002</v>
          </cell>
          <cell r="D1647">
            <v>1314.88</v>
          </cell>
        </row>
        <row r="1648">
          <cell r="A1648">
            <v>41074</v>
          </cell>
          <cell r="B1648">
            <v>2304.83</v>
          </cell>
          <cell r="C1648">
            <v>2139.9299999999998</v>
          </cell>
          <cell r="D1648">
            <v>1329.1</v>
          </cell>
        </row>
        <row r="1649">
          <cell r="A1649">
            <v>41075</v>
          </cell>
          <cell r="B1649">
            <v>2328.66</v>
          </cell>
          <cell r="C1649">
            <v>2162.0500000000002</v>
          </cell>
          <cell r="D1649">
            <v>1342.84</v>
          </cell>
        </row>
        <row r="1650">
          <cell r="A1650">
            <v>41078</v>
          </cell>
          <cell r="B1650">
            <v>2332.0700000000002</v>
          </cell>
          <cell r="C1650">
            <v>2165.21</v>
          </cell>
          <cell r="D1650">
            <v>1344.78</v>
          </cell>
        </row>
        <row r="1651">
          <cell r="A1651">
            <v>41079</v>
          </cell>
          <cell r="B1651">
            <v>2355.0100000000002</v>
          </cell>
          <cell r="C1651">
            <v>2186.5</v>
          </cell>
          <cell r="D1651">
            <v>1357.98</v>
          </cell>
        </row>
        <row r="1652">
          <cell r="A1652">
            <v>41080</v>
          </cell>
          <cell r="B1652">
            <v>2351.14</v>
          </cell>
          <cell r="C1652">
            <v>2182.87</v>
          </cell>
          <cell r="D1652">
            <v>1355.69</v>
          </cell>
        </row>
        <row r="1653">
          <cell r="A1653">
            <v>41081</v>
          </cell>
          <cell r="B1653">
            <v>2299.16</v>
          </cell>
          <cell r="C1653">
            <v>2134.5100000000002</v>
          </cell>
          <cell r="D1653">
            <v>1325.51</v>
          </cell>
        </row>
        <row r="1654">
          <cell r="A1654">
            <v>41082</v>
          </cell>
          <cell r="B1654">
            <v>2315.65</v>
          </cell>
          <cell r="C1654">
            <v>2149.8200000000002</v>
          </cell>
          <cell r="D1654">
            <v>1335.02</v>
          </cell>
        </row>
        <row r="1655">
          <cell r="A1655">
            <v>41085</v>
          </cell>
          <cell r="B1655">
            <v>2278.98</v>
          </cell>
          <cell r="C1655">
            <v>2115.6999999999998</v>
          </cell>
          <cell r="D1655">
            <v>1313.72</v>
          </cell>
        </row>
        <row r="1656">
          <cell r="A1656">
            <v>41086</v>
          </cell>
          <cell r="B1656">
            <v>2289.86</v>
          </cell>
          <cell r="C1656">
            <v>2125.8000000000002</v>
          </cell>
          <cell r="D1656">
            <v>1319.99</v>
          </cell>
        </row>
        <row r="1657">
          <cell r="A1657">
            <v>41087</v>
          </cell>
          <cell r="B1657">
            <v>2310.98</v>
          </cell>
          <cell r="C1657">
            <v>2145.2600000000002</v>
          </cell>
          <cell r="D1657">
            <v>1331.85</v>
          </cell>
        </row>
        <row r="1658">
          <cell r="A1658">
            <v>41088</v>
          </cell>
          <cell r="B1658">
            <v>2306.2199999999998</v>
          </cell>
          <cell r="C1658">
            <v>2140.81</v>
          </cell>
          <cell r="D1658">
            <v>1329.04</v>
          </cell>
        </row>
        <row r="1659">
          <cell r="A1659">
            <v>41089</v>
          </cell>
          <cell r="B1659">
            <v>2363.79</v>
          </cell>
          <cell r="C1659">
            <v>2194.2199999999998</v>
          </cell>
          <cell r="D1659">
            <v>1362.16</v>
          </cell>
        </row>
        <row r="1660">
          <cell r="A1660">
            <v>41092</v>
          </cell>
          <cell r="B1660">
            <v>2369.75</v>
          </cell>
          <cell r="C1660">
            <v>2199.71</v>
          </cell>
          <cell r="D1660">
            <v>1365.51</v>
          </cell>
        </row>
        <row r="1661">
          <cell r="A1661">
            <v>41093</v>
          </cell>
          <cell r="B1661">
            <v>2385.06</v>
          </cell>
          <cell r="C1661">
            <v>2213.77</v>
          </cell>
          <cell r="D1661">
            <v>1374.02</v>
          </cell>
        </row>
        <row r="1662">
          <cell r="A1662">
            <v>41095</v>
          </cell>
          <cell r="B1662">
            <v>2373.91</v>
          </cell>
          <cell r="C1662">
            <v>2203.42</v>
          </cell>
          <cell r="D1662">
            <v>1367.58</v>
          </cell>
        </row>
        <row r="1663">
          <cell r="A1663">
            <v>41096</v>
          </cell>
          <cell r="B1663">
            <v>2352.34</v>
          </cell>
          <cell r="C1663">
            <v>2183.17</v>
          </cell>
          <cell r="D1663">
            <v>1354.68</v>
          </cell>
        </row>
        <row r="1664">
          <cell r="A1664">
            <v>41099</v>
          </cell>
          <cell r="B1664">
            <v>2348.52</v>
          </cell>
          <cell r="C1664">
            <v>2179.61</v>
          </cell>
          <cell r="D1664">
            <v>1352.46</v>
          </cell>
        </row>
        <row r="1665">
          <cell r="A1665">
            <v>41100</v>
          </cell>
          <cell r="B1665">
            <v>2329.46</v>
          </cell>
          <cell r="C1665">
            <v>2161.92</v>
          </cell>
          <cell r="D1665">
            <v>1341.47</v>
          </cell>
        </row>
        <row r="1666">
          <cell r="A1666">
            <v>41101</v>
          </cell>
          <cell r="B1666">
            <v>2329.71</v>
          </cell>
          <cell r="C1666">
            <v>2162.0700000000002</v>
          </cell>
          <cell r="D1666">
            <v>1341.45</v>
          </cell>
        </row>
        <row r="1667">
          <cell r="A1667">
            <v>41102</v>
          </cell>
          <cell r="B1667">
            <v>2318.09</v>
          </cell>
          <cell r="C1667">
            <v>2151.2800000000002</v>
          </cell>
          <cell r="D1667">
            <v>1334.76</v>
          </cell>
        </row>
        <row r="1668">
          <cell r="A1668">
            <v>41103</v>
          </cell>
          <cell r="B1668">
            <v>2356.4</v>
          </cell>
          <cell r="C1668">
            <v>2186.8200000000002</v>
          </cell>
          <cell r="D1668">
            <v>1356.78</v>
          </cell>
        </row>
        <row r="1669">
          <cell r="A1669">
            <v>41106</v>
          </cell>
          <cell r="B1669">
            <v>2350.94</v>
          </cell>
          <cell r="C1669">
            <v>2181.7600000000002</v>
          </cell>
          <cell r="D1669">
            <v>1353.64</v>
          </cell>
        </row>
        <row r="1670">
          <cell r="A1670">
            <v>41107</v>
          </cell>
          <cell r="B1670">
            <v>2368.36</v>
          </cell>
          <cell r="C1670">
            <v>2197.92</v>
          </cell>
          <cell r="D1670">
            <v>1363.67</v>
          </cell>
        </row>
        <row r="1671">
          <cell r="A1671">
            <v>41108</v>
          </cell>
          <cell r="B1671">
            <v>2384.54</v>
          </cell>
          <cell r="C1671">
            <v>2212.84</v>
          </cell>
          <cell r="D1671">
            <v>1372.78</v>
          </cell>
        </row>
        <row r="1672">
          <cell r="A1672">
            <v>41109</v>
          </cell>
          <cell r="B1672">
            <v>2391.27</v>
          </cell>
          <cell r="C1672">
            <v>2219.0100000000002</v>
          </cell>
          <cell r="D1672">
            <v>1376.51</v>
          </cell>
        </row>
        <row r="1673">
          <cell r="A1673">
            <v>41110</v>
          </cell>
          <cell r="B1673">
            <v>2367.2600000000002</v>
          </cell>
          <cell r="C1673">
            <v>2196.7199999999998</v>
          </cell>
          <cell r="D1673">
            <v>1362.66</v>
          </cell>
        </row>
        <row r="1674">
          <cell r="A1674">
            <v>41113</v>
          </cell>
          <cell r="B1674">
            <v>2346.2199999999998</v>
          </cell>
          <cell r="C1674">
            <v>2177.1799999999998</v>
          </cell>
          <cell r="D1674">
            <v>1350.52</v>
          </cell>
        </row>
        <row r="1675">
          <cell r="A1675">
            <v>41114</v>
          </cell>
          <cell r="B1675">
            <v>2325.02</v>
          </cell>
          <cell r="C1675">
            <v>2157.5</v>
          </cell>
          <cell r="D1675">
            <v>1338.31</v>
          </cell>
        </row>
        <row r="1676">
          <cell r="A1676">
            <v>41115</v>
          </cell>
          <cell r="B1676">
            <v>2324.33</v>
          </cell>
          <cell r="C1676">
            <v>2156.85</v>
          </cell>
          <cell r="D1676">
            <v>1337.89</v>
          </cell>
        </row>
        <row r="1677">
          <cell r="A1677">
            <v>41116</v>
          </cell>
          <cell r="B1677">
            <v>2362.85</v>
          </cell>
          <cell r="C1677">
            <v>2192.5700000000002</v>
          </cell>
          <cell r="D1677">
            <v>1360.02</v>
          </cell>
        </row>
        <row r="1678">
          <cell r="A1678">
            <v>41117</v>
          </cell>
          <cell r="B1678">
            <v>2408.0700000000002</v>
          </cell>
          <cell r="C1678">
            <v>2234.5</v>
          </cell>
          <cell r="D1678">
            <v>1385.97</v>
          </cell>
        </row>
        <row r="1679">
          <cell r="A1679">
            <v>41120</v>
          </cell>
          <cell r="B1679">
            <v>2406.9899999999998</v>
          </cell>
          <cell r="C1679">
            <v>2233.4699999999998</v>
          </cell>
          <cell r="D1679">
            <v>1385.3</v>
          </cell>
        </row>
        <row r="1680">
          <cell r="A1680">
            <v>41121</v>
          </cell>
          <cell r="B1680">
            <v>2396.62</v>
          </cell>
          <cell r="C1680">
            <v>2223.85</v>
          </cell>
          <cell r="D1680">
            <v>1379.32</v>
          </cell>
        </row>
        <row r="1681">
          <cell r="A1681">
            <v>41122</v>
          </cell>
          <cell r="B1681">
            <v>2389.73</v>
          </cell>
          <cell r="C1681">
            <v>2217.35</v>
          </cell>
          <cell r="D1681">
            <v>1375.14</v>
          </cell>
        </row>
        <row r="1682">
          <cell r="A1682">
            <v>41123</v>
          </cell>
          <cell r="B1682">
            <v>2372.31</v>
          </cell>
          <cell r="C1682">
            <v>2201.13</v>
          </cell>
          <cell r="D1682">
            <v>1365</v>
          </cell>
        </row>
        <row r="1683">
          <cell r="A1683">
            <v>41124</v>
          </cell>
          <cell r="B1683">
            <v>2417.77</v>
          </cell>
          <cell r="C1683">
            <v>2243.23</v>
          </cell>
          <cell r="D1683">
            <v>1390.99</v>
          </cell>
        </row>
        <row r="1684">
          <cell r="A1684">
            <v>41127</v>
          </cell>
          <cell r="B1684">
            <v>2423.46</v>
          </cell>
          <cell r="C1684">
            <v>2248.4899999999998</v>
          </cell>
          <cell r="D1684">
            <v>1394.23</v>
          </cell>
        </row>
        <row r="1685">
          <cell r="A1685">
            <v>41128</v>
          </cell>
          <cell r="B1685">
            <v>2435.88</v>
          </cell>
          <cell r="C1685">
            <v>2260</v>
          </cell>
          <cell r="D1685">
            <v>1401.35</v>
          </cell>
        </row>
        <row r="1686">
          <cell r="A1686">
            <v>41129</v>
          </cell>
          <cell r="B1686">
            <v>2438.16</v>
          </cell>
          <cell r="C1686">
            <v>2261.9</v>
          </cell>
          <cell r="D1686">
            <v>1402.22</v>
          </cell>
        </row>
        <row r="1687">
          <cell r="A1687">
            <v>41130</v>
          </cell>
          <cell r="B1687">
            <v>2440.23</v>
          </cell>
          <cell r="C1687">
            <v>2263.52</v>
          </cell>
          <cell r="D1687">
            <v>1402.8</v>
          </cell>
        </row>
        <row r="1688">
          <cell r="A1688">
            <v>41131</v>
          </cell>
          <cell r="B1688">
            <v>2445.64</v>
          </cell>
          <cell r="C1688">
            <v>2268.5300000000002</v>
          </cell>
          <cell r="D1688">
            <v>1405.87</v>
          </cell>
        </row>
        <row r="1689">
          <cell r="A1689">
            <v>41134</v>
          </cell>
          <cell r="B1689">
            <v>2443.0500000000002</v>
          </cell>
          <cell r="C1689">
            <v>2265.9899999999998</v>
          </cell>
          <cell r="D1689">
            <v>1404.11</v>
          </cell>
        </row>
        <row r="1690">
          <cell r="A1690">
            <v>41135</v>
          </cell>
          <cell r="B1690">
            <v>2443.16</v>
          </cell>
          <cell r="C1690">
            <v>2265.9699999999998</v>
          </cell>
          <cell r="D1690">
            <v>1403.93</v>
          </cell>
        </row>
        <row r="1691">
          <cell r="A1691">
            <v>41136</v>
          </cell>
          <cell r="B1691">
            <v>2446.8200000000002</v>
          </cell>
          <cell r="C1691">
            <v>2269.12</v>
          </cell>
          <cell r="D1691">
            <v>1405.53</v>
          </cell>
        </row>
        <row r="1692">
          <cell r="A1692">
            <v>41137</v>
          </cell>
          <cell r="B1692">
            <v>2464.38</v>
          </cell>
          <cell r="C1692">
            <v>2285.36</v>
          </cell>
          <cell r="D1692">
            <v>1415.51</v>
          </cell>
        </row>
        <row r="1693">
          <cell r="A1693">
            <v>41138</v>
          </cell>
          <cell r="B1693">
            <v>2469</v>
          </cell>
          <cell r="C1693">
            <v>2289.64</v>
          </cell>
          <cell r="D1693">
            <v>1418.16</v>
          </cell>
        </row>
        <row r="1694">
          <cell r="A1694">
            <v>41141</v>
          </cell>
          <cell r="B1694">
            <v>2468.9899999999998</v>
          </cell>
          <cell r="C1694">
            <v>2289.63</v>
          </cell>
          <cell r="D1694">
            <v>1418.13</v>
          </cell>
        </row>
        <row r="1695">
          <cell r="A1695">
            <v>41142</v>
          </cell>
          <cell r="B1695">
            <v>2460.41</v>
          </cell>
          <cell r="C1695">
            <v>2281.65</v>
          </cell>
          <cell r="D1695">
            <v>1413.17</v>
          </cell>
        </row>
        <row r="1696">
          <cell r="A1696">
            <v>41143</v>
          </cell>
          <cell r="B1696">
            <v>2461.12</v>
          </cell>
          <cell r="C1696">
            <v>2282.27</v>
          </cell>
          <cell r="D1696">
            <v>1413.49</v>
          </cell>
        </row>
        <row r="1697">
          <cell r="A1697">
            <v>41144</v>
          </cell>
          <cell r="B1697">
            <v>2441.29</v>
          </cell>
          <cell r="C1697">
            <v>2263.87</v>
          </cell>
          <cell r="D1697">
            <v>1402.08</v>
          </cell>
        </row>
        <row r="1698">
          <cell r="A1698">
            <v>41145</v>
          </cell>
          <cell r="B1698">
            <v>2457.4</v>
          </cell>
          <cell r="C1698">
            <v>2278.71</v>
          </cell>
          <cell r="D1698">
            <v>1411.13</v>
          </cell>
        </row>
        <row r="1699">
          <cell r="A1699">
            <v>41148</v>
          </cell>
          <cell r="B1699">
            <v>2456.2199999999998</v>
          </cell>
          <cell r="C1699">
            <v>2277.6</v>
          </cell>
          <cell r="D1699">
            <v>1410.44</v>
          </cell>
        </row>
        <row r="1700">
          <cell r="A1700">
            <v>41149</v>
          </cell>
          <cell r="B1700">
            <v>2454.39</v>
          </cell>
          <cell r="C1700">
            <v>2275.87</v>
          </cell>
          <cell r="D1700">
            <v>1409.3</v>
          </cell>
        </row>
        <row r="1701">
          <cell r="A1701">
            <v>41150</v>
          </cell>
          <cell r="B1701">
            <v>2457.0500000000002</v>
          </cell>
          <cell r="C1701">
            <v>2278.17</v>
          </cell>
          <cell r="D1701">
            <v>1410.49</v>
          </cell>
        </row>
        <row r="1702">
          <cell r="A1702">
            <v>41151</v>
          </cell>
          <cell r="B1702">
            <v>2438.1999999999998</v>
          </cell>
          <cell r="C1702">
            <v>2260.6</v>
          </cell>
          <cell r="D1702">
            <v>1399.48</v>
          </cell>
        </row>
        <row r="1703">
          <cell r="A1703">
            <v>41152</v>
          </cell>
          <cell r="B1703">
            <v>2450.6</v>
          </cell>
          <cell r="C1703">
            <v>2272.09</v>
          </cell>
          <cell r="D1703">
            <v>1406.58</v>
          </cell>
        </row>
        <row r="1704">
          <cell r="A1704">
            <v>41156</v>
          </cell>
          <cell r="B1704">
            <v>2447.8000000000002</v>
          </cell>
          <cell r="C1704">
            <v>2269.48</v>
          </cell>
          <cell r="D1704">
            <v>1404.94</v>
          </cell>
        </row>
        <row r="1705">
          <cell r="A1705">
            <v>41157</v>
          </cell>
          <cell r="B1705">
            <v>2445.81</v>
          </cell>
          <cell r="C1705">
            <v>2267.4499999999998</v>
          </cell>
          <cell r="D1705">
            <v>1403.44</v>
          </cell>
        </row>
        <row r="1706">
          <cell r="A1706">
            <v>41158</v>
          </cell>
          <cell r="B1706">
            <v>2496.12</v>
          </cell>
          <cell r="C1706">
            <v>2314.0100000000002</v>
          </cell>
          <cell r="D1706">
            <v>1432.12</v>
          </cell>
        </row>
        <row r="1707">
          <cell r="A1707">
            <v>41159</v>
          </cell>
          <cell r="B1707">
            <v>2506.37</v>
          </cell>
          <cell r="C1707">
            <v>2323.4699999999998</v>
          </cell>
          <cell r="D1707">
            <v>1437.92</v>
          </cell>
        </row>
        <row r="1708">
          <cell r="A1708">
            <v>41162</v>
          </cell>
          <cell r="B1708">
            <v>2491.11</v>
          </cell>
          <cell r="C1708">
            <v>2309.29</v>
          </cell>
          <cell r="D1708">
            <v>1429.08</v>
          </cell>
        </row>
        <row r="1709">
          <cell r="A1709">
            <v>41163</v>
          </cell>
          <cell r="B1709">
            <v>2498.9499999999998</v>
          </cell>
          <cell r="C1709">
            <v>2316.5500000000002</v>
          </cell>
          <cell r="D1709">
            <v>1433.56</v>
          </cell>
        </row>
        <row r="1710">
          <cell r="A1710">
            <v>41164</v>
          </cell>
          <cell r="B1710">
            <v>2504.84</v>
          </cell>
          <cell r="C1710">
            <v>2321.8200000000002</v>
          </cell>
          <cell r="D1710">
            <v>1436.56</v>
          </cell>
        </row>
        <row r="1711">
          <cell r="A1711">
            <v>41165</v>
          </cell>
          <cell r="B1711">
            <v>2546.0300000000002</v>
          </cell>
          <cell r="C1711">
            <v>2359.91</v>
          </cell>
          <cell r="D1711">
            <v>1459.99</v>
          </cell>
        </row>
        <row r="1712">
          <cell r="A1712">
            <v>41166</v>
          </cell>
          <cell r="B1712">
            <v>2556.13</v>
          </cell>
          <cell r="C1712">
            <v>2369.27</v>
          </cell>
          <cell r="D1712">
            <v>1465.77</v>
          </cell>
        </row>
        <row r="1713">
          <cell r="A1713">
            <v>41169</v>
          </cell>
          <cell r="B1713">
            <v>2548.2600000000002</v>
          </cell>
          <cell r="C1713">
            <v>2361.9299999999998</v>
          </cell>
          <cell r="D1713">
            <v>1461.19</v>
          </cell>
        </row>
        <row r="1714">
          <cell r="A1714">
            <v>41170</v>
          </cell>
          <cell r="B1714">
            <v>2545.0500000000002</v>
          </cell>
          <cell r="C1714">
            <v>2358.94</v>
          </cell>
          <cell r="D1714">
            <v>1459.32</v>
          </cell>
        </row>
        <row r="1715">
          <cell r="A1715">
            <v>41171</v>
          </cell>
          <cell r="B1715">
            <v>2548.11</v>
          </cell>
          <cell r="C1715">
            <v>2361.77</v>
          </cell>
          <cell r="D1715">
            <v>1461.05</v>
          </cell>
        </row>
        <row r="1716">
          <cell r="A1716">
            <v>41172</v>
          </cell>
          <cell r="B1716">
            <v>2547.11</v>
          </cell>
          <cell r="C1716">
            <v>2360.7399999999998</v>
          </cell>
          <cell r="D1716">
            <v>1460.26</v>
          </cell>
        </row>
        <row r="1717">
          <cell r="A1717">
            <v>41173</v>
          </cell>
          <cell r="B1717">
            <v>2546.92</v>
          </cell>
          <cell r="C1717">
            <v>2360.56</v>
          </cell>
          <cell r="D1717">
            <v>1460.15</v>
          </cell>
        </row>
        <row r="1718">
          <cell r="A1718">
            <v>41176</v>
          </cell>
          <cell r="B1718">
            <v>2541.23</v>
          </cell>
          <cell r="C1718">
            <v>2355.29</v>
          </cell>
          <cell r="D1718">
            <v>1456.89</v>
          </cell>
        </row>
        <row r="1719">
          <cell r="A1719">
            <v>41177</v>
          </cell>
          <cell r="B1719">
            <v>2514.83</v>
          </cell>
          <cell r="C1719">
            <v>2330.7399999999998</v>
          </cell>
          <cell r="D1719">
            <v>1441.59</v>
          </cell>
        </row>
        <row r="1720">
          <cell r="A1720">
            <v>41178</v>
          </cell>
          <cell r="B1720">
            <v>2500.92</v>
          </cell>
          <cell r="C1720">
            <v>2317.6999999999998</v>
          </cell>
          <cell r="D1720">
            <v>1433.32</v>
          </cell>
        </row>
        <row r="1721">
          <cell r="A1721">
            <v>41179</v>
          </cell>
          <cell r="B1721">
            <v>2525.23</v>
          </cell>
          <cell r="C1721">
            <v>2340.1799999999998</v>
          </cell>
          <cell r="D1721">
            <v>1447.15</v>
          </cell>
        </row>
        <row r="1722">
          <cell r="A1722">
            <v>41180</v>
          </cell>
          <cell r="B1722">
            <v>2513.9299999999998</v>
          </cell>
          <cell r="C1722">
            <v>2329.71</v>
          </cell>
          <cell r="D1722">
            <v>1440.67</v>
          </cell>
        </row>
        <row r="1723">
          <cell r="A1723">
            <v>41183</v>
          </cell>
          <cell r="B1723">
            <v>2520.71</v>
          </cell>
          <cell r="C1723">
            <v>2335.96</v>
          </cell>
          <cell r="D1723">
            <v>1444.49</v>
          </cell>
        </row>
        <row r="1724">
          <cell r="A1724">
            <v>41184</v>
          </cell>
          <cell r="B1724">
            <v>2523.08</v>
          </cell>
          <cell r="C1724">
            <v>2338.11</v>
          </cell>
          <cell r="D1724">
            <v>1445.75</v>
          </cell>
        </row>
        <row r="1725">
          <cell r="A1725">
            <v>41185</v>
          </cell>
          <cell r="B1725">
            <v>2532.79</v>
          </cell>
          <cell r="C1725">
            <v>2346.9499999999998</v>
          </cell>
          <cell r="D1725">
            <v>1450.99</v>
          </cell>
        </row>
        <row r="1726">
          <cell r="A1726">
            <v>41186</v>
          </cell>
          <cell r="B1726">
            <v>2550.98</v>
          </cell>
          <cell r="C1726">
            <v>2363.8000000000002</v>
          </cell>
          <cell r="D1726">
            <v>1461.4</v>
          </cell>
        </row>
        <row r="1727">
          <cell r="A1727">
            <v>41187</v>
          </cell>
          <cell r="B1727">
            <v>2551.0300000000002</v>
          </cell>
          <cell r="C1727">
            <v>2363.6</v>
          </cell>
          <cell r="D1727">
            <v>1460.93</v>
          </cell>
        </row>
        <row r="1728">
          <cell r="A1728">
            <v>41190</v>
          </cell>
          <cell r="B1728">
            <v>2542.21</v>
          </cell>
          <cell r="C1728">
            <v>2355.4299999999998</v>
          </cell>
          <cell r="D1728">
            <v>1455.88</v>
          </cell>
        </row>
        <row r="1729">
          <cell r="A1729">
            <v>41191</v>
          </cell>
          <cell r="B1729">
            <v>2517.14</v>
          </cell>
          <cell r="C1729">
            <v>2332.19</v>
          </cell>
          <cell r="D1729">
            <v>1441.48</v>
          </cell>
        </row>
        <row r="1730">
          <cell r="A1730">
            <v>41192</v>
          </cell>
          <cell r="B1730">
            <v>2501.75</v>
          </cell>
          <cell r="C1730">
            <v>2317.87</v>
          </cell>
          <cell r="D1730">
            <v>1432.56</v>
          </cell>
        </row>
        <row r="1731">
          <cell r="A1731">
            <v>41193</v>
          </cell>
          <cell r="B1731">
            <v>2502.66</v>
          </cell>
          <cell r="C1731">
            <v>2318.6</v>
          </cell>
          <cell r="D1731">
            <v>1432.84</v>
          </cell>
        </row>
        <row r="1732">
          <cell r="A1732">
            <v>41194</v>
          </cell>
          <cell r="B1732">
            <v>2495.2800000000002</v>
          </cell>
          <cell r="C1732">
            <v>2311.75</v>
          </cell>
          <cell r="D1732">
            <v>1428.59</v>
          </cell>
        </row>
        <row r="1733">
          <cell r="A1733">
            <v>41197</v>
          </cell>
          <cell r="B1733">
            <v>2515.44</v>
          </cell>
          <cell r="C1733">
            <v>2330.4299999999998</v>
          </cell>
          <cell r="D1733">
            <v>1440.13</v>
          </cell>
        </row>
        <row r="1734">
          <cell r="A1734">
            <v>41198</v>
          </cell>
          <cell r="B1734">
            <v>2541.2800000000002</v>
          </cell>
          <cell r="C1734">
            <v>2354.37</v>
          </cell>
          <cell r="D1734">
            <v>1454.92</v>
          </cell>
        </row>
        <row r="1735">
          <cell r="A1735">
            <v>41199</v>
          </cell>
          <cell r="B1735">
            <v>2552.0500000000002</v>
          </cell>
          <cell r="C1735">
            <v>2364.2600000000002</v>
          </cell>
          <cell r="D1735">
            <v>1460.91</v>
          </cell>
        </row>
        <row r="1736">
          <cell r="A1736">
            <v>41200</v>
          </cell>
          <cell r="B1736">
            <v>2545.9499999999998</v>
          </cell>
          <cell r="C1736">
            <v>2358.5700000000002</v>
          </cell>
          <cell r="D1736">
            <v>1457.34</v>
          </cell>
        </row>
        <row r="1737">
          <cell r="A1737">
            <v>41201</v>
          </cell>
          <cell r="B1737">
            <v>2503.8000000000002</v>
          </cell>
          <cell r="C1737">
            <v>2319.5100000000002</v>
          </cell>
          <cell r="D1737">
            <v>1433.19</v>
          </cell>
        </row>
        <row r="1738">
          <cell r="A1738">
            <v>41204</v>
          </cell>
          <cell r="B1738">
            <v>2504.96</v>
          </cell>
          <cell r="C1738">
            <v>2320.5700000000002</v>
          </cell>
          <cell r="D1738">
            <v>1433.82</v>
          </cell>
        </row>
        <row r="1739">
          <cell r="A1739">
            <v>41205</v>
          </cell>
          <cell r="B1739">
            <v>2468.7800000000002</v>
          </cell>
          <cell r="C1739">
            <v>2287.0500000000002</v>
          </cell>
          <cell r="D1739">
            <v>1413.11</v>
          </cell>
        </row>
        <row r="1740">
          <cell r="A1740">
            <v>41206</v>
          </cell>
          <cell r="B1740">
            <v>2461.1799999999998</v>
          </cell>
          <cell r="C1740">
            <v>2280</v>
          </cell>
          <cell r="D1740">
            <v>1408.75</v>
          </cell>
        </row>
        <row r="1741">
          <cell r="A1741">
            <v>41207</v>
          </cell>
          <cell r="B1741">
            <v>2468.6</v>
          </cell>
          <cell r="C1741">
            <v>2286.86</v>
          </cell>
          <cell r="D1741">
            <v>1412.97</v>
          </cell>
        </row>
        <row r="1742">
          <cell r="A1742">
            <v>41208</v>
          </cell>
          <cell r="B1742">
            <v>2466.8000000000002</v>
          </cell>
          <cell r="C1742">
            <v>2285.1999999999998</v>
          </cell>
          <cell r="D1742">
            <v>1411.94</v>
          </cell>
        </row>
        <row r="1743">
          <cell r="A1743">
            <v>41213</v>
          </cell>
          <cell r="B1743">
            <v>2467.5100000000002</v>
          </cell>
          <cell r="C1743">
            <v>2285.7600000000002</v>
          </cell>
          <cell r="D1743">
            <v>1412.16</v>
          </cell>
        </row>
        <row r="1744">
          <cell r="A1744">
            <v>41214</v>
          </cell>
          <cell r="B1744">
            <v>2494.67</v>
          </cell>
          <cell r="C1744">
            <v>2310.87</v>
          </cell>
          <cell r="D1744">
            <v>1427.59</v>
          </cell>
        </row>
        <row r="1745">
          <cell r="A1745">
            <v>41215</v>
          </cell>
          <cell r="B1745">
            <v>2471.3000000000002</v>
          </cell>
          <cell r="C1745">
            <v>2289.21</v>
          </cell>
          <cell r="D1745">
            <v>1414.2</v>
          </cell>
        </row>
        <row r="1746">
          <cell r="A1746">
            <v>41218</v>
          </cell>
          <cell r="B1746">
            <v>2476.94</v>
          </cell>
          <cell r="C1746">
            <v>2294.36</v>
          </cell>
          <cell r="D1746">
            <v>1417.26</v>
          </cell>
        </row>
        <row r="1747">
          <cell r="A1747">
            <v>41219</v>
          </cell>
          <cell r="B1747">
            <v>2496.46</v>
          </cell>
          <cell r="C1747">
            <v>2312.42</v>
          </cell>
          <cell r="D1747">
            <v>1428.39</v>
          </cell>
        </row>
        <row r="1748">
          <cell r="A1748">
            <v>41220</v>
          </cell>
          <cell r="B1748">
            <v>2439.48</v>
          </cell>
          <cell r="C1748">
            <v>2259.0300000000002</v>
          </cell>
          <cell r="D1748">
            <v>1394.53</v>
          </cell>
        </row>
        <row r="1749">
          <cell r="A1749">
            <v>41221</v>
          </cell>
          <cell r="B1749">
            <v>2409.7199999999998</v>
          </cell>
          <cell r="C1749">
            <v>2231.4699999999998</v>
          </cell>
          <cell r="D1749">
            <v>1377.51</v>
          </cell>
        </row>
        <row r="1750">
          <cell r="A1750">
            <v>41222</v>
          </cell>
          <cell r="B1750">
            <v>2413.92</v>
          </cell>
          <cell r="C1750">
            <v>2235.33</v>
          </cell>
          <cell r="D1750">
            <v>1379.85</v>
          </cell>
        </row>
        <row r="1751">
          <cell r="A1751">
            <v>41225</v>
          </cell>
          <cell r="B1751">
            <v>2414.2399999999998</v>
          </cell>
          <cell r="C1751">
            <v>2235.62</v>
          </cell>
          <cell r="D1751">
            <v>1380.03</v>
          </cell>
        </row>
        <row r="1752">
          <cell r="A1752">
            <v>41226</v>
          </cell>
          <cell r="B1752">
            <v>2405.38</v>
          </cell>
          <cell r="C1752">
            <v>2227.1999999999998</v>
          </cell>
          <cell r="D1752">
            <v>1374.53</v>
          </cell>
        </row>
        <row r="1753">
          <cell r="A1753">
            <v>41227</v>
          </cell>
          <cell r="B1753">
            <v>2372.94</v>
          </cell>
          <cell r="C1753">
            <v>2196.92</v>
          </cell>
          <cell r="D1753">
            <v>1355.49</v>
          </cell>
        </row>
        <row r="1754">
          <cell r="A1754">
            <v>41228</v>
          </cell>
          <cell r="B1754">
            <v>2369.3200000000002</v>
          </cell>
          <cell r="C1754">
            <v>2193.5300000000002</v>
          </cell>
          <cell r="D1754">
            <v>1353.33</v>
          </cell>
        </row>
        <row r="1755">
          <cell r="A1755">
            <v>41229</v>
          </cell>
          <cell r="B1755">
            <v>2381.02</v>
          </cell>
          <cell r="C1755">
            <v>2204.29</v>
          </cell>
          <cell r="D1755">
            <v>1359.88</v>
          </cell>
        </row>
        <row r="1756">
          <cell r="A1756">
            <v>41232</v>
          </cell>
          <cell r="B1756">
            <v>2428.4699999999998</v>
          </cell>
          <cell r="C1756">
            <v>2248.1799999999998</v>
          </cell>
          <cell r="D1756">
            <v>1386.89</v>
          </cell>
        </row>
        <row r="1757">
          <cell r="A1757">
            <v>41233</v>
          </cell>
          <cell r="B1757">
            <v>2430.29</v>
          </cell>
          <cell r="C1757">
            <v>2249.81</v>
          </cell>
          <cell r="D1757">
            <v>1387.81</v>
          </cell>
        </row>
        <row r="1758">
          <cell r="A1758">
            <v>41234</v>
          </cell>
          <cell r="B1758">
            <v>2435.9699999999998</v>
          </cell>
          <cell r="C1758">
            <v>2255.0500000000002</v>
          </cell>
          <cell r="D1758">
            <v>1391.03</v>
          </cell>
        </row>
        <row r="1759">
          <cell r="A1759">
            <v>41236</v>
          </cell>
          <cell r="B1759">
            <v>2468.06</v>
          </cell>
          <cell r="C1759">
            <v>2284.66</v>
          </cell>
          <cell r="D1759">
            <v>1409.15</v>
          </cell>
        </row>
        <row r="1760">
          <cell r="A1760">
            <v>41239</v>
          </cell>
          <cell r="B1760">
            <v>2463.12</v>
          </cell>
          <cell r="C1760">
            <v>2280.0700000000002</v>
          </cell>
          <cell r="D1760">
            <v>1406.29</v>
          </cell>
        </row>
        <row r="1761">
          <cell r="A1761">
            <v>41240</v>
          </cell>
          <cell r="B1761">
            <v>2450.48</v>
          </cell>
          <cell r="C1761">
            <v>2268.3000000000002</v>
          </cell>
          <cell r="D1761">
            <v>1398.94</v>
          </cell>
        </row>
        <row r="1762">
          <cell r="A1762">
            <v>41241</v>
          </cell>
          <cell r="B1762">
            <v>2470.4699999999998</v>
          </cell>
          <cell r="C1762">
            <v>2286.6</v>
          </cell>
          <cell r="D1762">
            <v>1409.93</v>
          </cell>
        </row>
        <row r="1763">
          <cell r="A1763">
            <v>41242</v>
          </cell>
          <cell r="B1763">
            <v>2481.42</v>
          </cell>
          <cell r="C1763">
            <v>2296.63</v>
          </cell>
          <cell r="D1763">
            <v>1415.95</v>
          </cell>
        </row>
        <row r="1764">
          <cell r="A1764">
            <v>41243</v>
          </cell>
          <cell r="B1764">
            <v>2481.8200000000002</v>
          </cell>
          <cell r="C1764">
            <v>2297</v>
          </cell>
          <cell r="D1764">
            <v>1416.18</v>
          </cell>
        </row>
        <row r="1765">
          <cell r="A1765">
            <v>41246</v>
          </cell>
          <cell r="B1765">
            <v>2470.0700000000002</v>
          </cell>
          <cell r="C1765">
            <v>2286.11</v>
          </cell>
          <cell r="D1765">
            <v>1409.46</v>
          </cell>
        </row>
        <row r="1766">
          <cell r="A1766">
            <v>41247</v>
          </cell>
          <cell r="B1766">
            <v>2465.9</v>
          </cell>
          <cell r="C1766">
            <v>2282.2399999999998</v>
          </cell>
          <cell r="D1766">
            <v>1407.05</v>
          </cell>
        </row>
        <row r="1767">
          <cell r="A1767">
            <v>41248</v>
          </cell>
          <cell r="B1767">
            <v>2470.59</v>
          </cell>
          <cell r="C1767">
            <v>2286.36</v>
          </cell>
          <cell r="D1767">
            <v>1409.28</v>
          </cell>
        </row>
        <row r="1768">
          <cell r="A1768">
            <v>41249</v>
          </cell>
          <cell r="B1768">
            <v>2479.4</v>
          </cell>
          <cell r="C1768">
            <v>2294.34</v>
          </cell>
          <cell r="D1768">
            <v>1413.94</v>
          </cell>
        </row>
        <row r="1769">
          <cell r="A1769">
            <v>41250</v>
          </cell>
          <cell r="B1769">
            <v>2486.84</v>
          </cell>
          <cell r="C1769">
            <v>2301.17</v>
          </cell>
          <cell r="D1769">
            <v>1418.07</v>
          </cell>
        </row>
        <row r="1770">
          <cell r="A1770">
            <v>41253</v>
          </cell>
          <cell r="B1770">
            <v>2487.7800000000002</v>
          </cell>
          <cell r="C1770">
            <v>2302.0100000000002</v>
          </cell>
          <cell r="D1770">
            <v>1418.55</v>
          </cell>
        </row>
        <row r="1771">
          <cell r="A1771">
            <v>41254</v>
          </cell>
          <cell r="B1771">
            <v>2504.08</v>
          </cell>
          <cell r="C1771">
            <v>2317.09</v>
          </cell>
          <cell r="D1771">
            <v>1427.84</v>
          </cell>
        </row>
        <row r="1772">
          <cell r="A1772">
            <v>41255</v>
          </cell>
          <cell r="B1772">
            <v>2505.7600000000002</v>
          </cell>
          <cell r="C1772">
            <v>2318.4899999999998</v>
          </cell>
          <cell r="D1772">
            <v>1428.48</v>
          </cell>
        </row>
        <row r="1773">
          <cell r="A1773">
            <v>41256</v>
          </cell>
          <cell r="B1773">
            <v>2490.56</v>
          </cell>
          <cell r="C1773">
            <v>2304.25</v>
          </cell>
          <cell r="D1773">
            <v>1419.45</v>
          </cell>
        </row>
        <row r="1774">
          <cell r="A1774">
            <v>41257</v>
          </cell>
          <cell r="B1774">
            <v>2480.36</v>
          </cell>
          <cell r="C1774">
            <v>2294.7800000000002</v>
          </cell>
          <cell r="D1774">
            <v>1413.58</v>
          </cell>
        </row>
        <row r="1775">
          <cell r="A1775">
            <v>41260</v>
          </cell>
          <cell r="B1775">
            <v>2509.84</v>
          </cell>
          <cell r="C1775">
            <v>2322.0500000000002</v>
          </cell>
          <cell r="D1775">
            <v>1430.36</v>
          </cell>
        </row>
        <row r="1776">
          <cell r="A1776">
            <v>41261</v>
          </cell>
          <cell r="B1776">
            <v>2538.7199999999998</v>
          </cell>
          <cell r="C1776">
            <v>2348.75</v>
          </cell>
          <cell r="D1776">
            <v>1446.79</v>
          </cell>
        </row>
        <row r="1777">
          <cell r="A1777">
            <v>41262</v>
          </cell>
          <cell r="B1777">
            <v>2519.54</v>
          </cell>
          <cell r="C1777">
            <v>2330.9899999999998</v>
          </cell>
          <cell r="D1777">
            <v>1435.81</v>
          </cell>
        </row>
        <row r="1778">
          <cell r="A1778">
            <v>41263</v>
          </cell>
          <cell r="B1778">
            <v>2533.91</v>
          </cell>
          <cell r="C1778">
            <v>2344.13</v>
          </cell>
          <cell r="D1778">
            <v>1443.69</v>
          </cell>
        </row>
        <row r="1779">
          <cell r="A1779">
            <v>41264</v>
          </cell>
          <cell r="B1779">
            <v>2510.3200000000002</v>
          </cell>
          <cell r="C1779">
            <v>2322.2600000000002</v>
          </cell>
          <cell r="D1779">
            <v>1430.15</v>
          </cell>
        </row>
        <row r="1780">
          <cell r="A1780">
            <v>41267</v>
          </cell>
          <cell r="B1780">
            <v>2504.5100000000002</v>
          </cell>
          <cell r="C1780">
            <v>2316.8000000000002</v>
          </cell>
          <cell r="D1780">
            <v>1426.66</v>
          </cell>
        </row>
        <row r="1781">
          <cell r="A1781">
            <v>41269</v>
          </cell>
          <cell r="B1781">
            <v>2492.54</v>
          </cell>
          <cell r="C1781">
            <v>2305.7199999999998</v>
          </cell>
          <cell r="D1781">
            <v>1419.83</v>
          </cell>
        </row>
        <row r="1782">
          <cell r="A1782">
            <v>41270</v>
          </cell>
          <cell r="B1782">
            <v>2489.9699999999998</v>
          </cell>
          <cell r="C1782">
            <v>2303.21</v>
          </cell>
          <cell r="D1782">
            <v>1418.1</v>
          </cell>
        </row>
        <row r="1783">
          <cell r="A1783">
            <v>41271</v>
          </cell>
          <cell r="B1783">
            <v>2462.71</v>
          </cell>
          <cell r="C1783">
            <v>2277.92</v>
          </cell>
          <cell r="D1783">
            <v>1402.43</v>
          </cell>
        </row>
        <row r="1784">
          <cell r="A1784">
            <v>41274</v>
          </cell>
          <cell r="B1784">
            <v>2504.44</v>
          </cell>
          <cell r="C1784">
            <v>2316.52</v>
          </cell>
          <cell r="D1784">
            <v>1426.19</v>
          </cell>
        </row>
        <row r="1785">
          <cell r="A1785">
            <v>41276</v>
          </cell>
          <cell r="B1785">
            <v>2568.5500000000002</v>
          </cell>
          <cell r="C1785">
            <v>2375.69</v>
          </cell>
          <cell r="D1785">
            <v>1462.42</v>
          </cell>
        </row>
        <row r="1786">
          <cell r="A1786">
            <v>41277</v>
          </cell>
          <cell r="B1786">
            <v>2563.19</v>
          </cell>
          <cell r="C1786">
            <v>2370.7199999999998</v>
          </cell>
          <cell r="D1786">
            <v>1459.37</v>
          </cell>
        </row>
        <row r="1787">
          <cell r="A1787">
            <v>41278</v>
          </cell>
          <cell r="B1787">
            <v>2575.66</v>
          </cell>
          <cell r="C1787">
            <v>2382.2600000000002</v>
          </cell>
          <cell r="D1787">
            <v>1466.47</v>
          </cell>
        </row>
        <row r="1788">
          <cell r="A1788">
            <v>41281</v>
          </cell>
          <cell r="B1788">
            <v>2567.63</v>
          </cell>
          <cell r="C1788">
            <v>2374.83</v>
          </cell>
          <cell r="D1788">
            <v>1461.89</v>
          </cell>
        </row>
        <row r="1789">
          <cell r="A1789">
            <v>41282</v>
          </cell>
          <cell r="B1789">
            <v>2560.17</v>
          </cell>
          <cell r="C1789">
            <v>2367.69</v>
          </cell>
          <cell r="D1789">
            <v>1457.15</v>
          </cell>
        </row>
        <row r="1790">
          <cell r="A1790">
            <v>41283</v>
          </cell>
          <cell r="B1790">
            <v>2567.02</v>
          </cell>
          <cell r="C1790">
            <v>2374.0100000000002</v>
          </cell>
          <cell r="D1790">
            <v>1461.02</v>
          </cell>
        </row>
        <row r="1791">
          <cell r="A1791">
            <v>41284</v>
          </cell>
          <cell r="B1791">
            <v>2586.52</v>
          </cell>
          <cell r="C1791">
            <v>2392.0500000000002</v>
          </cell>
          <cell r="D1791">
            <v>1472.12</v>
          </cell>
        </row>
        <row r="1792">
          <cell r="A1792">
            <v>41285</v>
          </cell>
          <cell r="B1792">
            <v>2586.69</v>
          </cell>
          <cell r="C1792">
            <v>2392.12</v>
          </cell>
          <cell r="D1792">
            <v>1472.05</v>
          </cell>
        </row>
        <row r="1793">
          <cell r="A1793">
            <v>41288</v>
          </cell>
          <cell r="B1793">
            <v>2584.27</v>
          </cell>
          <cell r="C1793">
            <v>2389.89</v>
          </cell>
          <cell r="D1793">
            <v>1470.68</v>
          </cell>
        </row>
        <row r="1794">
          <cell r="A1794">
            <v>41289</v>
          </cell>
          <cell r="B1794">
            <v>2587.1999999999998</v>
          </cell>
          <cell r="C1794">
            <v>2392.59</v>
          </cell>
          <cell r="D1794">
            <v>1472.34</v>
          </cell>
        </row>
        <row r="1795">
          <cell r="A1795">
            <v>41290</v>
          </cell>
          <cell r="B1795">
            <v>2588.02</v>
          </cell>
          <cell r="C1795">
            <v>2393.2600000000002</v>
          </cell>
          <cell r="D1795">
            <v>1472.63</v>
          </cell>
        </row>
        <row r="1796">
          <cell r="A1796">
            <v>41291</v>
          </cell>
          <cell r="B1796">
            <v>2602.64</v>
          </cell>
          <cell r="C1796">
            <v>2406.7800000000002</v>
          </cell>
          <cell r="D1796">
            <v>1480.94</v>
          </cell>
        </row>
        <row r="1797">
          <cell r="A1797">
            <v>41292</v>
          </cell>
          <cell r="B1797">
            <v>2611.54</v>
          </cell>
          <cell r="C1797">
            <v>2415</v>
          </cell>
          <cell r="D1797">
            <v>1485.98</v>
          </cell>
        </row>
        <row r="1798">
          <cell r="A1798">
            <v>41296</v>
          </cell>
          <cell r="B1798">
            <v>2623.22</v>
          </cell>
          <cell r="C1798">
            <v>2425.77</v>
          </cell>
          <cell r="D1798">
            <v>1492.56</v>
          </cell>
        </row>
        <row r="1799">
          <cell r="A1799">
            <v>41297</v>
          </cell>
          <cell r="B1799">
            <v>2627.23</v>
          </cell>
          <cell r="C1799">
            <v>2429.46</v>
          </cell>
          <cell r="D1799">
            <v>1494.81</v>
          </cell>
        </row>
        <row r="1800">
          <cell r="A1800">
            <v>41298</v>
          </cell>
          <cell r="B1800">
            <v>2627.33</v>
          </cell>
          <cell r="C1800">
            <v>2429.5300000000002</v>
          </cell>
          <cell r="D1800">
            <v>1494.82</v>
          </cell>
        </row>
        <row r="1801">
          <cell r="A1801">
            <v>41299</v>
          </cell>
          <cell r="B1801">
            <v>2641.64</v>
          </cell>
          <cell r="C1801">
            <v>2442.7600000000002</v>
          </cell>
          <cell r="D1801">
            <v>1502.96</v>
          </cell>
        </row>
        <row r="1802">
          <cell r="A1802">
            <v>41302</v>
          </cell>
          <cell r="B1802">
            <v>2636.83</v>
          </cell>
          <cell r="C1802">
            <v>2438.29</v>
          </cell>
          <cell r="D1802">
            <v>1500.18</v>
          </cell>
        </row>
        <row r="1803">
          <cell r="A1803">
            <v>41303</v>
          </cell>
          <cell r="B1803">
            <v>2650.43</v>
          </cell>
          <cell r="C1803">
            <v>2450.83</v>
          </cell>
          <cell r="D1803">
            <v>1507.84</v>
          </cell>
        </row>
        <row r="1804">
          <cell r="A1804">
            <v>41304</v>
          </cell>
          <cell r="B1804">
            <v>2640.77</v>
          </cell>
          <cell r="C1804">
            <v>2441.71</v>
          </cell>
          <cell r="D1804">
            <v>1501.96</v>
          </cell>
        </row>
        <row r="1805">
          <cell r="A1805">
            <v>41305</v>
          </cell>
          <cell r="B1805">
            <v>2634.16</v>
          </cell>
          <cell r="C1805">
            <v>2435.56</v>
          </cell>
          <cell r="D1805">
            <v>1498.11</v>
          </cell>
        </row>
        <row r="1806">
          <cell r="A1806">
            <v>41306</v>
          </cell>
          <cell r="B1806">
            <v>2660.7</v>
          </cell>
          <cell r="C1806">
            <v>2460.08</v>
          </cell>
          <cell r="D1806">
            <v>1513.17</v>
          </cell>
        </row>
        <row r="1807">
          <cell r="A1807">
            <v>41309</v>
          </cell>
          <cell r="B1807">
            <v>2630.05</v>
          </cell>
          <cell r="C1807">
            <v>2431.73</v>
          </cell>
          <cell r="D1807">
            <v>1495.71</v>
          </cell>
        </row>
        <row r="1808">
          <cell r="A1808">
            <v>41310</v>
          </cell>
          <cell r="B1808">
            <v>2657.76</v>
          </cell>
          <cell r="C1808">
            <v>2457.2600000000002</v>
          </cell>
          <cell r="D1808">
            <v>1511.29</v>
          </cell>
        </row>
        <row r="1809">
          <cell r="A1809">
            <v>41311</v>
          </cell>
          <cell r="B1809">
            <v>2659.55</v>
          </cell>
          <cell r="C1809">
            <v>2458.8200000000002</v>
          </cell>
          <cell r="D1809">
            <v>1512.12</v>
          </cell>
        </row>
        <row r="1810">
          <cell r="A1810">
            <v>41312</v>
          </cell>
          <cell r="B1810">
            <v>2655.84</v>
          </cell>
          <cell r="C1810">
            <v>2455.09</v>
          </cell>
          <cell r="D1810">
            <v>1509.39</v>
          </cell>
        </row>
        <row r="1811">
          <cell r="A1811">
            <v>41313</v>
          </cell>
          <cell r="B1811">
            <v>2670.85</v>
          </cell>
          <cell r="C1811">
            <v>2468.9699999999998</v>
          </cell>
          <cell r="D1811">
            <v>1517.93</v>
          </cell>
        </row>
        <row r="1812">
          <cell r="A1812">
            <v>41316</v>
          </cell>
          <cell r="B1812">
            <v>2669.37</v>
          </cell>
          <cell r="C1812">
            <v>2467.56</v>
          </cell>
          <cell r="D1812">
            <v>1517.01</v>
          </cell>
        </row>
        <row r="1813">
          <cell r="A1813">
            <v>41317</v>
          </cell>
          <cell r="B1813">
            <v>2673.77</v>
          </cell>
          <cell r="C1813">
            <v>2471.59</v>
          </cell>
          <cell r="D1813">
            <v>1519.43</v>
          </cell>
        </row>
        <row r="1814">
          <cell r="A1814">
            <v>41318</v>
          </cell>
          <cell r="B1814">
            <v>2676.6</v>
          </cell>
          <cell r="C1814">
            <v>2473.86</v>
          </cell>
          <cell r="D1814">
            <v>1520.33</v>
          </cell>
        </row>
        <row r="1815">
          <cell r="A1815">
            <v>41319</v>
          </cell>
          <cell r="B1815">
            <v>2678.77</v>
          </cell>
          <cell r="C1815">
            <v>2475.7800000000002</v>
          </cell>
          <cell r="D1815">
            <v>1521.38</v>
          </cell>
        </row>
        <row r="1816">
          <cell r="A1816">
            <v>41320</v>
          </cell>
          <cell r="B1816">
            <v>2676.21</v>
          </cell>
          <cell r="C1816">
            <v>2473.35</v>
          </cell>
          <cell r="D1816">
            <v>1519.79</v>
          </cell>
        </row>
        <row r="1817">
          <cell r="A1817">
            <v>41324</v>
          </cell>
          <cell r="B1817">
            <v>2696.26</v>
          </cell>
          <cell r="C1817">
            <v>2491.7600000000002</v>
          </cell>
          <cell r="D1817">
            <v>1530.94</v>
          </cell>
        </row>
        <row r="1818">
          <cell r="A1818">
            <v>41325</v>
          </cell>
          <cell r="B1818">
            <v>2662.94</v>
          </cell>
          <cell r="C1818">
            <v>2460.9299999999998</v>
          </cell>
          <cell r="D1818">
            <v>1511.95</v>
          </cell>
        </row>
        <row r="1819">
          <cell r="A1819">
            <v>41326</v>
          </cell>
          <cell r="B1819">
            <v>2646.75</v>
          </cell>
          <cell r="C1819">
            <v>2445.8000000000002</v>
          </cell>
          <cell r="D1819">
            <v>1502.42</v>
          </cell>
        </row>
        <row r="1820">
          <cell r="A1820">
            <v>41327</v>
          </cell>
          <cell r="B1820">
            <v>2670.36</v>
          </cell>
          <cell r="C1820">
            <v>2467.5100000000002</v>
          </cell>
          <cell r="D1820">
            <v>1515.6</v>
          </cell>
        </row>
        <row r="1821">
          <cell r="A1821">
            <v>41330</v>
          </cell>
          <cell r="B1821">
            <v>2621.46</v>
          </cell>
          <cell r="C1821">
            <v>2422.33</v>
          </cell>
          <cell r="D1821">
            <v>1487.85</v>
          </cell>
        </row>
        <row r="1822">
          <cell r="A1822">
            <v>41331</v>
          </cell>
          <cell r="B1822">
            <v>2637.89</v>
          </cell>
          <cell r="C1822">
            <v>2437.4</v>
          </cell>
          <cell r="D1822">
            <v>1496.94</v>
          </cell>
        </row>
        <row r="1823">
          <cell r="A1823">
            <v>41332</v>
          </cell>
          <cell r="B1823">
            <v>2672.11</v>
          </cell>
          <cell r="C1823">
            <v>2468.83</v>
          </cell>
          <cell r="D1823">
            <v>1515.99</v>
          </cell>
        </row>
        <row r="1824">
          <cell r="A1824">
            <v>41333</v>
          </cell>
          <cell r="B1824">
            <v>2669.92</v>
          </cell>
          <cell r="C1824">
            <v>2466.7800000000002</v>
          </cell>
          <cell r="D1824">
            <v>1514.68</v>
          </cell>
        </row>
        <row r="1825">
          <cell r="A1825">
            <v>41334</v>
          </cell>
          <cell r="B1825">
            <v>2676.18</v>
          </cell>
          <cell r="C1825">
            <v>2472.5500000000002</v>
          </cell>
          <cell r="D1825">
            <v>1518.2</v>
          </cell>
        </row>
        <row r="1826">
          <cell r="A1826">
            <v>41337</v>
          </cell>
          <cell r="B1826">
            <v>2688.54</v>
          </cell>
          <cell r="C1826">
            <v>2483.9699999999998</v>
          </cell>
          <cell r="D1826">
            <v>1525.2</v>
          </cell>
        </row>
        <row r="1827">
          <cell r="A1827">
            <v>41338</v>
          </cell>
          <cell r="B1827">
            <v>2714.35</v>
          </cell>
          <cell r="C1827">
            <v>2507.79</v>
          </cell>
          <cell r="D1827">
            <v>1539.79</v>
          </cell>
        </row>
        <row r="1828">
          <cell r="A1828">
            <v>41339</v>
          </cell>
          <cell r="B1828">
            <v>2718.07</v>
          </cell>
          <cell r="C1828">
            <v>2511.0100000000002</v>
          </cell>
          <cell r="D1828">
            <v>1541.46</v>
          </cell>
        </row>
        <row r="1829">
          <cell r="A1829">
            <v>41340</v>
          </cell>
          <cell r="B1829">
            <v>2723.27</v>
          </cell>
          <cell r="C1829">
            <v>2515.7399999999998</v>
          </cell>
          <cell r="D1829">
            <v>1544.26</v>
          </cell>
        </row>
        <row r="1830">
          <cell r="A1830">
            <v>41341</v>
          </cell>
          <cell r="B1830">
            <v>2735.67</v>
          </cell>
          <cell r="C1830">
            <v>2527.14</v>
          </cell>
          <cell r="D1830">
            <v>1551.18</v>
          </cell>
        </row>
        <row r="1831">
          <cell r="A1831">
            <v>41344</v>
          </cell>
          <cell r="B1831">
            <v>2744.81</v>
          </cell>
          <cell r="C1831">
            <v>2535.5100000000002</v>
          </cell>
          <cell r="D1831">
            <v>1556.22</v>
          </cell>
        </row>
        <row r="1832">
          <cell r="A1832">
            <v>41345</v>
          </cell>
          <cell r="B1832">
            <v>2738.35</v>
          </cell>
          <cell r="C1832">
            <v>2529.5100000000002</v>
          </cell>
          <cell r="D1832">
            <v>1552.48</v>
          </cell>
        </row>
        <row r="1833">
          <cell r="A1833">
            <v>41346</v>
          </cell>
          <cell r="B1833">
            <v>2742.87</v>
          </cell>
          <cell r="C1833">
            <v>2533.4299999999998</v>
          </cell>
          <cell r="D1833">
            <v>1554.52</v>
          </cell>
        </row>
        <row r="1834">
          <cell r="A1834">
            <v>41347</v>
          </cell>
          <cell r="B1834">
            <v>2758.3</v>
          </cell>
          <cell r="C1834">
            <v>2547.66</v>
          </cell>
          <cell r="D1834">
            <v>1563.23</v>
          </cell>
        </row>
        <row r="1835">
          <cell r="A1835">
            <v>41348</v>
          </cell>
          <cell r="B1835">
            <v>2753.82</v>
          </cell>
          <cell r="C1835">
            <v>2543.5300000000002</v>
          </cell>
          <cell r="D1835">
            <v>1560.7</v>
          </cell>
        </row>
        <row r="1836">
          <cell r="A1836">
            <v>41351</v>
          </cell>
          <cell r="B1836">
            <v>2738.68</v>
          </cell>
          <cell r="C1836">
            <v>2529.5300000000002</v>
          </cell>
          <cell r="D1836">
            <v>1552.1</v>
          </cell>
        </row>
        <row r="1837">
          <cell r="A1837">
            <v>41352</v>
          </cell>
          <cell r="B1837">
            <v>2732.09</v>
          </cell>
          <cell r="C1837">
            <v>2523.44</v>
          </cell>
          <cell r="D1837">
            <v>1548.34</v>
          </cell>
        </row>
        <row r="1838">
          <cell r="A1838">
            <v>41353</v>
          </cell>
          <cell r="B1838">
            <v>2750.42</v>
          </cell>
          <cell r="C1838">
            <v>2540.35</v>
          </cell>
          <cell r="D1838">
            <v>1558.71</v>
          </cell>
        </row>
        <row r="1839">
          <cell r="A1839">
            <v>41354</v>
          </cell>
          <cell r="B1839">
            <v>2727.69</v>
          </cell>
          <cell r="C1839">
            <v>2519.35</v>
          </cell>
          <cell r="D1839">
            <v>1545.8</v>
          </cell>
        </row>
        <row r="1840">
          <cell r="A1840">
            <v>41355</v>
          </cell>
          <cell r="B1840">
            <v>2747.25</v>
          </cell>
          <cell r="C1840">
            <v>2537.41</v>
          </cell>
          <cell r="D1840">
            <v>1556.89</v>
          </cell>
        </row>
        <row r="1841">
          <cell r="A1841">
            <v>41358</v>
          </cell>
          <cell r="B1841">
            <v>2738.08</v>
          </cell>
          <cell r="C1841">
            <v>2528.9499999999998</v>
          </cell>
          <cell r="D1841">
            <v>1551.69</v>
          </cell>
        </row>
        <row r="1842">
          <cell r="A1842">
            <v>41359</v>
          </cell>
          <cell r="B1842">
            <v>2760.32</v>
          </cell>
          <cell r="C1842">
            <v>2549.23</v>
          </cell>
          <cell r="D1842">
            <v>1563.77</v>
          </cell>
        </row>
        <row r="1843">
          <cell r="A1843">
            <v>41360</v>
          </cell>
          <cell r="B1843">
            <v>2758.85</v>
          </cell>
          <cell r="C1843">
            <v>2547.83</v>
          </cell>
          <cell r="D1843">
            <v>1562.85</v>
          </cell>
        </row>
        <row r="1844">
          <cell r="A1844">
            <v>41361</v>
          </cell>
          <cell r="B1844">
            <v>2770.05</v>
          </cell>
          <cell r="C1844">
            <v>2558.17</v>
          </cell>
          <cell r="D1844">
            <v>1569.19</v>
          </cell>
        </row>
        <row r="1845">
          <cell r="A1845">
            <v>41365</v>
          </cell>
          <cell r="B1845">
            <v>2757.83</v>
          </cell>
          <cell r="C1845">
            <v>2546.84</v>
          </cell>
          <cell r="D1845">
            <v>1562.17</v>
          </cell>
        </row>
        <row r="1846">
          <cell r="A1846">
            <v>41366</v>
          </cell>
          <cell r="B1846">
            <v>2772.11</v>
          </cell>
          <cell r="C1846">
            <v>2560.02</v>
          </cell>
          <cell r="D1846">
            <v>1570.25</v>
          </cell>
        </row>
        <row r="1847">
          <cell r="A1847">
            <v>41367</v>
          </cell>
          <cell r="B1847">
            <v>2743.38</v>
          </cell>
          <cell r="C1847">
            <v>2533.35</v>
          </cell>
          <cell r="D1847">
            <v>1553.69</v>
          </cell>
        </row>
        <row r="1848">
          <cell r="A1848">
            <v>41368</v>
          </cell>
          <cell r="B1848">
            <v>2754.67</v>
          </cell>
          <cell r="C1848">
            <v>2543.7199999999998</v>
          </cell>
          <cell r="D1848">
            <v>1559.98</v>
          </cell>
        </row>
        <row r="1849">
          <cell r="A1849">
            <v>41369</v>
          </cell>
          <cell r="B1849">
            <v>2742.86</v>
          </cell>
          <cell r="C1849">
            <v>2532.81</v>
          </cell>
          <cell r="D1849">
            <v>1553.28</v>
          </cell>
        </row>
        <row r="1850">
          <cell r="A1850">
            <v>41372</v>
          </cell>
          <cell r="B1850">
            <v>2761.05</v>
          </cell>
          <cell r="C1850">
            <v>2549.36</v>
          </cell>
          <cell r="D1850">
            <v>1563.07</v>
          </cell>
        </row>
        <row r="1851">
          <cell r="A1851">
            <v>41373</v>
          </cell>
          <cell r="B1851">
            <v>2770.84</v>
          </cell>
          <cell r="C1851">
            <v>2558.4</v>
          </cell>
          <cell r="D1851">
            <v>1568.61</v>
          </cell>
        </row>
        <row r="1852">
          <cell r="A1852">
            <v>41374</v>
          </cell>
          <cell r="B1852">
            <v>2804.81</v>
          </cell>
          <cell r="C1852">
            <v>2589.71</v>
          </cell>
          <cell r="D1852">
            <v>1587.73</v>
          </cell>
        </row>
        <row r="1853">
          <cell r="A1853">
            <v>41375</v>
          </cell>
          <cell r="B1853">
            <v>2815.02</v>
          </cell>
          <cell r="C1853">
            <v>2599.0700000000002</v>
          </cell>
          <cell r="D1853">
            <v>1593.37</v>
          </cell>
        </row>
        <row r="1854">
          <cell r="A1854">
            <v>41376</v>
          </cell>
          <cell r="B1854">
            <v>2807.1</v>
          </cell>
          <cell r="C1854">
            <v>2591.7399999999998</v>
          </cell>
          <cell r="D1854">
            <v>1588.85</v>
          </cell>
        </row>
        <row r="1855">
          <cell r="A1855">
            <v>41379</v>
          </cell>
          <cell r="B1855">
            <v>2742.63</v>
          </cell>
          <cell r="C1855">
            <v>2532.21</v>
          </cell>
          <cell r="D1855">
            <v>1552.36</v>
          </cell>
        </row>
        <row r="1856">
          <cell r="A1856">
            <v>41380</v>
          </cell>
          <cell r="B1856">
            <v>2781.86</v>
          </cell>
          <cell r="C1856">
            <v>2568.4299999999998</v>
          </cell>
          <cell r="D1856">
            <v>1574.57</v>
          </cell>
        </row>
        <row r="1857">
          <cell r="A1857">
            <v>41381</v>
          </cell>
          <cell r="B1857">
            <v>2742.01</v>
          </cell>
          <cell r="C1857">
            <v>2531.65</v>
          </cell>
          <cell r="D1857">
            <v>1552.01</v>
          </cell>
        </row>
        <row r="1858">
          <cell r="A1858">
            <v>41382</v>
          </cell>
          <cell r="B1858">
            <v>2723.72</v>
          </cell>
          <cell r="C1858">
            <v>2514.7399999999998</v>
          </cell>
          <cell r="D1858">
            <v>1541.61</v>
          </cell>
        </row>
        <row r="1859">
          <cell r="A1859">
            <v>41383</v>
          </cell>
          <cell r="B1859">
            <v>2747.94</v>
          </cell>
          <cell r="C1859">
            <v>2537.06</v>
          </cell>
          <cell r="D1859">
            <v>1555.25</v>
          </cell>
        </row>
        <row r="1860">
          <cell r="A1860">
            <v>41386</v>
          </cell>
          <cell r="B1860">
            <v>2760.8</v>
          </cell>
          <cell r="C1860">
            <v>2548.92</v>
          </cell>
          <cell r="D1860">
            <v>1562.5</v>
          </cell>
        </row>
        <row r="1861">
          <cell r="A1861">
            <v>41387</v>
          </cell>
          <cell r="B1861">
            <v>2789.56</v>
          </cell>
          <cell r="C1861">
            <v>2575.4699999999998</v>
          </cell>
          <cell r="D1861">
            <v>1578.78</v>
          </cell>
        </row>
        <row r="1862">
          <cell r="A1862">
            <v>41388</v>
          </cell>
          <cell r="B1862">
            <v>2789.93</v>
          </cell>
          <cell r="C1862">
            <v>2575.7199999999998</v>
          </cell>
          <cell r="D1862">
            <v>1578.79</v>
          </cell>
        </row>
        <row r="1863">
          <cell r="A1863">
            <v>41389</v>
          </cell>
          <cell r="B1863">
            <v>2801.28</v>
          </cell>
          <cell r="C1863">
            <v>2586.17</v>
          </cell>
          <cell r="D1863">
            <v>1585.16</v>
          </cell>
        </row>
        <row r="1864">
          <cell r="A1864">
            <v>41390</v>
          </cell>
          <cell r="B1864">
            <v>2796.24</v>
          </cell>
          <cell r="C1864">
            <v>2581.48</v>
          </cell>
          <cell r="D1864">
            <v>1582.24</v>
          </cell>
        </row>
        <row r="1865">
          <cell r="A1865">
            <v>41393</v>
          </cell>
          <cell r="B1865">
            <v>2816.39</v>
          </cell>
          <cell r="C1865">
            <v>2600.0700000000002</v>
          </cell>
          <cell r="D1865">
            <v>1593.61</v>
          </cell>
        </row>
        <row r="1866">
          <cell r="A1866">
            <v>41394</v>
          </cell>
          <cell r="B1866">
            <v>2823.42</v>
          </cell>
          <cell r="C1866">
            <v>2606.5500000000002</v>
          </cell>
          <cell r="D1866">
            <v>1597.57</v>
          </cell>
        </row>
        <row r="1867">
          <cell r="A1867">
            <v>41395</v>
          </cell>
          <cell r="B1867">
            <v>2797.28</v>
          </cell>
          <cell r="C1867">
            <v>2582.38</v>
          </cell>
          <cell r="D1867">
            <v>1582.7</v>
          </cell>
        </row>
        <row r="1868">
          <cell r="A1868">
            <v>41396</v>
          </cell>
          <cell r="B1868">
            <v>2823.82</v>
          </cell>
          <cell r="C1868">
            <v>2606.8200000000002</v>
          </cell>
          <cell r="D1868">
            <v>1597.59</v>
          </cell>
        </row>
        <row r="1869">
          <cell r="A1869">
            <v>41397</v>
          </cell>
          <cell r="B1869">
            <v>2853.88</v>
          </cell>
          <cell r="C1869">
            <v>2634.48</v>
          </cell>
          <cell r="D1869">
            <v>1614.42</v>
          </cell>
        </row>
        <row r="1870">
          <cell r="A1870">
            <v>41400</v>
          </cell>
          <cell r="B1870">
            <v>2859.34</v>
          </cell>
          <cell r="C1870">
            <v>2639.52</v>
          </cell>
          <cell r="D1870">
            <v>1617.5</v>
          </cell>
        </row>
        <row r="1871">
          <cell r="A1871">
            <v>41401</v>
          </cell>
          <cell r="B1871">
            <v>2874.46</v>
          </cell>
          <cell r="C1871">
            <v>2653.44</v>
          </cell>
          <cell r="D1871">
            <v>1625.96</v>
          </cell>
        </row>
        <row r="1872">
          <cell r="A1872">
            <v>41402</v>
          </cell>
          <cell r="B1872">
            <v>2887.61</v>
          </cell>
          <cell r="C1872">
            <v>2665.22</v>
          </cell>
          <cell r="D1872">
            <v>1632.69</v>
          </cell>
        </row>
        <row r="1873">
          <cell r="A1873">
            <v>41403</v>
          </cell>
          <cell r="B1873">
            <v>2878.3</v>
          </cell>
          <cell r="C1873">
            <v>2656.26</v>
          </cell>
          <cell r="D1873">
            <v>1626.67</v>
          </cell>
        </row>
        <row r="1874">
          <cell r="A1874">
            <v>41404</v>
          </cell>
          <cell r="B1874">
            <v>2890.77</v>
          </cell>
          <cell r="C1874">
            <v>2667.76</v>
          </cell>
          <cell r="D1874">
            <v>1633.7</v>
          </cell>
        </row>
        <row r="1875">
          <cell r="A1875">
            <v>41407</v>
          </cell>
          <cell r="B1875">
            <v>2891.17</v>
          </cell>
          <cell r="C1875">
            <v>2668.05</v>
          </cell>
          <cell r="D1875">
            <v>1633.77</v>
          </cell>
        </row>
        <row r="1876">
          <cell r="A1876">
            <v>41408</v>
          </cell>
          <cell r="B1876">
            <v>2921.12</v>
          </cell>
          <cell r="C1876">
            <v>2695.52</v>
          </cell>
          <cell r="D1876">
            <v>1650.34</v>
          </cell>
        </row>
        <row r="1877">
          <cell r="A1877">
            <v>41409</v>
          </cell>
          <cell r="B1877">
            <v>2936.98</v>
          </cell>
          <cell r="C1877">
            <v>2709.9</v>
          </cell>
          <cell r="D1877">
            <v>1658.78</v>
          </cell>
        </row>
        <row r="1878">
          <cell r="A1878">
            <v>41410</v>
          </cell>
          <cell r="B1878">
            <v>2922.4</v>
          </cell>
          <cell r="C1878">
            <v>2696.41</v>
          </cell>
          <cell r="D1878">
            <v>1650.47</v>
          </cell>
        </row>
        <row r="1879">
          <cell r="A1879">
            <v>41411</v>
          </cell>
          <cell r="B1879">
            <v>2952.56</v>
          </cell>
          <cell r="C1879">
            <v>2724.22</v>
          </cell>
          <cell r="D1879">
            <v>1667.47</v>
          </cell>
        </row>
        <row r="1880">
          <cell r="A1880">
            <v>41414</v>
          </cell>
          <cell r="B1880">
            <v>2950.53</v>
          </cell>
          <cell r="C1880">
            <v>2722.33</v>
          </cell>
          <cell r="D1880">
            <v>1666.29</v>
          </cell>
        </row>
        <row r="1881">
          <cell r="A1881">
            <v>41415</v>
          </cell>
          <cell r="B1881">
            <v>2955.69</v>
          </cell>
          <cell r="C1881">
            <v>2727.07</v>
          </cell>
          <cell r="D1881">
            <v>1669.16</v>
          </cell>
        </row>
        <row r="1882">
          <cell r="A1882">
            <v>41416</v>
          </cell>
          <cell r="B1882">
            <v>2931.58</v>
          </cell>
          <cell r="C1882">
            <v>2704.73</v>
          </cell>
          <cell r="D1882">
            <v>1655.35</v>
          </cell>
        </row>
        <row r="1883">
          <cell r="A1883">
            <v>41417</v>
          </cell>
          <cell r="B1883">
            <v>2923.43</v>
          </cell>
          <cell r="C1883">
            <v>2697.09</v>
          </cell>
          <cell r="D1883">
            <v>1650.51</v>
          </cell>
        </row>
        <row r="1884">
          <cell r="A1884">
            <v>41418</v>
          </cell>
          <cell r="B1884">
            <v>2921.88</v>
          </cell>
          <cell r="C1884">
            <v>2695.65</v>
          </cell>
          <cell r="D1884">
            <v>1649.6</v>
          </cell>
        </row>
        <row r="1885">
          <cell r="A1885">
            <v>41422</v>
          </cell>
          <cell r="B1885">
            <v>2940.45</v>
          </cell>
          <cell r="C1885">
            <v>2712.77</v>
          </cell>
          <cell r="D1885">
            <v>1660.06</v>
          </cell>
        </row>
        <row r="1886">
          <cell r="A1886">
            <v>41423</v>
          </cell>
          <cell r="B1886">
            <v>2920.18</v>
          </cell>
          <cell r="C1886">
            <v>2693.95</v>
          </cell>
          <cell r="D1886">
            <v>1648.36</v>
          </cell>
        </row>
        <row r="1887">
          <cell r="A1887">
            <v>41424</v>
          </cell>
          <cell r="B1887">
            <v>2931.39</v>
          </cell>
          <cell r="C1887">
            <v>2704.15</v>
          </cell>
          <cell r="D1887">
            <v>1654.41</v>
          </cell>
        </row>
        <row r="1888">
          <cell r="A1888">
            <v>41425</v>
          </cell>
          <cell r="B1888">
            <v>2889.46</v>
          </cell>
          <cell r="C1888">
            <v>2665.47</v>
          </cell>
          <cell r="D1888">
            <v>1630.74</v>
          </cell>
        </row>
        <row r="1889">
          <cell r="A1889">
            <v>41428</v>
          </cell>
          <cell r="B1889">
            <v>2906.91</v>
          </cell>
          <cell r="C1889">
            <v>2681.48</v>
          </cell>
          <cell r="D1889">
            <v>1640.42</v>
          </cell>
        </row>
        <row r="1890">
          <cell r="A1890">
            <v>41429</v>
          </cell>
          <cell r="B1890">
            <v>2891.02</v>
          </cell>
          <cell r="C1890">
            <v>2666.78</v>
          </cell>
          <cell r="D1890">
            <v>1631.38</v>
          </cell>
        </row>
        <row r="1891">
          <cell r="A1891">
            <v>41430</v>
          </cell>
          <cell r="B1891">
            <v>2851.89</v>
          </cell>
          <cell r="C1891">
            <v>2630.49</v>
          </cell>
          <cell r="D1891">
            <v>1608.9</v>
          </cell>
        </row>
        <row r="1892">
          <cell r="A1892">
            <v>41431</v>
          </cell>
          <cell r="B1892">
            <v>2876.5</v>
          </cell>
          <cell r="C1892">
            <v>2653.08</v>
          </cell>
          <cell r="D1892">
            <v>1622.56</v>
          </cell>
        </row>
        <row r="1893">
          <cell r="A1893">
            <v>41432</v>
          </cell>
          <cell r="B1893">
            <v>2913.46</v>
          </cell>
          <cell r="C1893">
            <v>2687.16</v>
          </cell>
          <cell r="D1893">
            <v>1643.38</v>
          </cell>
        </row>
        <row r="1894">
          <cell r="A1894">
            <v>41435</v>
          </cell>
          <cell r="B1894">
            <v>2912.63</v>
          </cell>
          <cell r="C1894">
            <v>2686.34</v>
          </cell>
          <cell r="D1894">
            <v>1642.81</v>
          </cell>
        </row>
        <row r="1895">
          <cell r="A1895">
            <v>41436</v>
          </cell>
          <cell r="B1895">
            <v>2883.07</v>
          </cell>
          <cell r="C1895">
            <v>2659.08</v>
          </cell>
          <cell r="D1895">
            <v>1626.13</v>
          </cell>
        </row>
        <row r="1896">
          <cell r="A1896">
            <v>41437</v>
          </cell>
          <cell r="B1896">
            <v>2859.62</v>
          </cell>
          <cell r="C1896">
            <v>2637.26</v>
          </cell>
          <cell r="D1896">
            <v>1612.52</v>
          </cell>
        </row>
        <row r="1897">
          <cell r="A1897">
            <v>41438</v>
          </cell>
          <cell r="B1897">
            <v>2902.32</v>
          </cell>
          <cell r="C1897">
            <v>2676.52</v>
          </cell>
          <cell r="D1897">
            <v>1636.36</v>
          </cell>
        </row>
        <row r="1898">
          <cell r="A1898">
            <v>41439</v>
          </cell>
          <cell r="B1898">
            <v>2885.24</v>
          </cell>
          <cell r="C1898">
            <v>2660.77</v>
          </cell>
          <cell r="D1898">
            <v>1626.73</v>
          </cell>
        </row>
        <row r="1899">
          <cell r="A1899">
            <v>41442</v>
          </cell>
          <cell r="B1899">
            <v>2907.12</v>
          </cell>
          <cell r="C1899">
            <v>2680.93</v>
          </cell>
          <cell r="D1899">
            <v>1639.04</v>
          </cell>
        </row>
        <row r="1900">
          <cell r="A1900">
            <v>41443</v>
          </cell>
          <cell r="B1900">
            <v>2929.81</v>
          </cell>
          <cell r="C1900">
            <v>2701.85</v>
          </cell>
          <cell r="D1900">
            <v>1651.81</v>
          </cell>
        </row>
        <row r="1901">
          <cell r="A1901">
            <v>41444</v>
          </cell>
          <cell r="B1901">
            <v>2889.25</v>
          </cell>
          <cell r="C1901">
            <v>2664.44</v>
          </cell>
          <cell r="D1901">
            <v>1628.93</v>
          </cell>
        </row>
        <row r="1902">
          <cell r="A1902">
            <v>41445</v>
          </cell>
          <cell r="B1902">
            <v>2817.44</v>
          </cell>
          <cell r="C1902">
            <v>2598.09</v>
          </cell>
          <cell r="D1902">
            <v>1588.19</v>
          </cell>
        </row>
        <row r="1903">
          <cell r="A1903">
            <v>41446</v>
          </cell>
          <cell r="B1903">
            <v>2824.97</v>
          </cell>
          <cell r="C1903">
            <v>2605.0300000000002</v>
          </cell>
          <cell r="D1903">
            <v>1592.43</v>
          </cell>
        </row>
        <row r="1904">
          <cell r="A1904">
            <v>41449</v>
          </cell>
          <cell r="B1904">
            <v>2790.66</v>
          </cell>
          <cell r="C1904">
            <v>2573.4</v>
          </cell>
          <cell r="D1904">
            <v>1573.09</v>
          </cell>
        </row>
        <row r="1905">
          <cell r="A1905">
            <v>41450</v>
          </cell>
          <cell r="B1905">
            <v>2817.44</v>
          </cell>
          <cell r="C1905">
            <v>2598.0100000000002</v>
          </cell>
          <cell r="D1905">
            <v>1588.03</v>
          </cell>
        </row>
        <row r="1906">
          <cell r="A1906">
            <v>41451</v>
          </cell>
          <cell r="B1906">
            <v>2845.04</v>
          </cell>
          <cell r="C1906">
            <v>2623.3</v>
          </cell>
          <cell r="D1906">
            <v>1603.26</v>
          </cell>
        </row>
        <row r="1907">
          <cell r="A1907">
            <v>41452</v>
          </cell>
          <cell r="B1907">
            <v>2862.92</v>
          </cell>
          <cell r="C1907">
            <v>2639.72</v>
          </cell>
          <cell r="D1907">
            <v>1613.2</v>
          </cell>
        </row>
        <row r="1908">
          <cell r="A1908">
            <v>41453</v>
          </cell>
          <cell r="B1908">
            <v>2850.66</v>
          </cell>
          <cell r="C1908">
            <v>2628.41</v>
          </cell>
          <cell r="D1908">
            <v>1606.28</v>
          </cell>
        </row>
        <row r="1909">
          <cell r="A1909">
            <v>41456</v>
          </cell>
          <cell r="B1909">
            <v>2866.41</v>
          </cell>
          <cell r="C1909">
            <v>2642.84</v>
          </cell>
          <cell r="D1909">
            <v>1614.96</v>
          </cell>
        </row>
        <row r="1910">
          <cell r="A1910">
            <v>41457</v>
          </cell>
          <cell r="B1910">
            <v>2865.48</v>
          </cell>
          <cell r="C1910">
            <v>2641.81</v>
          </cell>
          <cell r="D1910">
            <v>1614.08</v>
          </cell>
        </row>
        <row r="1911">
          <cell r="A1911">
            <v>41458</v>
          </cell>
          <cell r="B1911">
            <v>2867.85</v>
          </cell>
          <cell r="C1911">
            <v>2643.99</v>
          </cell>
          <cell r="D1911">
            <v>1615.41</v>
          </cell>
        </row>
        <row r="1912">
          <cell r="A1912">
            <v>41460</v>
          </cell>
          <cell r="B1912">
            <v>2897.12</v>
          </cell>
          <cell r="C1912">
            <v>2670.97</v>
          </cell>
          <cell r="D1912">
            <v>1631.89</v>
          </cell>
        </row>
        <row r="1913">
          <cell r="A1913">
            <v>41463</v>
          </cell>
          <cell r="B1913">
            <v>2913.2</v>
          </cell>
          <cell r="C1913">
            <v>2685.56</v>
          </cell>
          <cell r="D1913">
            <v>1640.46</v>
          </cell>
        </row>
        <row r="1914">
          <cell r="A1914">
            <v>41464</v>
          </cell>
          <cell r="B1914">
            <v>2934.31</v>
          </cell>
          <cell r="C1914">
            <v>2705</v>
          </cell>
          <cell r="D1914">
            <v>1652.32</v>
          </cell>
        </row>
        <row r="1915">
          <cell r="A1915">
            <v>41465</v>
          </cell>
          <cell r="B1915">
            <v>2934.97</v>
          </cell>
          <cell r="C1915">
            <v>2705.58</v>
          </cell>
          <cell r="D1915">
            <v>1652.62</v>
          </cell>
        </row>
        <row r="1916">
          <cell r="A1916">
            <v>41466</v>
          </cell>
          <cell r="B1916">
            <v>2975.06</v>
          </cell>
          <cell r="C1916">
            <v>2742.45</v>
          </cell>
          <cell r="D1916">
            <v>1675.02</v>
          </cell>
        </row>
        <row r="1917">
          <cell r="A1917">
            <v>41467</v>
          </cell>
          <cell r="B1917">
            <v>2984.24</v>
          </cell>
          <cell r="C1917">
            <v>2750.91</v>
          </cell>
          <cell r="D1917">
            <v>1680.19</v>
          </cell>
        </row>
        <row r="1918">
          <cell r="A1918">
            <v>41470</v>
          </cell>
          <cell r="B1918">
            <v>2988.35</v>
          </cell>
          <cell r="C1918">
            <v>2754.7</v>
          </cell>
          <cell r="D1918">
            <v>1682.5</v>
          </cell>
        </row>
        <row r="1919">
          <cell r="A1919">
            <v>41471</v>
          </cell>
          <cell r="B1919">
            <v>2977.26</v>
          </cell>
          <cell r="C1919">
            <v>2744.48</v>
          </cell>
          <cell r="D1919">
            <v>1676.26</v>
          </cell>
        </row>
        <row r="1920">
          <cell r="A1920">
            <v>41472</v>
          </cell>
          <cell r="B1920">
            <v>2985.85</v>
          </cell>
          <cell r="C1920">
            <v>2752.31</v>
          </cell>
          <cell r="D1920">
            <v>1680.91</v>
          </cell>
        </row>
        <row r="1921">
          <cell r="A1921">
            <v>41473</v>
          </cell>
          <cell r="B1921">
            <v>3001.21</v>
          </cell>
          <cell r="C1921">
            <v>2766.37</v>
          </cell>
          <cell r="D1921">
            <v>1689.37</v>
          </cell>
        </row>
        <row r="1922">
          <cell r="A1922">
            <v>41474</v>
          </cell>
          <cell r="B1922">
            <v>3006.13</v>
          </cell>
          <cell r="C1922">
            <v>2770.88</v>
          </cell>
          <cell r="D1922">
            <v>1692.09</v>
          </cell>
        </row>
        <row r="1923">
          <cell r="A1923">
            <v>41477</v>
          </cell>
          <cell r="B1923">
            <v>3012.3</v>
          </cell>
          <cell r="C1923">
            <v>2776.55</v>
          </cell>
          <cell r="D1923">
            <v>1695.53</v>
          </cell>
        </row>
        <row r="1924">
          <cell r="A1924">
            <v>41478</v>
          </cell>
          <cell r="B1924">
            <v>3006.72</v>
          </cell>
          <cell r="C1924">
            <v>2771.41</v>
          </cell>
          <cell r="D1924">
            <v>1692.39</v>
          </cell>
        </row>
        <row r="1925">
          <cell r="A1925">
            <v>41479</v>
          </cell>
          <cell r="B1925">
            <v>2995.3</v>
          </cell>
          <cell r="C1925">
            <v>2760.87</v>
          </cell>
          <cell r="D1925">
            <v>1685.94</v>
          </cell>
        </row>
        <row r="1926">
          <cell r="A1926">
            <v>41480</v>
          </cell>
          <cell r="B1926">
            <v>3003.01</v>
          </cell>
          <cell r="C1926">
            <v>2767.97</v>
          </cell>
          <cell r="D1926">
            <v>1690.25</v>
          </cell>
        </row>
        <row r="1927">
          <cell r="A1927">
            <v>41481</v>
          </cell>
          <cell r="B1927">
            <v>3005.51</v>
          </cell>
          <cell r="C1927">
            <v>2770.26</v>
          </cell>
          <cell r="D1927">
            <v>1691.65</v>
          </cell>
        </row>
        <row r="1928">
          <cell r="A1928">
            <v>41484</v>
          </cell>
          <cell r="B1928">
            <v>2994.45</v>
          </cell>
          <cell r="C1928">
            <v>2760.03</v>
          </cell>
          <cell r="D1928">
            <v>1685.33</v>
          </cell>
        </row>
        <row r="1929">
          <cell r="A1929">
            <v>41485</v>
          </cell>
          <cell r="B1929">
            <v>2995.68</v>
          </cell>
          <cell r="C1929">
            <v>2761.13</v>
          </cell>
          <cell r="D1929">
            <v>1685.96</v>
          </cell>
        </row>
        <row r="1930">
          <cell r="A1930">
            <v>41486</v>
          </cell>
          <cell r="B1930">
            <v>2995.72</v>
          </cell>
          <cell r="C1930">
            <v>2761.04</v>
          </cell>
          <cell r="D1930">
            <v>1685.73</v>
          </cell>
        </row>
        <row r="1931">
          <cell r="A1931">
            <v>41487</v>
          </cell>
          <cell r="B1931">
            <v>3033.59</v>
          </cell>
          <cell r="C1931">
            <v>2795.86</v>
          </cell>
          <cell r="D1931">
            <v>1706.87</v>
          </cell>
        </row>
        <row r="1932">
          <cell r="A1932">
            <v>41488</v>
          </cell>
          <cell r="B1932">
            <v>3038.63</v>
          </cell>
          <cell r="C1932">
            <v>2800.49</v>
          </cell>
          <cell r="D1932">
            <v>1709.67</v>
          </cell>
        </row>
        <row r="1933">
          <cell r="A1933">
            <v>41491</v>
          </cell>
          <cell r="B1933">
            <v>3034.43</v>
          </cell>
          <cell r="C1933">
            <v>2796.53</v>
          </cell>
          <cell r="D1933">
            <v>1707.14</v>
          </cell>
        </row>
        <row r="1934">
          <cell r="A1934">
            <v>41492</v>
          </cell>
          <cell r="B1934">
            <v>3017.16</v>
          </cell>
          <cell r="C1934">
            <v>2780.59</v>
          </cell>
          <cell r="D1934">
            <v>1697.37</v>
          </cell>
        </row>
        <row r="1935">
          <cell r="A1935">
            <v>41493</v>
          </cell>
          <cell r="B1935">
            <v>3006.63</v>
          </cell>
          <cell r="C1935">
            <v>2770.63</v>
          </cell>
          <cell r="D1935">
            <v>1690.91</v>
          </cell>
        </row>
        <row r="1936">
          <cell r="A1936">
            <v>41494</v>
          </cell>
          <cell r="B1936">
            <v>3019</v>
          </cell>
          <cell r="C1936">
            <v>2781.84</v>
          </cell>
          <cell r="D1936">
            <v>1697.48</v>
          </cell>
        </row>
        <row r="1937">
          <cell r="A1937">
            <v>41495</v>
          </cell>
          <cell r="B1937">
            <v>3008.79</v>
          </cell>
          <cell r="C1937">
            <v>2772.27</v>
          </cell>
          <cell r="D1937">
            <v>1691.42</v>
          </cell>
        </row>
        <row r="1938">
          <cell r="A1938">
            <v>41498</v>
          </cell>
          <cell r="B1938">
            <v>3005.42</v>
          </cell>
          <cell r="C1938">
            <v>2769.14</v>
          </cell>
          <cell r="D1938">
            <v>1689.47</v>
          </cell>
        </row>
        <row r="1939">
          <cell r="A1939">
            <v>41499</v>
          </cell>
          <cell r="B1939">
            <v>3014.43</v>
          </cell>
          <cell r="C1939">
            <v>2777.26</v>
          </cell>
          <cell r="D1939">
            <v>1694.16</v>
          </cell>
        </row>
        <row r="1940">
          <cell r="A1940">
            <v>41500</v>
          </cell>
          <cell r="B1940">
            <v>2999.42</v>
          </cell>
          <cell r="C1940">
            <v>2763.26</v>
          </cell>
          <cell r="D1940">
            <v>1685.39</v>
          </cell>
        </row>
        <row r="1941">
          <cell r="A1941">
            <v>41501</v>
          </cell>
          <cell r="B1941">
            <v>2957.08</v>
          </cell>
          <cell r="C1941">
            <v>2724.12</v>
          </cell>
          <cell r="D1941">
            <v>1661.32</v>
          </cell>
        </row>
        <row r="1942">
          <cell r="A1942">
            <v>41502</v>
          </cell>
          <cell r="B1942">
            <v>2947.46</v>
          </cell>
          <cell r="C1942">
            <v>2715.21</v>
          </cell>
          <cell r="D1942">
            <v>1655.83</v>
          </cell>
        </row>
        <row r="1943">
          <cell r="A1943">
            <v>41505</v>
          </cell>
          <cell r="B1943">
            <v>2930.27</v>
          </cell>
          <cell r="C1943">
            <v>2699.32</v>
          </cell>
          <cell r="D1943">
            <v>1646.06</v>
          </cell>
        </row>
        <row r="1944">
          <cell r="A1944">
            <v>41506</v>
          </cell>
          <cell r="B1944">
            <v>2941.58</v>
          </cell>
          <cell r="C1944">
            <v>2709.71</v>
          </cell>
          <cell r="D1944">
            <v>1652.35</v>
          </cell>
        </row>
        <row r="1945">
          <cell r="A1945">
            <v>41507</v>
          </cell>
          <cell r="B1945">
            <v>2924.73</v>
          </cell>
          <cell r="C1945">
            <v>2694.14</v>
          </cell>
          <cell r="D1945">
            <v>1642.8</v>
          </cell>
        </row>
        <row r="1946">
          <cell r="A1946">
            <v>41508</v>
          </cell>
          <cell r="B1946">
            <v>2949.96</v>
          </cell>
          <cell r="C1946">
            <v>2717.38</v>
          </cell>
          <cell r="D1946">
            <v>1656.96</v>
          </cell>
        </row>
        <row r="1947">
          <cell r="A1947">
            <v>41509</v>
          </cell>
          <cell r="B1947">
            <v>2962.06</v>
          </cell>
          <cell r="C1947">
            <v>2728.4</v>
          </cell>
          <cell r="D1947">
            <v>1663.5</v>
          </cell>
        </row>
        <row r="1948">
          <cell r="A1948">
            <v>41512</v>
          </cell>
          <cell r="B1948">
            <v>2950.13</v>
          </cell>
          <cell r="C1948">
            <v>2717.41</v>
          </cell>
          <cell r="D1948">
            <v>1656.78</v>
          </cell>
        </row>
        <row r="1949">
          <cell r="A1949">
            <v>41513</v>
          </cell>
          <cell r="B1949">
            <v>2903.29</v>
          </cell>
          <cell r="C1949">
            <v>2674.26</v>
          </cell>
          <cell r="D1949">
            <v>1630.48</v>
          </cell>
        </row>
        <row r="1950">
          <cell r="A1950">
            <v>41514</v>
          </cell>
          <cell r="B1950">
            <v>2911.83</v>
          </cell>
          <cell r="C1950">
            <v>2681.97</v>
          </cell>
          <cell r="D1950">
            <v>1634.96</v>
          </cell>
        </row>
        <row r="1951">
          <cell r="A1951">
            <v>41515</v>
          </cell>
          <cell r="B1951">
            <v>2917.96</v>
          </cell>
          <cell r="C1951">
            <v>2687.5</v>
          </cell>
          <cell r="D1951">
            <v>1638.17</v>
          </cell>
        </row>
        <row r="1952">
          <cell r="A1952">
            <v>41516</v>
          </cell>
          <cell r="B1952">
            <v>2908.96</v>
          </cell>
          <cell r="C1952">
            <v>2679.14</v>
          </cell>
          <cell r="D1952">
            <v>1632.97</v>
          </cell>
        </row>
        <row r="1953">
          <cell r="A1953">
            <v>41520</v>
          </cell>
          <cell r="B1953">
            <v>2921.23</v>
          </cell>
          <cell r="C1953">
            <v>2690.4</v>
          </cell>
          <cell r="D1953">
            <v>1639.77</v>
          </cell>
        </row>
        <row r="1954">
          <cell r="A1954">
            <v>41521</v>
          </cell>
          <cell r="B1954">
            <v>2945.62</v>
          </cell>
          <cell r="C1954">
            <v>2712.67</v>
          </cell>
          <cell r="D1954">
            <v>1653.08</v>
          </cell>
        </row>
        <row r="1955">
          <cell r="A1955">
            <v>41522</v>
          </cell>
          <cell r="B1955">
            <v>2949.27</v>
          </cell>
          <cell r="C1955">
            <v>2716.01</v>
          </cell>
          <cell r="D1955">
            <v>1655.08</v>
          </cell>
        </row>
        <row r="1956">
          <cell r="A1956">
            <v>41523</v>
          </cell>
          <cell r="B1956">
            <v>2949.8</v>
          </cell>
          <cell r="C1956">
            <v>2716.39</v>
          </cell>
          <cell r="D1956">
            <v>1655.17</v>
          </cell>
        </row>
        <row r="1957">
          <cell r="A1957">
            <v>41526</v>
          </cell>
          <cell r="B1957">
            <v>2979.45</v>
          </cell>
          <cell r="C1957">
            <v>2743.66</v>
          </cell>
          <cell r="D1957">
            <v>1671.71</v>
          </cell>
        </row>
        <row r="1958">
          <cell r="A1958">
            <v>41527</v>
          </cell>
          <cell r="B1958">
            <v>3001.36</v>
          </cell>
          <cell r="C1958">
            <v>2763.82</v>
          </cell>
          <cell r="D1958">
            <v>1683.99</v>
          </cell>
        </row>
        <row r="1959">
          <cell r="A1959">
            <v>41528</v>
          </cell>
          <cell r="B1959">
            <v>3010.94</v>
          </cell>
          <cell r="C1959">
            <v>2772.53</v>
          </cell>
          <cell r="D1959">
            <v>1689.13</v>
          </cell>
        </row>
        <row r="1960">
          <cell r="A1960">
            <v>41529</v>
          </cell>
          <cell r="B1960">
            <v>3001.62</v>
          </cell>
          <cell r="C1960">
            <v>2763.71</v>
          </cell>
          <cell r="D1960">
            <v>1683.42</v>
          </cell>
        </row>
        <row r="1961">
          <cell r="A1961">
            <v>41530</v>
          </cell>
          <cell r="B1961">
            <v>3009.79</v>
          </cell>
          <cell r="C1961">
            <v>2771.22</v>
          </cell>
          <cell r="D1961">
            <v>1687.99</v>
          </cell>
        </row>
        <row r="1962">
          <cell r="A1962">
            <v>41533</v>
          </cell>
          <cell r="B1962">
            <v>3026.94</v>
          </cell>
          <cell r="C1962">
            <v>2787.01</v>
          </cell>
          <cell r="D1962">
            <v>1697.6</v>
          </cell>
        </row>
        <row r="1963">
          <cell r="A1963">
            <v>41534</v>
          </cell>
          <cell r="B1963">
            <v>3039.75</v>
          </cell>
          <cell r="C1963">
            <v>2798.8</v>
          </cell>
          <cell r="D1963">
            <v>1704.76</v>
          </cell>
        </row>
        <row r="1964">
          <cell r="A1964">
            <v>41535</v>
          </cell>
          <cell r="B1964">
            <v>3076.81</v>
          </cell>
          <cell r="C1964">
            <v>2832.91</v>
          </cell>
          <cell r="D1964">
            <v>1725.52</v>
          </cell>
        </row>
        <row r="1965">
          <cell r="A1965">
            <v>41536</v>
          </cell>
          <cell r="B1965">
            <v>3071.61</v>
          </cell>
          <cell r="C1965">
            <v>2827.99</v>
          </cell>
          <cell r="D1965">
            <v>1722.34</v>
          </cell>
        </row>
        <row r="1966">
          <cell r="A1966">
            <v>41537</v>
          </cell>
          <cell r="B1966">
            <v>3049.47</v>
          </cell>
          <cell r="C1966">
            <v>2807.6</v>
          </cell>
          <cell r="D1966">
            <v>1709.91</v>
          </cell>
        </row>
        <row r="1967">
          <cell r="A1967">
            <v>41540</v>
          </cell>
          <cell r="B1967">
            <v>3035.09</v>
          </cell>
          <cell r="C1967">
            <v>2794.35</v>
          </cell>
          <cell r="D1967">
            <v>1701.84</v>
          </cell>
        </row>
        <row r="1968">
          <cell r="A1968">
            <v>41541</v>
          </cell>
          <cell r="B1968">
            <v>3027.52</v>
          </cell>
          <cell r="C1968">
            <v>2787.3</v>
          </cell>
          <cell r="D1968">
            <v>1697.42</v>
          </cell>
        </row>
        <row r="1969">
          <cell r="A1969">
            <v>41542</v>
          </cell>
          <cell r="B1969">
            <v>3019.31</v>
          </cell>
          <cell r="C1969">
            <v>2779.71</v>
          </cell>
          <cell r="D1969">
            <v>1692.77</v>
          </cell>
        </row>
        <row r="1970">
          <cell r="A1970">
            <v>41543</v>
          </cell>
          <cell r="B1970">
            <v>3030.41</v>
          </cell>
          <cell r="C1970">
            <v>2789.78</v>
          </cell>
          <cell r="D1970">
            <v>1698.67</v>
          </cell>
        </row>
        <row r="1971">
          <cell r="A1971">
            <v>41544</v>
          </cell>
          <cell r="B1971">
            <v>3018.24</v>
          </cell>
          <cell r="C1971">
            <v>2778.52</v>
          </cell>
          <cell r="D1971">
            <v>1691.75</v>
          </cell>
        </row>
        <row r="1972">
          <cell r="A1972">
            <v>41547</v>
          </cell>
          <cell r="B1972">
            <v>3000.18</v>
          </cell>
          <cell r="C1972">
            <v>2761.86</v>
          </cell>
          <cell r="D1972">
            <v>1681.55</v>
          </cell>
        </row>
        <row r="1973">
          <cell r="A1973">
            <v>41548</v>
          </cell>
          <cell r="B1973">
            <v>3024.38</v>
          </cell>
          <cell r="C1973">
            <v>2784.08</v>
          </cell>
          <cell r="D1973">
            <v>1695</v>
          </cell>
        </row>
        <row r="1974">
          <cell r="A1974">
            <v>41549</v>
          </cell>
          <cell r="B1974">
            <v>3022.95</v>
          </cell>
          <cell r="C1974">
            <v>2782.6</v>
          </cell>
          <cell r="D1974">
            <v>1693.87</v>
          </cell>
        </row>
        <row r="1975">
          <cell r="A1975">
            <v>41550</v>
          </cell>
          <cell r="B1975">
            <v>2995.81</v>
          </cell>
          <cell r="C1975">
            <v>2757.62</v>
          </cell>
          <cell r="D1975">
            <v>1678.66</v>
          </cell>
        </row>
        <row r="1976">
          <cell r="A1976">
            <v>41551</v>
          </cell>
          <cell r="B1976">
            <v>3017.05</v>
          </cell>
          <cell r="C1976">
            <v>2777.14</v>
          </cell>
          <cell r="D1976">
            <v>1690.5</v>
          </cell>
        </row>
        <row r="1977">
          <cell r="A1977">
            <v>41554</v>
          </cell>
          <cell r="B1977">
            <v>2991.39</v>
          </cell>
          <cell r="C1977">
            <v>2753.52</v>
          </cell>
          <cell r="D1977">
            <v>1676.12</v>
          </cell>
        </row>
        <row r="1978">
          <cell r="A1978">
            <v>41555</v>
          </cell>
          <cell r="B1978">
            <v>2955.41</v>
          </cell>
          <cell r="C1978">
            <v>2720.15</v>
          </cell>
          <cell r="D1978">
            <v>1655.45</v>
          </cell>
        </row>
        <row r="1979">
          <cell r="A1979">
            <v>41556</v>
          </cell>
          <cell r="B1979">
            <v>2957.4</v>
          </cell>
          <cell r="C1979">
            <v>2721.9</v>
          </cell>
          <cell r="D1979">
            <v>1656.4</v>
          </cell>
        </row>
        <row r="1980">
          <cell r="A1980">
            <v>41557</v>
          </cell>
          <cell r="B1980">
            <v>3022.43</v>
          </cell>
          <cell r="C1980">
            <v>2781.62</v>
          </cell>
          <cell r="D1980">
            <v>1692.56</v>
          </cell>
        </row>
        <row r="1981">
          <cell r="A1981">
            <v>41558</v>
          </cell>
          <cell r="B1981">
            <v>3041.43</v>
          </cell>
          <cell r="C1981">
            <v>2799.1</v>
          </cell>
          <cell r="D1981">
            <v>1703.2</v>
          </cell>
        </row>
        <row r="1982">
          <cell r="A1982">
            <v>41561</v>
          </cell>
          <cell r="B1982">
            <v>3053.84</v>
          </cell>
          <cell r="C1982">
            <v>2810.53</v>
          </cell>
          <cell r="D1982">
            <v>1710.14</v>
          </cell>
        </row>
        <row r="1983">
          <cell r="A1983">
            <v>41562</v>
          </cell>
          <cell r="B1983">
            <v>3032.27</v>
          </cell>
          <cell r="C1983">
            <v>2790.68</v>
          </cell>
          <cell r="D1983">
            <v>1698.06</v>
          </cell>
        </row>
        <row r="1984">
          <cell r="A1984">
            <v>41563</v>
          </cell>
          <cell r="B1984">
            <v>3074.54</v>
          </cell>
          <cell r="C1984">
            <v>2829.49</v>
          </cell>
          <cell r="D1984">
            <v>1721.54</v>
          </cell>
        </row>
        <row r="1985">
          <cell r="A1985">
            <v>41564</v>
          </cell>
          <cell r="B1985">
            <v>3095.42</v>
          </cell>
          <cell r="C1985">
            <v>2848.66</v>
          </cell>
          <cell r="D1985">
            <v>1733.15</v>
          </cell>
        </row>
        <row r="1986">
          <cell r="A1986">
            <v>41565</v>
          </cell>
          <cell r="B1986">
            <v>3115.77</v>
          </cell>
          <cell r="C1986">
            <v>2867.36</v>
          </cell>
          <cell r="D1986">
            <v>1744.5</v>
          </cell>
        </row>
        <row r="1987">
          <cell r="A1987">
            <v>41568</v>
          </cell>
          <cell r="B1987">
            <v>3116.09</v>
          </cell>
          <cell r="C1987">
            <v>2867.65</v>
          </cell>
          <cell r="D1987">
            <v>1744.66</v>
          </cell>
        </row>
        <row r="1988">
          <cell r="A1988">
            <v>41569</v>
          </cell>
          <cell r="B1988">
            <v>3133.98</v>
          </cell>
          <cell r="C1988">
            <v>2884.11</v>
          </cell>
          <cell r="D1988">
            <v>1754.67</v>
          </cell>
        </row>
        <row r="1989">
          <cell r="A1989">
            <v>41570</v>
          </cell>
          <cell r="B1989">
            <v>3119.2</v>
          </cell>
          <cell r="C1989">
            <v>2870.5</v>
          </cell>
          <cell r="D1989">
            <v>1746.38</v>
          </cell>
        </row>
        <row r="1990">
          <cell r="A1990">
            <v>41571</v>
          </cell>
          <cell r="B1990">
            <v>3129.41</v>
          </cell>
          <cell r="C1990">
            <v>2879.88</v>
          </cell>
          <cell r="D1990">
            <v>1752.07</v>
          </cell>
        </row>
        <row r="1991">
          <cell r="A1991">
            <v>41572</v>
          </cell>
          <cell r="B1991">
            <v>3143.16</v>
          </cell>
          <cell r="C1991">
            <v>2892.53</v>
          </cell>
          <cell r="D1991">
            <v>1759.77</v>
          </cell>
        </row>
        <row r="1992">
          <cell r="A1992">
            <v>41575</v>
          </cell>
          <cell r="B1992">
            <v>3147.36</v>
          </cell>
          <cell r="C1992">
            <v>2896.39</v>
          </cell>
          <cell r="D1992">
            <v>1762.11</v>
          </cell>
        </row>
        <row r="1993">
          <cell r="A1993">
            <v>41576</v>
          </cell>
          <cell r="B1993">
            <v>3165.11</v>
          </cell>
          <cell r="C1993">
            <v>2912.68</v>
          </cell>
          <cell r="D1993">
            <v>1771.95</v>
          </cell>
        </row>
        <row r="1994">
          <cell r="A1994">
            <v>41577</v>
          </cell>
          <cell r="B1994">
            <v>3149.93</v>
          </cell>
          <cell r="C1994">
            <v>2898.64</v>
          </cell>
          <cell r="D1994">
            <v>1763.31</v>
          </cell>
        </row>
        <row r="1995">
          <cell r="A1995">
            <v>41578</v>
          </cell>
          <cell r="B1995">
            <v>3138.09</v>
          </cell>
          <cell r="C1995">
            <v>2887.68</v>
          </cell>
          <cell r="D1995">
            <v>1756.54</v>
          </cell>
        </row>
        <row r="1996">
          <cell r="A1996">
            <v>41579</v>
          </cell>
          <cell r="B1996">
            <v>3147.21</v>
          </cell>
          <cell r="C1996">
            <v>2896.07</v>
          </cell>
          <cell r="D1996">
            <v>1761.64</v>
          </cell>
        </row>
        <row r="1997">
          <cell r="A1997">
            <v>41582</v>
          </cell>
          <cell r="B1997">
            <v>3158.47</v>
          </cell>
          <cell r="C1997">
            <v>2906.43</v>
          </cell>
          <cell r="D1997">
            <v>1767.93</v>
          </cell>
        </row>
        <row r="1998">
          <cell r="A1998">
            <v>41583</v>
          </cell>
          <cell r="B1998">
            <v>3149.96</v>
          </cell>
          <cell r="C1998">
            <v>2898.5</v>
          </cell>
          <cell r="D1998">
            <v>1762.97</v>
          </cell>
        </row>
        <row r="1999">
          <cell r="A1999">
            <v>41584</v>
          </cell>
          <cell r="B1999">
            <v>3165.13</v>
          </cell>
          <cell r="C1999">
            <v>2911.97</v>
          </cell>
          <cell r="D1999">
            <v>1770.49</v>
          </cell>
        </row>
        <row r="2000">
          <cell r="A2000">
            <v>41585</v>
          </cell>
          <cell r="B2000">
            <v>3124.12</v>
          </cell>
          <cell r="C2000">
            <v>2874.05</v>
          </cell>
          <cell r="D2000">
            <v>1747.15</v>
          </cell>
        </row>
        <row r="2001">
          <cell r="A2001">
            <v>41586</v>
          </cell>
          <cell r="B2001">
            <v>3166.11</v>
          </cell>
          <cell r="C2001">
            <v>2912.66</v>
          </cell>
          <cell r="D2001">
            <v>1770.61</v>
          </cell>
        </row>
        <row r="2002">
          <cell r="A2002">
            <v>41589</v>
          </cell>
          <cell r="B2002">
            <v>3168.41</v>
          </cell>
          <cell r="C2002">
            <v>2914.78</v>
          </cell>
          <cell r="D2002">
            <v>1771.89</v>
          </cell>
        </row>
        <row r="2003">
          <cell r="A2003">
            <v>41590</v>
          </cell>
          <cell r="B2003">
            <v>3161.1</v>
          </cell>
          <cell r="C2003">
            <v>2908</v>
          </cell>
          <cell r="D2003">
            <v>1767.69</v>
          </cell>
        </row>
        <row r="2004">
          <cell r="A2004">
            <v>41591</v>
          </cell>
          <cell r="B2004">
            <v>3187.64</v>
          </cell>
          <cell r="C2004">
            <v>2932.15</v>
          </cell>
          <cell r="D2004">
            <v>1782</v>
          </cell>
        </row>
        <row r="2005">
          <cell r="A2005">
            <v>41592</v>
          </cell>
          <cell r="B2005">
            <v>3203.65</v>
          </cell>
          <cell r="C2005">
            <v>2946.71</v>
          </cell>
          <cell r="D2005">
            <v>1790.62</v>
          </cell>
        </row>
        <row r="2006">
          <cell r="A2006">
            <v>41593</v>
          </cell>
          <cell r="B2006">
            <v>3217.2</v>
          </cell>
          <cell r="C2006">
            <v>2959.17</v>
          </cell>
          <cell r="D2006">
            <v>1798.18</v>
          </cell>
        </row>
        <row r="2007">
          <cell r="A2007">
            <v>41596</v>
          </cell>
          <cell r="B2007">
            <v>3205.46</v>
          </cell>
          <cell r="C2007">
            <v>2948.33</v>
          </cell>
          <cell r="D2007">
            <v>1791.53</v>
          </cell>
        </row>
        <row r="2008">
          <cell r="A2008">
            <v>41597</v>
          </cell>
          <cell r="B2008">
            <v>3199.51</v>
          </cell>
          <cell r="C2008">
            <v>2942.69</v>
          </cell>
          <cell r="D2008">
            <v>1787.87</v>
          </cell>
        </row>
        <row r="2009">
          <cell r="A2009">
            <v>41598</v>
          </cell>
          <cell r="B2009">
            <v>3188.04</v>
          </cell>
          <cell r="C2009">
            <v>2932.1</v>
          </cell>
          <cell r="D2009">
            <v>1781.37</v>
          </cell>
        </row>
        <row r="2010">
          <cell r="A2010">
            <v>41599</v>
          </cell>
          <cell r="B2010">
            <v>3214.16</v>
          </cell>
          <cell r="C2010">
            <v>2956.07</v>
          </cell>
          <cell r="D2010">
            <v>1795.85</v>
          </cell>
        </row>
        <row r="2011">
          <cell r="A2011">
            <v>41600</v>
          </cell>
          <cell r="B2011">
            <v>3230.54</v>
          </cell>
          <cell r="C2011">
            <v>2971.01</v>
          </cell>
          <cell r="D2011">
            <v>1804.76</v>
          </cell>
        </row>
        <row r="2012">
          <cell r="A2012">
            <v>41603</v>
          </cell>
          <cell r="B2012">
            <v>3226.53</v>
          </cell>
          <cell r="C2012">
            <v>2967.3</v>
          </cell>
          <cell r="D2012">
            <v>1802.48</v>
          </cell>
        </row>
        <row r="2013">
          <cell r="A2013">
            <v>41604</v>
          </cell>
          <cell r="B2013">
            <v>3227.36</v>
          </cell>
          <cell r="C2013">
            <v>2967.97</v>
          </cell>
          <cell r="D2013">
            <v>1802.75</v>
          </cell>
        </row>
        <row r="2014">
          <cell r="A2014">
            <v>41605</v>
          </cell>
          <cell r="B2014">
            <v>3236.14</v>
          </cell>
          <cell r="C2014">
            <v>2975.84</v>
          </cell>
          <cell r="D2014">
            <v>1807.23</v>
          </cell>
        </row>
        <row r="2015">
          <cell r="A2015">
            <v>41607</v>
          </cell>
          <cell r="B2015">
            <v>3233.72</v>
          </cell>
          <cell r="C2015">
            <v>2973.58</v>
          </cell>
          <cell r="D2015">
            <v>1805.81</v>
          </cell>
        </row>
        <row r="2016">
          <cell r="A2016">
            <v>41610</v>
          </cell>
          <cell r="B2016">
            <v>3225.06</v>
          </cell>
          <cell r="C2016">
            <v>2965.57</v>
          </cell>
          <cell r="D2016">
            <v>1800.9</v>
          </cell>
        </row>
        <row r="2017">
          <cell r="A2017">
            <v>41611</v>
          </cell>
          <cell r="B2017">
            <v>3214.95</v>
          </cell>
          <cell r="C2017">
            <v>2956.23</v>
          </cell>
          <cell r="D2017">
            <v>1795.15</v>
          </cell>
        </row>
        <row r="2018">
          <cell r="A2018">
            <v>41612</v>
          </cell>
          <cell r="B2018">
            <v>3211.59</v>
          </cell>
          <cell r="C2018">
            <v>2952.91</v>
          </cell>
          <cell r="D2018">
            <v>1792.81</v>
          </cell>
        </row>
        <row r="2019">
          <cell r="A2019">
            <v>41613</v>
          </cell>
          <cell r="B2019">
            <v>3197.76</v>
          </cell>
          <cell r="C2019">
            <v>2940.16</v>
          </cell>
          <cell r="D2019">
            <v>1785.03</v>
          </cell>
        </row>
        <row r="2020">
          <cell r="A2020">
            <v>41614</v>
          </cell>
          <cell r="B2020">
            <v>3233.99</v>
          </cell>
          <cell r="C2020">
            <v>2973.4</v>
          </cell>
          <cell r="D2020">
            <v>1805.09</v>
          </cell>
        </row>
        <row r="2021">
          <cell r="A2021">
            <v>41617</v>
          </cell>
          <cell r="B2021">
            <v>3239.99</v>
          </cell>
          <cell r="C2021">
            <v>2978.88</v>
          </cell>
          <cell r="D2021">
            <v>1808.37</v>
          </cell>
        </row>
        <row r="2022">
          <cell r="A2022">
            <v>41618</v>
          </cell>
          <cell r="B2022">
            <v>3229.72</v>
          </cell>
          <cell r="C2022">
            <v>2969.42</v>
          </cell>
          <cell r="D2022">
            <v>1802.62</v>
          </cell>
        </row>
        <row r="2023">
          <cell r="A2023">
            <v>41619</v>
          </cell>
          <cell r="B2023">
            <v>3193.52</v>
          </cell>
          <cell r="C2023">
            <v>2936.05</v>
          </cell>
          <cell r="D2023">
            <v>1782.22</v>
          </cell>
        </row>
        <row r="2024">
          <cell r="A2024">
            <v>41620</v>
          </cell>
          <cell r="B2024">
            <v>3182.33</v>
          </cell>
          <cell r="C2024">
            <v>2925.52</v>
          </cell>
          <cell r="D2024">
            <v>1775.5</v>
          </cell>
        </row>
        <row r="2025">
          <cell r="A2025">
            <v>41621</v>
          </cell>
          <cell r="B2025">
            <v>3182.07</v>
          </cell>
          <cell r="C2025">
            <v>2925.27</v>
          </cell>
          <cell r="D2025">
            <v>1775.32</v>
          </cell>
        </row>
        <row r="2026">
          <cell r="A2026">
            <v>41624</v>
          </cell>
          <cell r="B2026">
            <v>3202.22</v>
          </cell>
          <cell r="C2026">
            <v>2943.78</v>
          </cell>
          <cell r="D2026">
            <v>1786.54</v>
          </cell>
        </row>
        <row r="2027">
          <cell r="A2027">
            <v>41625</v>
          </cell>
          <cell r="B2027">
            <v>3192.33</v>
          </cell>
          <cell r="C2027">
            <v>2934.68</v>
          </cell>
          <cell r="D2027">
            <v>1781</v>
          </cell>
        </row>
        <row r="2028">
          <cell r="A2028">
            <v>41626</v>
          </cell>
          <cell r="B2028">
            <v>3245.59</v>
          </cell>
          <cell r="C2028">
            <v>2983.61</v>
          </cell>
          <cell r="D2028">
            <v>1810.65</v>
          </cell>
        </row>
        <row r="2029">
          <cell r="A2029">
            <v>41627</v>
          </cell>
          <cell r="B2029">
            <v>3244.15</v>
          </cell>
          <cell r="C2029">
            <v>2982.16</v>
          </cell>
          <cell r="D2029">
            <v>1809.6</v>
          </cell>
        </row>
        <row r="2030">
          <cell r="A2030">
            <v>41628</v>
          </cell>
          <cell r="B2030">
            <v>3259.79</v>
          </cell>
          <cell r="C2030">
            <v>2996.54</v>
          </cell>
          <cell r="D2030">
            <v>1818.32</v>
          </cell>
        </row>
        <row r="2031">
          <cell r="A2031">
            <v>41631</v>
          </cell>
          <cell r="B2031">
            <v>3277.62</v>
          </cell>
          <cell r="C2031">
            <v>3012.79</v>
          </cell>
          <cell r="D2031">
            <v>1827.99</v>
          </cell>
        </row>
        <row r="2032">
          <cell r="A2032">
            <v>41632</v>
          </cell>
          <cell r="B2032">
            <v>3287.55</v>
          </cell>
          <cell r="C2032">
            <v>3021.82</v>
          </cell>
          <cell r="D2032">
            <v>1833.32</v>
          </cell>
        </row>
        <row r="2033">
          <cell r="A2033">
            <v>41634</v>
          </cell>
          <cell r="B2033">
            <v>3303.15</v>
          </cell>
          <cell r="C2033">
            <v>3036.15</v>
          </cell>
          <cell r="D2033">
            <v>1842.02</v>
          </cell>
        </row>
        <row r="2034">
          <cell r="A2034">
            <v>41635</v>
          </cell>
          <cell r="B2034">
            <v>3302.66</v>
          </cell>
          <cell r="C2034">
            <v>3035.53</v>
          </cell>
          <cell r="D2034">
            <v>1841.4</v>
          </cell>
        </row>
        <row r="2035">
          <cell r="A2035">
            <v>41638</v>
          </cell>
          <cell r="B2035">
            <v>3302.3</v>
          </cell>
          <cell r="C2035">
            <v>3035.14</v>
          </cell>
          <cell r="D2035">
            <v>1841.07</v>
          </cell>
        </row>
        <row r="2036">
          <cell r="A2036">
            <v>41639</v>
          </cell>
          <cell r="B2036">
            <v>3315.59</v>
          </cell>
          <cell r="C2036">
            <v>3047.29</v>
          </cell>
          <cell r="D2036">
            <v>1848.36</v>
          </cell>
        </row>
        <row r="2037">
          <cell r="A2037">
            <v>41641</v>
          </cell>
          <cell r="B2037">
            <v>3286.69</v>
          </cell>
          <cell r="C2037">
            <v>3020.6</v>
          </cell>
          <cell r="D2037">
            <v>1831.98</v>
          </cell>
        </row>
        <row r="2038">
          <cell r="A2038">
            <v>41642</v>
          </cell>
          <cell r="B2038">
            <v>3285.68</v>
          </cell>
          <cell r="C2038">
            <v>3019.65</v>
          </cell>
          <cell r="D2038">
            <v>1831.37</v>
          </cell>
        </row>
        <row r="2039">
          <cell r="A2039">
            <v>41645</v>
          </cell>
          <cell r="B2039">
            <v>3277.48</v>
          </cell>
          <cell r="C2039">
            <v>3012.1</v>
          </cell>
          <cell r="D2039">
            <v>1826.77</v>
          </cell>
        </row>
        <row r="2040">
          <cell r="A2040">
            <v>41646</v>
          </cell>
          <cell r="B2040">
            <v>3297.45</v>
          </cell>
          <cell r="C2040">
            <v>3030.44</v>
          </cell>
          <cell r="D2040">
            <v>1837.88</v>
          </cell>
        </row>
        <row r="2041">
          <cell r="A2041">
            <v>41647</v>
          </cell>
          <cell r="B2041">
            <v>3297.74</v>
          </cell>
          <cell r="C2041">
            <v>3030.43</v>
          </cell>
          <cell r="D2041">
            <v>1837.49</v>
          </cell>
        </row>
        <row r="2042">
          <cell r="A2042">
            <v>41648</v>
          </cell>
          <cell r="B2042">
            <v>3298.87</v>
          </cell>
          <cell r="C2042">
            <v>3031.47</v>
          </cell>
          <cell r="D2042">
            <v>1838.13</v>
          </cell>
        </row>
        <row r="2043">
          <cell r="A2043">
            <v>41649</v>
          </cell>
          <cell r="B2043">
            <v>3306.49</v>
          </cell>
          <cell r="C2043">
            <v>3038.48</v>
          </cell>
          <cell r="D2043">
            <v>1842.37</v>
          </cell>
        </row>
        <row r="2044">
          <cell r="A2044">
            <v>41652</v>
          </cell>
          <cell r="B2044">
            <v>3265.27</v>
          </cell>
          <cell r="C2044">
            <v>3000.5</v>
          </cell>
          <cell r="D2044">
            <v>1819.2</v>
          </cell>
        </row>
        <row r="2045">
          <cell r="A2045">
            <v>41653</v>
          </cell>
          <cell r="B2045">
            <v>3300.61</v>
          </cell>
          <cell r="C2045">
            <v>3032.97</v>
          </cell>
          <cell r="D2045">
            <v>1838.88</v>
          </cell>
        </row>
        <row r="2046">
          <cell r="A2046">
            <v>41654</v>
          </cell>
          <cell r="B2046">
            <v>3317.75</v>
          </cell>
          <cell r="C2046">
            <v>3048.69</v>
          </cell>
          <cell r="D2046">
            <v>1848.38</v>
          </cell>
        </row>
        <row r="2047">
          <cell r="A2047">
            <v>41655</v>
          </cell>
          <cell r="B2047">
            <v>3313.36</v>
          </cell>
          <cell r="C2047">
            <v>3044.64</v>
          </cell>
          <cell r="D2047">
            <v>1845.89</v>
          </cell>
        </row>
        <row r="2048">
          <cell r="A2048">
            <v>41656</v>
          </cell>
          <cell r="B2048">
            <v>3300.51</v>
          </cell>
          <cell r="C2048">
            <v>3032.81</v>
          </cell>
          <cell r="D2048">
            <v>1838.7</v>
          </cell>
        </row>
        <row r="2049">
          <cell r="A2049">
            <v>41660</v>
          </cell>
          <cell r="B2049">
            <v>3309.74</v>
          </cell>
          <cell r="C2049">
            <v>3041.28</v>
          </cell>
          <cell r="D2049">
            <v>1843.8</v>
          </cell>
        </row>
        <row r="2050">
          <cell r="A2050">
            <v>41661</v>
          </cell>
          <cell r="B2050">
            <v>3312.04</v>
          </cell>
          <cell r="C2050">
            <v>3043.28</v>
          </cell>
          <cell r="D2050">
            <v>1844.86</v>
          </cell>
        </row>
        <row r="2051">
          <cell r="A2051">
            <v>41662</v>
          </cell>
          <cell r="B2051">
            <v>3282.64</v>
          </cell>
          <cell r="C2051">
            <v>3016.25</v>
          </cell>
          <cell r="D2051">
            <v>1828.46</v>
          </cell>
        </row>
        <row r="2052">
          <cell r="A2052">
            <v>41663</v>
          </cell>
          <cell r="B2052">
            <v>3214.13</v>
          </cell>
          <cell r="C2052">
            <v>2953.29</v>
          </cell>
          <cell r="D2052">
            <v>1790.29</v>
          </cell>
        </row>
        <row r="2053">
          <cell r="A2053">
            <v>41666</v>
          </cell>
          <cell r="B2053">
            <v>3198.57</v>
          </cell>
          <cell r="C2053">
            <v>2938.97</v>
          </cell>
          <cell r="D2053">
            <v>1781.56</v>
          </cell>
        </row>
        <row r="2054">
          <cell r="A2054">
            <v>41667</v>
          </cell>
          <cell r="B2054">
            <v>3218.21</v>
          </cell>
          <cell r="C2054">
            <v>2957.02</v>
          </cell>
          <cell r="D2054">
            <v>1792.5</v>
          </cell>
        </row>
        <row r="2055">
          <cell r="A2055">
            <v>41668</v>
          </cell>
          <cell r="B2055">
            <v>3185.7</v>
          </cell>
          <cell r="C2055">
            <v>2927.05</v>
          </cell>
          <cell r="D2055">
            <v>1774.2</v>
          </cell>
        </row>
        <row r="2056">
          <cell r="A2056">
            <v>41669</v>
          </cell>
          <cell r="B2056">
            <v>3221.78</v>
          </cell>
          <cell r="C2056">
            <v>2960.15</v>
          </cell>
          <cell r="D2056">
            <v>1794.19</v>
          </cell>
        </row>
        <row r="2057">
          <cell r="A2057">
            <v>41670</v>
          </cell>
          <cell r="B2057">
            <v>3200.95</v>
          </cell>
          <cell r="C2057">
            <v>2941.01</v>
          </cell>
          <cell r="D2057">
            <v>1782.59</v>
          </cell>
        </row>
        <row r="2058">
          <cell r="A2058">
            <v>41673</v>
          </cell>
          <cell r="B2058">
            <v>3127.87</v>
          </cell>
          <cell r="C2058">
            <v>2873.86</v>
          </cell>
          <cell r="D2058">
            <v>1741.89</v>
          </cell>
        </row>
        <row r="2059">
          <cell r="A2059">
            <v>41674</v>
          </cell>
          <cell r="B2059">
            <v>3151.94</v>
          </cell>
          <cell r="C2059">
            <v>2895.93</v>
          </cell>
          <cell r="D2059">
            <v>1755.2</v>
          </cell>
        </row>
        <row r="2060">
          <cell r="A2060">
            <v>41675</v>
          </cell>
          <cell r="B2060">
            <v>3146.49</v>
          </cell>
          <cell r="C2060">
            <v>2890.67</v>
          </cell>
          <cell r="D2060">
            <v>1751.64</v>
          </cell>
        </row>
        <row r="2061">
          <cell r="A2061">
            <v>41676</v>
          </cell>
          <cell r="B2061">
            <v>3187.25</v>
          </cell>
          <cell r="C2061">
            <v>2927.67</v>
          </cell>
          <cell r="D2061">
            <v>1773.43</v>
          </cell>
        </row>
        <row r="2062">
          <cell r="A2062">
            <v>41677</v>
          </cell>
          <cell r="B2062">
            <v>3229.64</v>
          </cell>
          <cell r="C2062">
            <v>2966.6</v>
          </cell>
          <cell r="D2062">
            <v>1797.02</v>
          </cell>
        </row>
        <row r="2063">
          <cell r="A2063">
            <v>41680</v>
          </cell>
          <cell r="B2063">
            <v>3234.79</v>
          </cell>
          <cell r="C2063">
            <v>2971.31</v>
          </cell>
          <cell r="D2063">
            <v>1799.84</v>
          </cell>
        </row>
        <row r="2064">
          <cell r="A2064">
            <v>41681</v>
          </cell>
          <cell r="B2064">
            <v>3270.74</v>
          </cell>
          <cell r="C2064">
            <v>3004.29</v>
          </cell>
          <cell r="D2064">
            <v>1819.75</v>
          </cell>
        </row>
        <row r="2065">
          <cell r="A2065">
            <v>41682</v>
          </cell>
          <cell r="B2065">
            <v>3271.47</v>
          </cell>
          <cell r="C2065">
            <v>3004.52</v>
          </cell>
          <cell r="D2065">
            <v>1819.26</v>
          </cell>
        </row>
        <row r="2066">
          <cell r="A2066">
            <v>41683</v>
          </cell>
          <cell r="B2066">
            <v>3290.82</v>
          </cell>
          <cell r="C2066">
            <v>3022.19</v>
          </cell>
          <cell r="D2066">
            <v>1829.83</v>
          </cell>
        </row>
        <row r="2067">
          <cell r="A2067">
            <v>41684</v>
          </cell>
          <cell r="B2067">
            <v>3306.92</v>
          </cell>
          <cell r="C2067">
            <v>3036.9</v>
          </cell>
          <cell r="D2067">
            <v>1838.63</v>
          </cell>
        </row>
        <row r="2068">
          <cell r="A2068">
            <v>41688</v>
          </cell>
          <cell r="B2068">
            <v>3311.27</v>
          </cell>
          <cell r="C2068">
            <v>3040.75</v>
          </cell>
          <cell r="D2068">
            <v>1840.76</v>
          </cell>
        </row>
        <row r="2069">
          <cell r="A2069">
            <v>41689</v>
          </cell>
          <cell r="B2069">
            <v>3289.83</v>
          </cell>
          <cell r="C2069">
            <v>3021.02</v>
          </cell>
          <cell r="D2069">
            <v>1828.75</v>
          </cell>
        </row>
        <row r="2070">
          <cell r="A2070">
            <v>41690</v>
          </cell>
          <cell r="B2070">
            <v>3310.27</v>
          </cell>
          <cell r="C2070">
            <v>3039.62</v>
          </cell>
          <cell r="D2070">
            <v>1839.78</v>
          </cell>
        </row>
        <row r="2071">
          <cell r="A2071">
            <v>41691</v>
          </cell>
          <cell r="B2071">
            <v>3304.36</v>
          </cell>
          <cell r="C2071">
            <v>3034.08</v>
          </cell>
          <cell r="D2071">
            <v>1836.25</v>
          </cell>
        </row>
        <row r="2072">
          <cell r="A2072">
            <v>41694</v>
          </cell>
          <cell r="B2072">
            <v>3324.84</v>
          </cell>
          <cell r="C2072">
            <v>3052.87</v>
          </cell>
          <cell r="D2072">
            <v>1847.61</v>
          </cell>
        </row>
        <row r="2073">
          <cell r="A2073">
            <v>41695</v>
          </cell>
          <cell r="B2073">
            <v>3320.43</v>
          </cell>
          <cell r="C2073">
            <v>3048.8</v>
          </cell>
          <cell r="D2073">
            <v>1845.12</v>
          </cell>
        </row>
        <row r="2074">
          <cell r="A2074">
            <v>41696</v>
          </cell>
          <cell r="B2074">
            <v>3321.15</v>
          </cell>
          <cell r="C2074">
            <v>3049.29</v>
          </cell>
          <cell r="D2074">
            <v>1845.16</v>
          </cell>
        </row>
        <row r="2075">
          <cell r="A2075">
            <v>41697</v>
          </cell>
          <cell r="B2075">
            <v>3338.05</v>
          </cell>
          <cell r="C2075">
            <v>3064.67</v>
          </cell>
          <cell r="D2075">
            <v>1854.29</v>
          </cell>
        </row>
        <row r="2076">
          <cell r="A2076">
            <v>41698</v>
          </cell>
          <cell r="B2076">
            <v>3347.38</v>
          </cell>
          <cell r="C2076">
            <v>3073.22</v>
          </cell>
          <cell r="D2076">
            <v>1859.45</v>
          </cell>
        </row>
        <row r="2077">
          <cell r="A2077">
            <v>41701</v>
          </cell>
          <cell r="B2077">
            <v>3322.85</v>
          </cell>
          <cell r="C2077">
            <v>3050.66</v>
          </cell>
          <cell r="D2077">
            <v>1845.73</v>
          </cell>
        </row>
        <row r="2078">
          <cell r="A2078">
            <v>41702</v>
          </cell>
          <cell r="B2078">
            <v>3373.64</v>
          </cell>
          <cell r="C2078">
            <v>3097.27</v>
          </cell>
          <cell r="D2078">
            <v>1873.91</v>
          </cell>
        </row>
        <row r="2079">
          <cell r="A2079">
            <v>41703</v>
          </cell>
          <cell r="B2079">
            <v>3374.1</v>
          </cell>
          <cell r="C2079">
            <v>3097.52</v>
          </cell>
          <cell r="D2079">
            <v>1873.81</v>
          </cell>
        </row>
        <row r="2080">
          <cell r="A2080">
            <v>41704</v>
          </cell>
          <cell r="B2080">
            <v>3380.49</v>
          </cell>
          <cell r="C2080">
            <v>3103.22</v>
          </cell>
          <cell r="D2080">
            <v>1877.03</v>
          </cell>
        </row>
        <row r="2081">
          <cell r="A2081">
            <v>41705</v>
          </cell>
          <cell r="B2081">
            <v>3382.57</v>
          </cell>
          <cell r="C2081">
            <v>3105.06</v>
          </cell>
          <cell r="D2081">
            <v>1878.04</v>
          </cell>
        </row>
        <row r="2082">
          <cell r="A2082">
            <v>41708</v>
          </cell>
          <cell r="B2082">
            <v>3381.22</v>
          </cell>
          <cell r="C2082">
            <v>3103.76</v>
          </cell>
          <cell r="D2082">
            <v>1877.17</v>
          </cell>
        </row>
        <row r="2083">
          <cell r="A2083">
            <v>41709</v>
          </cell>
          <cell r="B2083">
            <v>3364.17</v>
          </cell>
          <cell r="C2083">
            <v>3088.07</v>
          </cell>
          <cell r="D2083">
            <v>1867.63</v>
          </cell>
        </row>
        <row r="2084">
          <cell r="A2084">
            <v>41710</v>
          </cell>
          <cell r="B2084">
            <v>3366.07</v>
          </cell>
          <cell r="C2084">
            <v>3089.58</v>
          </cell>
          <cell r="D2084">
            <v>1868.2</v>
          </cell>
        </row>
        <row r="2085">
          <cell r="A2085">
            <v>41711</v>
          </cell>
          <cell r="B2085">
            <v>3327.11</v>
          </cell>
          <cell r="C2085">
            <v>3053.7</v>
          </cell>
          <cell r="D2085">
            <v>1846.34</v>
          </cell>
        </row>
        <row r="2086">
          <cell r="A2086">
            <v>41712</v>
          </cell>
          <cell r="B2086">
            <v>3317.81</v>
          </cell>
          <cell r="C2086">
            <v>3045.14</v>
          </cell>
          <cell r="D2086">
            <v>1841.13</v>
          </cell>
        </row>
        <row r="2087">
          <cell r="A2087">
            <v>41715</v>
          </cell>
          <cell r="B2087">
            <v>3349.71</v>
          </cell>
          <cell r="C2087">
            <v>3074.42</v>
          </cell>
          <cell r="D2087">
            <v>1858.83</v>
          </cell>
        </row>
        <row r="2088">
          <cell r="A2088">
            <v>41716</v>
          </cell>
          <cell r="B2088">
            <v>3373.98</v>
          </cell>
          <cell r="C2088">
            <v>3096.67</v>
          </cell>
          <cell r="D2088">
            <v>1872.25</v>
          </cell>
        </row>
        <row r="2089">
          <cell r="A2089">
            <v>41717</v>
          </cell>
          <cell r="B2089">
            <v>3353.29</v>
          </cell>
          <cell r="C2089">
            <v>3077.68</v>
          </cell>
          <cell r="D2089">
            <v>1860.77</v>
          </cell>
        </row>
        <row r="2090">
          <cell r="A2090">
            <v>41718</v>
          </cell>
          <cell r="B2090">
            <v>3373.6</v>
          </cell>
          <cell r="C2090">
            <v>3096.3</v>
          </cell>
          <cell r="D2090">
            <v>1872.01</v>
          </cell>
        </row>
        <row r="2091">
          <cell r="A2091">
            <v>41719</v>
          </cell>
          <cell r="B2091">
            <v>3363.72</v>
          </cell>
          <cell r="C2091">
            <v>3087.23</v>
          </cell>
          <cell r="D2091">
            <v>1866.52</v>
          </cell>
        </row>
        <row r="2092">
          <cell r="A2092">
            <v>41722</v>
          </cell>
          <cell r="B2092">
            <v>3347.36</v>
          </cell>
          <cell r="C2092">
            <v>3072.22</v>
          </cell>
          <cell r="D2092">
            <v>1857.44</v>
          </cell>
        </row>
        <row r="2093">
          <cell r="A2093">
            <v>41723</v>
          </cell>
          <cell r="B2093">
            <v>3362.44</v>
          </cell>
          <cell r="C2093">
            <v>3085.97</v>
          </cell>
          <cell r="D2093">
            <v>1865.62</v>
          </cell>
        </row>
        <row r="2094">
          <cell r="A2094">
            <v>41724</v>
          </cell>
          <cell r="B2094">
            <v>3339</v>
          </cell>
          <cell r="C2094">
            <v>3064.43</v>
          </cell>
          <cell r="D2094">
            <v>1852.56</v>
          </cell>
        </row>
        <row r="2095">
          <cell r="A2095">
            <v>41725</v>
          </cell>
          <cell r="B2095">
            <v>3333.23</v>
          </cell>
          <cell r="C2095">
            <v>3058.98</v>
          </cell>
          <cell r="D2095">
            <v>1849.04</v>
          </cell>
        </row>
        <row r="2096">
          <cell r="A2096">
            <v>41726</v>
          </cell>
          <cell r="B2096">
            <v>3348.83</v>
          </cell>
          <cell r="C2096">
            <v>3073.25</v>
          </cell>
          <cell r="D2096">
            <v>1857.62</v>
          </cell>
        </row>
        <row r="2097">
          <cell r="A2097">
            <v>41729</v>
          </cell>
          <cell r="B2097">
            <v>3375.51</v>
          </cell>
          <cell r="C2097">
            <v>3097.7</v>
          </cell>
          <cell r="D2097">
            <v>1872.34</v>
          </cell>
        </row>
        <row r="2098">
          <cell r="A2098">
            <v>41730</v>
          </cell>
          <cell r="B2098">
            <v>3399.51</v>
          </cell>
          <cell r="C2098">
            <v>3119.65</v>
          </cell>
          <cell r="D2098">
            <v>1885.52</v>
          </cell>
        </row>
        <row r="2099">
          <cell r="A2099">
            <v>41731</v>
          </cell>
          <cell r="B2099">
            <v>3409.8</v>
          </cell>
          <cell r="C2099">
            <v>3128.93</v>
          </cell>
          <cell r="D2099">
            <v>1890.9</v>
          </cell>
        </row>
        <row r="2100">
          <cell r="A2100">
            <v>41732</v>
          </cell>
          <cell r="B2100">
            <v>3406</v>
          </cell>
          <cell r="C2100">
            <v>3125.44</v>
          </cell>
          <cell r="D2100">
            <v>1888.77</v>
          </cell>
        </row>
        <row r="2101">
          <cell r="A2101">
            <v>41733</v>
          </cell>
          <cell r="B2101">
            <v>3363.41</v>
          </cell>
          <cell r="C2101">
            <v>3086.32</v>
          </cell>
          <cell r="D2101">
            <v>1865.09</v>
          </cell>
        </row>
        <row r="2102">
          <cell r="A2102">
            <v>41736</v>
          </cell>
          <cell r="B2102">
            <v>3327.27</v>
          </cell>
          <cell r="C2102">
            <v>3053.15</v>
          </cell>
          <cell r="D2102">
            <v>1845.04</v>
          </cell>
        </row>
        <row r="2103">
          <cell r="A2103">
            <v>41737</v>
          </cell>
          <cell r="B2103">
            <v>3340.84</v>
          </cell>
          <cell r="C2103">
            <v>3065.31</v>
          </cell>
          <cell r="D2103">
            <v>1851.96</v>
          </cell>
        </row>
        <row r="2104">
          <cell r="A2104">
            <v>41738</v>
          </cell>
          <cell r="B2104">
            <v>3377.61</v>
          </cell>
          <cell r="C2104">
            <v>3098.97</v>
          </cell>
          <cell r="D2104">
            <v>1872.18</v>
          </cell>
        </row>
        <row r="2105">
          <cell r="A2105">
            <v>41739</v>
          </cell>
          <cell r="B2105">
            <v>3307.08</v>
          </cell>
          <cell r="C2105">
            <v>3034.25</v>
          </cell>
          <cell r="D2105">
            <v>1833.08</v>
          </cell>
        </row>
        <row r="2106">
          <cell r="A2106">
            <v>41740</v>
          </cell>
          <cell r="B2106">
            <v>3276.04</v>
          </cell>
          <cell r="C2106">
            <v>3005.67</v>
          </cell>
          <cell r="D2106">
            <v>1815.69</v>
          </cell>
        </row>
        <row r="2107">
          <cell r="A2107">
            <v>41743</v>
          </cell>
          <cell r="B2107">
            <v>3302.98</v>
          </cell>
          <cell r="C2107">
            <v>3030.39</v>
          </cell>
          <cell r="D2107">
            <v>1830.61</v>
          </cell>
        </row>
        <row r="2108">
          <cell r="A2108">
            <v>41744</v>
          </cell>
          <cell r="B2108">
            <v>3325.3</v>
          </cell>
          <cell r="C2108">
            <v>3050.87</v>
          </cell>
          <cell r="D2108">
            <v>1842.98</v>
          </cell>
        </row>
        <row r="2109">
          <cell r="A2109">
            <v>41745</v>
          </cell>
          <cell r="B2109">
            <v>3360.27</v>
          </cell>
          <cell r="C2109">
            <v>3082.93</v>
          </cell>
          <cell r="D2109">
            <v>1862.31</v>
          </cell>
        </row>
        <row r="2110">
          <cell r="A2110">
            <v>41746</v>
          </cell>
          <cell r="B2110">
            <v>3365</v>
          </cell>
          <cell r="C2110">
            <v>3087.23</v>
          </cell>
          <cell r="D2110">
            <v>1864.85</v>
          </cell>
        </row>
        <row r="2111">
          <cell r="A2111">
            <v>41750</v>
          </cell>
          <cell r="B2111">
            <v>3377.75</v>
          </cell>
          <cell r="C2111">
            <v>3098.91</v>
          </cell>
          <cell r="D2111">
            <v>1871.89</v>
          </cell>
        </row>
        <row r="2112">
          <cell r="A2112">
            <v>41751</v>
          </cell>
          <cell r="B2112">
            <v>3391.58</v>
          </cell>
          <cell r="C2112">
            <v>3111.6</v>
          </cell>
          <cell r="D2112">
            <v>1879.55</v>
          </cell>
        </row>
        <row r="2113">
          <cell r="A2113">
            <v>41752</v>
          </cell>
          <cell r="B2113">
            <v>3384.5</v>
          </cell>
          <cell r="C2113">
            <v>3104.98</v>
          </cell>
          <cell r="D2113">
            <v>1875.39</v>
          </cell>
        </row>
        <row r="2114">
          <cell r="A2114">
            <v>41753</v>
          </cell>
          <cell r="B2114">
            <v>3390.39</v>
          </cell>
          <cell r="C2114">
            <v>3110.37</v>
          </cell>
          <cell r="D2114">
            <v>1878.61</v>
          </cell>
        </row>
        <row r="2115">
          <cell r="A2115">
            <v>41754</v>
          </cell>
          <cell r="B2115">
            <v>3362.95</v>
          </cell>
          <cell r="C2115">
            <v>3085.19</v>
          </cell>
          <cell r="D2115">
            <v>1863.4</v>
          </cell>
        </row>
        <row r="2116">
          <cell r="A2116">
            <v>41757</v>
          </cell>
          <cell r="B2116">
            <v>3374.04</v>
          </cell>
          <cell r="C2116">
            <v>3095.3</v>
          </cell>
          <cell r="D2116">
            <v>1869.43</v>
          </cell>
        </row>
        <row r="2117">
          <cell r="A2117">
            <v>41758</v>
          </cell>
          <cell r="B2117">
            <v>3390.16</v>
          </cell>
          <cell r="C2117">
            <v>3110.08</v>
          </cell>
          <cell r="D2117">
            <v>1878.33</v>
          </cell>
        </row>
        <row r="2118">
          <cell r="A2118">
            <v>41759</v>
          </cell>
          <cell r="B2118">
            <v>3400.46</v>
          </cell>
          <cell r="C2118">
            <v>3119.49</v>
          </cell>
          <cell r="D2118">
            <v>1883.95</v>
          </cell>
        </row>
        <row r="2119">
          <cell r="A2119">
            <v>41760</v>
          </cell>
          <cell r="B2119">
            <v>3400.2</v>
          </cell>
          <cell r="C2119">
            <v>3119.19</v>
          </cell>
          <cell r="D2119">
            <v>1883.68</v>
          </cell>
        </row>
        <row r="2120">
          <cell r="A2120">
            <v>41761</v>
          </cell>
          <cell r="B2120">
            <v>3395.61</v>
          </cell>
          <cell r="C2120">
            <v>3114.97</v>
          </cell>
          <cell r="D2120">
            <v>1881.14</v>
          </cell>
        </row>
        <row r="2121">
          <cell r="A2121">
            <v>41764</v>
          </cell>
          <cell r="B2121">
            <v>3402.23</v>
          </cell>
          <cell r="C2121">
            <v>3120.97</v>
          </cell>
          <cell r="D2121">
            <v>1884.66</v>
          </cell>
        </row>
        <row r="2122">
          <cell r="A2122">
            <v>41765</v>
          </cell>
          <cell r="B2122">
            <v>3371.72</v>
          </cell>
          <cell r="C2122">
            <v>3092.97</v>
          </cell>
          <cell r="D2122">
            <v>1867.72</v>
          </cell>
        </row>
        <row r="2123">
          <cell r="A2123">
            <v>41766</v>
          </cell>
          <cell r="B2123">
            <v>3392.1</v>
          </cell>
          <cell r="C2123">
            <v>3111.26</v>
          </cell>
          <cell r="D2123">
            <v>1878.21</v>
          </cell>
        </row>
        <row r="2124">
          <cell r="A2124">
            <v>41767</v>
          </cell>
          <cell r="B2124">
            <v>3388.29</v>
          </cell>
          <cell r="C2124">
            <v>3107.54</v>
          </cell>
          <cell r="D2124">
            <v>1875.63</v>
          </cell>
        </row>
        <row r="2125">
          <cell r="A2125">
            <v>41768</v>
          </cell>
          <cell r="B2125">
            <v>3394.05</v>
          </cell>
          <cell r="C2125">
            <v>3112.65</v>
          </cell>
          <cell r="D2125">
            <v>1878.48</v>
          </cell>
        </row>
        <row r="2126">
          <cell r="A2126">
            <v>41771</v>
          </cell>
          <cell r="B2126">
            <v>3427.01</v>
          </cell>
          <cell r="C2126">
            <v>3142.85</v>
          </cell>
          <cell r="D2126">
            <v>1896.65</v>
          </cell>
        </row>
        <row r="2127">
          <cell r="A2127">
            <v>41772</v>
          </cell>
          <cell r="B2127">
            <v>3429.3</v>
          </cell>
          <cell r="C2127">
            <v>3144.71</v>
          </cell>
          <cell r="D2127">
            <v>1897.45</v>
          </cell>
        </row>
        <row r="2128">
          <cell r="A2128">
            <v>41773</v>
          </cell>
          <cell r="B2128">
            <v>3413.84</v>
          </cell>
          <cell r="C2128">
            <v>3130.35</v>
          </cell>
          <cell r="D2128">
            <v>1888.53</v>
          </cell>
        </row>
        <row r="2129">
          <cell r="A2129">
            <v>41774</v>
          </cell>
          <cell r="B2129">
            <v>3382.52</v>
          </cell>
          <cell r="C2129">
            <v>3101.46</v>
          </cell>
          <cell r="D2129">
            <v>1870.85</v>
          </cell>
        </row>
        <row r="2130">
          <cell r="A2130">
            <v>41775</v>
          </cell>
          <cell r="B2130">
            <v>3395.21</v>
          </cell>
          <cell r="C2130">
            <v>3113.09</v>
          </cell>
          <cell r="D2130">
            <v>1877.86</v>
          </cell>
        </row>
        <row r="2131">
          <cell r="A2131">
            <v>41778</v>
          </cell>
          <cell r="B2131">
            <v>3408.52</v>
          </cell>
          <cell r="C2131">
            <v>3125.23</v>
          </cell>
          <cell r="D2131">
            <v>1885.08</v>
          </cell>
        </row>
        <row r="2132">
          <cell r="A2132">
            <v>41779</v>
          </cell>
          <cell r="B2132">
            <v>3386.48</v>
          </cell>
          <cell r="C2132">
            <v>3104.99</v>
          </cell>
          <cell r="D2132">
            <v>1872.83</v>
          </cell>
        </row>
        <row r="2133">
          <cell r="A2133">
            <v>41780</v>
          </cell>
          <cell r="B2133">
            <v>3414.45</v>
          </cell>
          <cell r="C2133">
            <v>3130.49</v>
          </cell>
          <cell r="D2133">
            <v>1888.03</v>
          </cell>
        </row>
        <row r="2134">
          <cell r="A2134">
            <v>41781</v>
          </cell>
          <cell r="B2134">
            <v>3422.99</v>
          </cell>
          <cell r="C2134">
            <v>3138.2</v>
          </cell>
          <cell r="D2134">
            <v>1892.49</v>
          </cell>
        </row>
        <row r="2135">
          <cell r="A2135">
            <v>41782</v>
          </cell>
          <cell r="B2135">
            <v>3437.58</v>
          </cell>
          <cell r="C2135">
            <v>3151.56</v>
          </cell>
          <cell r="D2135">
            <v>1900.53</v>
          </cell>
        </row>
        <row r="2136">
          <cell r="A2136">
            <v>41786</v>
          </cell>
          <cell r="B2136">
            <v>3458.19</v>
          </cell>
          <cell r="C2136">
            <v>3170.45</v>
          </cell>
          <cell r="D2136">
            <v>1911.91</v>
          </cell>
        </row>
        <row r="2137">
          <cell r="A2137">
            <v>41787</v>
          </cell>
          <cell r="B2137">
            <v>3454.88</v>
          </cell>
          <cell r="C2137">
            <v>3167.26</v>
          </cell>
          <cell r="D2137">
            <v>1909.78</v>
          </cell>
        </row>
        <row r="2138">
          <cell r="A2138">
            <v>41788</v>
          </cell>
          <cell r="B2138">
            <v>3473.86</v>
          </cell>
          <cell r="C2138">
            <v>3184.54</v>
          </cell>
          <cell r="D2138">
            <v>1920.03</v>
          </cell>
        </row>
        <row r="2139">
          <cell r="A2139">
            <v>41789</v>
          </cell>
          <cell r="B2139">
            <v>3480.29</v>
          </cell>
          <cell r="C2139">
            <v>3190.43</v>
          </cell>
          <cell r="D2139">
            <v>1923.57</v>
          </cell>
        </row>
        <row r="2140">
          <cell r="A2140">
            <v>41792</v>
          </cell>
          <cell r="B2140">
            <v>3483.14</v>
          </cell>
          <cell r="C2140">
            <v>3192.95</v>
          </cell>
          <cell r="D2140">
            <v>1924.97</v>
          </cell>
        </row>
        <row r="2141">
          <cell r="A2141">
            <v>41793</v>
          </cell>
          <cell r="B2141">
            <v>3482</v>
          </cell>
          <cell r="C2141">
            <v>3191.86</v>
          </cell>
          <cell r="D2141">
            <v>1924.24</v>
          </cell>
        </row>
        <row r="2142">
          <cell r="A2142">
            <v>41794</v>
          </cell>
          <cell r="B2142">
            <v>3489.21</v>
          </cell>
          <cell r="C2142">
            <v>3198.3</v>
          </cell>
          <cell r="D2142">
            <v>1927.88</v>
          </cell>
        </row>
        <row r="2143">
          <cell r="A2143">
            <v>41795</v>
          </cell>
          <cell r="B2143">
            <v>3512.21</v>
          </cell>
          <cell r="C2143">
            <v>3219.32</v>
          </cell>
          <cell r="D2143">
            <v>1940.46</v>
          </cell>
        </row>
        <row r="2144">
          <cell r="A2144">
            <v>41796</v>
          </cell>
          <cell r="B2144">
            <v>3528.98</v>
          </cell>
          <cell r="C2144">
            <v>3234.54</v>
          </cell>
          <cell r="D2144">
            <v>1949.44</v>
          </cell>
        </row>
        <row r="2145">
          <cell r="A2145">
            <v>41799</v>
          </cell>
          <cell r="B2145">
            <v>3532.47</v>
          </cell>
          <cell r="C2145">
            <v>3237.69</v>
          </cell>
          <cell r="D2145">
            <v>1951.27</v>
          </cell>
        </row>
        <row r="2146">
          <cell r="A2146">
            <v>41800</v>
          </cell>
          <cell r="B2146">
            <v>3531.62</v>
          </cell>
          <cell r="C2146">
            <v>3236.91</v>
          </cell>
          <cell r="D2146">
            <v>1950.79</v>
          </cell>
        </row>
        <row r="2147">
          <cell r="A2147">
            <v>41801</v>
          </cell>
          <cell r="B2147">
            <v>3519.52</v>
          </cell>
          <cell r="C2147">
            <v>3225.71</v>
          </cell>
          <cell r="D2147">
            <v>1943.89</v>
          </cell>
        </row>
        <row r="2148">
          <cell r="A2148">
            <v>41802</v>
          </cell>
          <cell r="B2148">
            <v>3495.57</v>
          </cell>
          <cell r="C2148">
            <v>3203.49</v>
          </cell>
          <cell r="D2148">
            <v>1930.11</v>
          </cell>
        </row>
        <row r="2149">
          <cell r="A2149">
            <v>41803</v>
          </cell>
          <cell r="B2149">
            <v>3506.58</v>
          </cell>
          <cell r="C2149">
            <v>3213.56</v>
          </cell>
          <cell r="D2149">
            <v>1936.16</v>
          </cell>
        </row>
        <row r="2150">
          <cell r="A2150">
            <v>41806</v>
          </cell>
          <cell r="B2150">
            <v>3509.54</v>
          </cell>
          <cell r="C2150">
            <v>3216.27</v>
          </cell>
          <cell r="D2150">
            <v>1937.78</v>
          </cell>
        </row>
        <row r="2151">
          <cell r="A2151">
            <v>41807</v>
          </cell>
          <cell r="B2151">
            <v>3517.23</v>
          </cell>
          <cell r="C2151">
            <v>3223.3</v>
          </cell>
          <cell r="D2151">
            <v>1941.99</v>
          </cell>
        </row>
        <row r="2152">
          <cell r="A2152">
            <v>41808</v>
          </cell>
          <cell r="B2152">
            <v>3544.42</v>
          </cell>
          <cell r="C2152">
            <v>3248.2</v>
          </cell>
          <cell r="D2152">
            <v>1956.98</v>
          </cell>
        </row>
        <row r="2153">
          <cell r="A2153">
            <v>41809</v>
          </cell>
          <cell r="B2153">
            <v>3549.44</v>
          </cell>
          <cell r="C2153">
            <v>3252.67</v>
          </cell>
          <cell r="D2153">
            <v>1959.48</v>
          </cell>
        </row>
        <row r="2154">
          <cell r="A2154">
            <v>41810</v>
          </cell>
          <cell r="B2154">
            <v>3555.6</v>
          </cell>
          <cell r="C2154">
            <v>3258.31</v>
          </cell>
          <cell r="D2154">
            <v>1962.87</v>
          </cell>
        </row>
        <row r="2155">
          <cell r="A2155">
            <v>41813</v>
          </cell>
          <cell r="B2155">
            <v>3555.14</v>
          </cell>
          <cell r="C2155">
            <v>3257.88</v>
          </cell>
          <cell r="D2155">
            <v>1962.61</v>
          </cell>
        </row>
        <row r="2156">
          <cell r="A2156">
            <v>41814</v>
          </cell>
          <cell r="B2156">
            <v>3532.57</v>
          </cell>
          <cell r="C2156">
            <v>3237.12</v>
          </cell>
          <cell r="D2156">
            <v>1949.98</v>
          </cell>
        </row>
        <row r="2157">
          <cell r="A2157">
            <v>41815</v>
          </cell>
          <cell r="B2157">
            <v>3549.96</v>
          </cell>
          <cell r="C2157">
            <v>3253.03</v>
          </cell>
          <cell r="D2157">
            <v>1959.53</v>
          </cell>
        </row>
        <row r="2158">
          <cell r="A2158">
            <v>41816</v>
          </cell>
          <cell r="B2158">
            <v>3546.38</v>
          </cell>
          <cell r="C2158">
            <v>3249.58</v>
          </cell>
          <cell r="D2158">
            <v>1957.22</v>
          </cell>
        </row>
        <row r="2159">
          <cell r="A2159">
            <v>41817</v>
          </cell>
          <cell r="B2159">
            <v>3553.35</v>
          </cell>
          <cell r="C2159">
            <v>3255.91</v>
          </cell>
          <cell r="D2159">
            <v>1960.96</v>
          </cell>
        </row>
        <row r="2160">
          <cell r="A2160">
            <v>41820</v>
          </cell>
          <cell r="B2160">
            <v>3552.18</v>
          </cell>
          <cell r="C2160">
            <v>3254.8</v>
          </cell>
          <cell r="D2160">
            <v>1960.23</v>
          </cell>
        </row>
        <row r="2161">
          <cell r="A2161">
            <v>41821</v>
          </cell>
          <cell r="B2161">
            <v>3576.55</v>
          </cell>
          <cell r="C2161">
            <v>3276.95</v>
          </cell>
          <cell r="D2161">
            <v>1973.32</v>
          </cell>
        </row>
        <row r="2162">
          <cell r="A2162">
            <v>41822</v>
          </cell>
          <cell r="B2162">
            <v>3579.11</v>
          </cell>
          <cell r="C2162">
            <v>3279.24</v>
          </cell>
          <cell r="D2162">
            <v>1974.62</v>
          </cell>
        </row>
        <row r="2163">
          <cell r="A2163">
            <v>41823</v>
          </cell>
          <cell r="B2163">
            <v>3598.73</v>
          </cell>
          <cell r="C2163">
            <v>3297.22</v>
          </cell>
          <cell r="D2163">
            <v>1985.44</v>
          </cell>
        </row>
        <row r="2164">
          <cell r="A2164">
            <v>41827</v>
          </cell>
          <cell r="B2164">
            <v>3584.75</v>
          </cell>
          <cell r="C2164">
            <v>3284.37</v>
          </cell>
          <cell r="D2164">
            <v>1977.65</v>
          </cell>
        </row>
        <row r="2165">
          <cell r="A2165">
            <v>41828</v>
          </cell>
          <cell r="B2165">
            <v>3560.53</v>
          </cell>
          <cell r="C2165">
            <v>3261.89</v>
          </cell>
          <cell r="D2165">
            <v>1963.71</v>
          </cell>
        </row>
        <row r="2166">
          <cell r="A2166">
            <v>41829</v>
          </cell>
          <cell r="B2166">
            <v>3577.28</v>
          </cell>
          <cell r="C2166">
            <v>3277.18</v>
          </cell>
          <cell r="D2166">
            <v>1972.83</v>
          </cell>
        </row>
        <row r="2167">
          <cell r="A2167">
            <v>41830</v>
          </cell>
          <cell r="B2167">
            <v>3562.49</v>
          </cell>
          <cell r="C2167">
            <v>3263.63</v>
          </cell>
          <cell r="D2167">
            <v>1964.68</v>
          </cell>
        </row>
        <row r="2168">
          <cell r="A2168">
            <v>41831</v>
          </cell>
          <cell r="B2168">
            <v>3568.08</v>
          </cell>
          <cell r="C2168">
            <v>3268.65</v>
          </cell>
          <cell r="D2168">
            <v>1967.57</v>
          </cell>
        </row>
        <row r="2169">
          <cell r="A2169">
            <v>41834</v>
          </cell>
          <cell r="B2169">
            <v>3585.37</v>
          </cell>
          <cell r="C2169">
            <v>3284.49</v>
          </cell>
          <cell r="D2169">
            <v>1977.1</v>
          </cell>
        </row>
        <row r="2170">
          <cell r="A2170">
            <v>41835</v>
          </cell>
          <cell r="B2170">
            <v>3578.46</v>
          </cell>
          <cell r="C2170">
            <v>3278.16</v>
          </cell>
          <cell r="D2170">
            <v>1973.28</v>
          </cell>
        </row>
        <row r="2171">
          <cell r="A2171">
            <v>41836</v>
          </cell>
          <cell r="B2171">
            <v>3593.91</v>
          </cell>
          <cell r="C2171">
            <v>3292.19</v>
          </cell>
          <cell r="D2171">
            <v>1981.57</v>
          </cell>
        </row>
        <row r="2172">
          <cell r="A2172">
            <v>41837</v>
          </cell>
          <cell r="B2172">
            <v>3551.73</v>
          </cell>
          <cell r="C2172">
            <v>3253.46</v>
          </cell>
          <cell r="D2172">
            <v>1958.12</v>
          </cell>
        </row>
        <row r="2173">
          <cell r="A2173">
            <v>41838</v>
          </cell>
          <cell r="B2173">
            <v>3588.21</v>
          </cell>
          <cell r="C2173">
            <v>3286.87</v>
          </cell>
          <cell r="D2173">
            <v>1978.22</v>
          </cell>
        </row>
        <row r="2174">
          <cell r="A2174">
            <v>41841</v>
          </cell>
          <cell r="B2174">
            <v>3579.99</v>
          </cell>
          <cell r="C2174">
            <v>3279.31</v>
          </cell>
          <cell r="D2174">
            <v>1973.63</v>
          </cell>
        </row>
        <row r="2175">
          <cell r="A2175">
            <v>41842</v>
          </cell>
          <cell r="B2175">
            <v>3597.95</v>
          </cell>
          <cell r="C2175">
            <v>3295.76</v>
          </cell>
          <cell r="D2175">
            <v>1983.53</v>
          </cell>
        </row>
        <row r="2176">
          <cell r="A2176">
            <v>41843</v>
          </cell>
          <cell r="B2176">
            <v>3604.3</v>
          </cell>
          <cell r="C2176">
            <v>3301.57</v>
          </cell>
          <cell r="D2176">
            <v>1987.01</v>
          </cell>
        </row>
        <row r="2177">
          <cell r="A2177">
            <v>41844</v>
          </cell>
          <cell r="B2177">
            <v>3606.1</v>
          </cell>
          <cell r="C2177">
            <v>3303.21</v>
          </cell>
          <cell r="D2177">
            <v>1987.98</v>
          </cell>
        </row>
        <row r="2178">
          <cell r="A2178">
            <v>41845</v>
          </cell>
          <cell r="B2178">
            <v>3588.68</v>
          </cell>
          <cell r="C2178">
            <v>3287.23</v>
          </cell>
          <cell r="D2178">
            <v>1978.34</v>
          </cell>
        </row>
        <row r="2179">
          <cell r="A2179">
            <v>41848</v>
          </cell>
          <cell r="B2179">
            <v>3589.73</v>
          </cell>
          <cell r="C2179">
            <v>3288.19</v>
          </cell>
          <cell r="D2179">
            <v>1978.91</v>
          </cell>
        </row>
        <row r="2180">
          <cell r="A2180">
            <v>41849</v>
          </cell>
          <cell r="B2180">
            <v>3573.65</v>
          </cell>
          <cell r="C2180">
            <v>3273.41</v>
          </cell>
          <cell r="D2180">
            <v>1969.95</v>
          </cell>
        </row>
        <row r="2181">
          <cell r="A2181">
            <v>41850</v>
          </cell>
          <cell r="B2181">
            <v>3574.45</v>
          </cell>
          <cell r="C2181">
            <v>3273.99</v>
          </cell>
          <cell r="D2181">
            <v>1970.07</v>
          </cell>
        </row>
        <row r="2182">
          <cell r="A2182">
            <v>41851</v>
          </cell>
          <cell r="B2182">
            <v>3503.19</v>
          </cell>
          <cell r="C2182">
            <v>3208.66</v>
          </cell>
          <cell r="D2182">
            <v>1930.67</v>
          </cell>
        </row>
        <row r="2183">
          <cell r="A2183">
            <v>41852</v>
          </cell>
          <cell r="B2183">
            <v>3493.18</v>
          </cell>
          <cell r="C2183">
            <v>3199.48</v>
          </cell>
          <cell r="D2183">
            <v>1925.15</v>
          </cell>
        </row>
        <row r="2184">
          <cell r="A2184">
            <v>41855</v>
          </cell>
          <cell r="B2184">
            <v>3518.31</v>
          </cell>
          <cell r="C2184">
            <v>3222.49</v>
          </cell>
          <cell r="D2184">
            <v>1938.99</v>
          </cell>
        </row>
        <row r="2185">
          <cell r="A2185">
            <v>41856</v>
          </cell>
          <cell r="B2185">
            <v>3484.56</v>
          </cell>
          <cell r="C2185">
            <v>3191.5</v>
          </cell>
          <cell r="D2185">
            <v>1920.21</v>
          </cell>
        </row>
        <row r="2186">
          <cell r="A2186">
            <v>41857</v>
          </cell>
          <cell r="B2186">
            <v>3485.67</v>
          </cell>
          <cell r="C2186">
            <v>3192.22</v>
          </cell>
          <cell r="D2186">
            <v>1920.24</v>
          </cell>
        </row>
        <row r="2187">
          <cell r="A2187">
            <v>41858</v>
          </cell>
          <cell r="B2187">
            <v>3467.14</v>
          </cell>
          <cell r="C2187">
            <v>3175.02</v>
          </cell>
          <cell r="D2187">
            <v>1909.57</v>
          </cell>
        </row>
        <row r="2188">
          <cell r="A2188">
            <v>41859</v>
          </cell>
          <cell r="B2188">
            <v>3507.21</v>
          </cell>
          <cell r="C2188">
            <v>3211.69</v>
          </cell>
          <cell r="D2188">
            <v>1931.59</v>
          </cell>
        </row>
        <row r="2189">
          <cell r="A2189">
            <v>41862</v>
          </cell>
          <cell r="B2189">
            <v>3517.53</v>
          </cell>
          <cell r="C2189">
            <v>3220.96</v>
          </cell>
          <cell r="D2189">
            <v>1936.92</v>
          </cell>
        </row>
        <row r="2190">
          <cell r="A2190">
            <v>41863</v>
          </cell>
          <cell r="B2190">
            <v>3511.96</v>
          </cell>
          <cell r="C2190">
            <v>3215.81</v>
          </cell>
          <cell r="D2190">
            <v>1933.75</v>
          </cell>
        </row>
        <row r="2191">
          <cell r="A2191">
            <v>41864</v>
          </cell>
          <cell r="B2191">
            <v>3536.42</v>
          </cell>
          <cell r="C2191">
            <v>3237.96</v>
          </cell>
          <cell r="D2191">
            <v>1946.72</v>
          </cell>
        </row>
        <row r="2192">
          <cell r="A2192">
            <v>41865</v>
          </cell>
          <cell r="B2192">
            <v>3551.97</v>
          </cell>
          <cell r="C2192">
            <v>3252.15</v>
          </cell>
          <cell r="D2192">
            <v>1955.18</v>
          </cell>
        </row>
        <row r="2193">
          <cell r="A2193">
            <v>41866</v>
          </cell>
          <cell r="B2193">
            <v>3552.17</v>
          </cell>
          <cell r="C2193">
            <v>3252.22</v>
          </cell>
          <cell r="D2193">
            <v>1955.06</v>
          </cell>
        </row>
        <row r="2194">
          <cell r="A2194">
            <v>41869</v>
          </cell>
          <cell r="B2194">
            <v>3582.7</v>
          </cell>
          <cell r="C2194">
            <v>3280.11</v>
          </cell>
          <cell r="D2194">
            <v>1971.74</v>
          </cell>
        </row>
        <row r="2195">
          <cell r="A2195">
            <v>41870</v>
          </cell>
          <cell r="B2195">
            <v>3601.33</v>
          </cell>
          <cell r="C2195">
            <v>3296.97</v>
          </cell>
          <cell r="D2195">
            <v>1981.6</v>
          </cell>
        </row>
        <row r="2196">
          <cell r="A2196">
            <v>41871</v>
          </cell>
          <cell r="B2196">
            <v>3610.49</v>
          </cell>
          <cell r="C2196">
            <v>3305.29</v>
          </cell>
          <cell r="D2196">
            <v>1986.51</v>
          </cell>
        </row>
        <row r="2197">
          <cell r="A2197">
            <v>41872</v>
          </cell>
          <cell r="B2197">
            <v>3621.23</v>
          </cell>
          <cell r="C2197">
            <v>3315.09</v>
          </cell>
          <cell r="D2197">
            <v>1992.37</v>
          </cell>
        </row>
        <row r="2198">
          <cell r="A2198">
            <v>41873</v>
          </cell>
          <cell r="B2198">
            <v>3614.5</v>
          </cell>
          <cell r="C2198">
            <v>3308.8</v>
          </cell>
          <cell r="D2198">
            <v>1988.4</v>
          </cell>
        </row>
        <row r="2199">
          <cell r="A2199">
            <v>41876</v>
          </cell>
          <cell r="B2199">
            <v>3631.86</v>
          </cell>
          <cell r="C2199">
            <v>3324.68</v>
          </cell>
          <cell r="D2199">
            <v>1997.92</v>
          </cell>
        </row>
        <row r="2200">
          <cell r="A2200">
            <v>41877</v>
          </cell>
          <cell r="B2200">
            <v>3635.71</v>
          </cell>
          <cell r="C2200">
            <v>3328.19</v>
          </cell>
          <cell r="D2200">
            <v>2000.02</v>
          </cell>
        </row>
        <row r="2201">
          <cell r="A2201">
            <v>41878</v>
          </cell>
          <cell r="B2201">
            <v>3636.64</v>
          </cell>
          <cell r="C2201">
            <v>3328.84</v>
          </cell>
          <cell r="D2201">
            <v>2000.12</v>
          </cell>
        </row>
        <row r="2202">
          <cell r="A2202">
            <v>41879</v>
          </cell>
          <cell r="B2202">
            <v>3630.98</v>
          </cell>
          <cell r="C2202">
            <v>3323.53</v>
          </cell>
          <cell r="D2202">
            <v>1996.74</v>
          </cell>
        </row>
        <row r="2203">
          <cell r="A2203">
            <v>41880</v>
          </cell>
          <cell r="B2203">
            <v>3643.34</v>
          </cell>
          <cell r="C2203">
            <v>3334.75</v>
          </cell>
          <cell r="D2203">
            <v>2003.37</v>
          </cell>
        </row>
        <row r="2204">
          <cell r="A2204">
            <v>41884</v>
          </cell>
          <cell r="B2204">
            <v>3641.52</v>
          </cell>
          <cell r="C2204">
            <v>3333.05</v>
          </cell>
          <cell r="D2204">
            <v>2002.28</v>
          </cell>
        </row>
        <row r="2205">
          <cell r="A2205">
            <v>41885</v>
          </cell>
          <cell r="B2205">
            <v>3639.35</v>
          </cell>
          <cell r="C2205">
            <v>3330.88</v>
          </cell>
          <cell r="D2205">
            <v>2000.72</v>
          </cell>
        </row>
        <row r="2206">
          <cell r="A2206">
            <v>41886</v>
          </cell>
          <cell r="B2206">
            <v>3633.87</v>
          </cell>
          <cell r="C2206">
            <v>3325.83</v>
          </cell>
          <cell r="D2206">
            <v>1997.65</v>
          </cell>
        </row>
        <row r="2207">
          <cell r="A2207">
            <v>41887</v>
          </cell>
          <cell r="B2207">
            <v>3652.26</v>
          </cell>
          <cell r="C2207">
            <v>3342.64</v>
          </cell>
          <cell r="D2207">
            <v>2007.71</v>
          </cell>
        </row>
        <row r="2208">
          <cell r="A2208">
            <v>41890</v>
          </cell>
          <cell r="B2208">
            <v>3641.66</v>
          </cell>
          <cell r="C2208">
            <v>3332.77</v>
          </cell>
          <cell r="D2208">
            <v>2001.54</v>
          </cell>
        </row>
        <row r="2209">
          <cell r="A2209">
            <v>41891</v>
          </cell>
          <cell r="B2209">
            <v>3617.89</v>
          </cell>
          <cell r="C2209">
            <v>3310.99</v>
          </cell>
          <cell r="D2209">
            <v>1988.44</v>
          </cell>
        </row>
        <row r="2210">
          <cell r="A2210">
            <v>41892</v>
          </cell>
          <cell r="B2210">
            <v>3631.45</v>
          </cell>
          <cell r="C2210">
            <v>3323.3</v>
          </cell>
          <cell r="D2210">
            <v>1995.69</v>
          </cell>
        </row>
        <row r="2211">
          <cell r="A2211">
            <v>41893</v>
          </cell>
          <cell r="B2211">
            <v>3635.66</v>
          </cell>
          <cell r="C2211">
            <v>3326.87</v>
          </cell>
          <cell r="D2211">
            <v>1997.45</v>
          </cell>
        </row>
        <row r="2212">
          <cell r="A2212">
            <v>41894</v>
          </cell>
          <cell r="B2212">
            <v>3614.06</v>
          </cell>
          <cell r="C2212">
            <v>3307.09</v>
          </cell>
          <cell r="D2212">
            <v>1985.54</v>
          </cell>
        </row>
        <row r="2213">
          <cell r="A2213">
            <v>41897</v>
          </cell>
          <cell r="B2213">
            <v>3611.52</v>
          </cell>
          <cell r="C2213">
            <v>3304.76</v>
          </cell>
          <cell r="D2213">
            <v>1984.13</v>
          </cell>
        </row>
        <row r="2214">
          <cell r="A2214">
            <v>41898</v>
          </cell>
          <cell r="B2214">
            <v>3638.6</v>
          </cell>
          <cell r="C2214">
            <v>3329.52</v>
          </cell>
          <cell r="D2214">
            <v>1998.98</v>
          </cell>
        </row>
        <row r="2215">
          <cell r="A2215">
            <v>41899</v>
          </cell>
          <cell r="B2215">
            <v>3643.4</v>
          </cell>
          <cell r="C2215">
            <v>3333.89</v>
          </cell>
          <cell r="D2215">
            <v>2001.57</v>
          </cell>
        </row>
        <row r="2216">
          <cell r="A2216">
            <v>41900</v>
          </cell>
          <cell r="B2216">
            <v>3661.73</v>
          </cell>
          <cell r="C2216">
            <v>3350.53</v>
          </cell>
          <cell r="D2216">
            <v>2011.36</v>
          </cell>
        </row>
        <row r="2217">
          <cell r="A2217">
            <v>41901</v>
          </cell>
          <cell r="B2217">
            <v>3660.03</v>
          </cell>
          <cell r="C2217">
            <v>3348.96</v>
          </cell>
          <cell r="D2217">
            <v>2010.4</v>
          </cell>
        </row>
        <row r="2218">
          <cell r="A2218">
            <v>41904</v>
          </cell>
          <cell r="B2218">
            <v>3630.7</v>
          </cell>
          <cell r="C2218">
            <v>3322.12</v>
          </cell>
          <cell r="D2218">
            <v>1994.29</v>
          </cell>
        </row>
        <row r="2219">
          <cell r="A2219">
            <v>41905</v>
          </cell>
          <cell r="B2219">
            <v>3610.1</v>
          </cell>
          <cell r="C2219">
            <v>3303.17</v>
          </cell>
          <cell r="D2219">
            <v>1982.77</v>
          </cell>
        </row>
        <row r="2220">
          <cell r="A2220">
            <v>41906</v>
          </cell>
          <cell r="B2220">
            <v>3638.44</v>
          </cell>
          <cell r="C2220">
            <v>3329.09</v>
          </cell>
          <cell r="D2220">
            <v>1998.3</v>
          </cell>
        </row>
        <row r="2221">
          <cell r="A2221">
            <v>41907</v>
          </cell>
          <cell r="B2221">
            <v>3579.61</v>
          </cell>
          <cell r="C2221">
            <v>3275.26</v>
          </cell>
          <cell r="D2221">
            <v>1965.99</v>
          </cell>
        </row>
        <row r="2222">
          <cell r="A2222">
            <v>41908</v>
          </cell>
          <cell r="B2222">
            <v>3610.98</v>
          </cell>
          <cell r="C2222">
            <v>3303.77</v>
          </cell>
          <cell r="D2222">
            <v>1982.85</v>
          </cell>
        </row>
        <row r="2223">
          <cell r="A2223">
            <v>41911</v>
          </cell>
          <cell r="B2223">
            <v>3602.09</v>
          </cell>
          <cell r="C2223">
            <v>3295.56</v>
          </cell>
          <cell r="D2223">
            <v>1977.8</v>
          </cell>
        </row>
        <row r="2224">
          <cell r="A2224">
            <v>41912</v>
          </cell>
          <cell r="B2224">
            <v>3592.25</v>
          </cell>
          <cell r="C2224">
            <v>3286.5</v>
          </cell>
          <cell r="D2224">
            <v>1972.29</v>
          </cell>
        </row>
        <row r="2225">
          <cell r="A2225">
            <v>41913</v>
          </cell>
          <cell r="B2225">
            <v>3544.98</v>
          </cell>
          <cell r="C2225">
            <v>3243.16</v>
          </cell>
          <cell r="D2225">
            <v>1946.16</v>
          </cell>
        </row>
        <row r="2226">
          <cell r="A2226">
            <v>41914</v>
          </cell>
          <cell r="B2226">
            <v>3545.3</v>
          </cell>
          <cell r="C2226">
            <v>3243.37</v>
          </cell>
          <cell r="D2226">
            <v>1946.17</v>
          </cell>
        </row>
        <row r="2227">
          <cell r="A2227">
            <v>41915</v>
          </cell>
          <cell r="B2227">
            <v>3584.94</v>
          </cell>
          <cell r="C2227">
            <v>3279.62</v>
          </cell>
          <cell r="D2227">
            <v>1967.9</v>
          </cell>
        </row>
        <row r="2228">
          <cell r="A2228">
            <v>41918</v>
          </cell>
          <cell r="B2228">
            <v>3579.42</v>
          </cell>
          <cell r="C2228">
            <v>3274.55</v>
          </cell>
          <cell r="D2228">
            <v>1964.82</v>
          </cell>
        </row>
        <row r="2229">
          <cell r="A2229">
            <v>41919</v>
          </cell>
          <cell r="B2229">
            <v>3525.29</v>
          </cell>
          <cell r="C2229">
            <v>3225.03</v>
          </cell>
          <cell r="D2229">
            <v>1935.1</v>
          </cell>
        </row>
        <row r="2230">
          <cell r="A2230">
            <v>41920</v>
          </cell>
          <cell r="B2230">
            <v>3588.07</v>
          </cell>
          <cell r="C2230">
            <v>3282.12</v>
          </cell>
          <cell r="D2230">
            <v>1968.89</v>
          </cell>
        </row>
        <row r="2231">
          <cell r="A2231">
            <v>41921</v>
          </cell>
          <cell r="B2231">
            <v>3514.12</v>
          </cell>
          <cell r="C2231">
            <v>3214.43</v>
          </cell>
          <cell r="D2231">
            <v>1928.21</v>
          </cell>
        </row>
        <row r="2232">
          <cell r="A2232">
            <v>41922</v>
          </cell>
          <cell r="B2232">
            <v>3474.23</v>
          </cell>
          <cell r="C2232">
            <v>3177.85</v>
          </cell>
          <cell r="D2232">
            <v>1906.13</v>
          </cell>
        </row>
        <row r="2233">
          <cell r="A2233">
            <v>41925</v>
          </cell>
          <cell r="B2233">
            <v>3417.01</v>
          </cell>
          <cell r="C2233">
            <v>3125.51</v>
          </cell>
          <cell r="D2233">
            <v>1874.74</v>
          </cell>
        </row>
        <row r="2234">
          <cell r="A2234">
            <v>41926</v>
          </cell>
          <cell r="B2234">
            <v>3422.43</v>
          </cell>
          <cell r="C2234">
            <v>3130.46</v>
          </cell>
          <cell r="D2234">
            <v>1877.7</v>
          </cell>
        </row>
        <row r="2235">
          <cell r="A2235">
            <v>41927</v>
          </cell>
          <cell r="B2235">
            <v>3395.03</v>
          </cell>
          <cell r="C2235">
            <v>3105.31</v>
          </cell>
          <cell r="D2235">
            <v>1862.49</v>
          </cell>
        </row>
        <row r="2236">
          <cell r="A2236">
            <v>41928</v>
          </cell>
          <cell r="B2236">
            <v>3395.64</v>
          </cell>
          <cell r="C2236">
            <v>3105.83</v>
          </cell>
          <cell r="D2236">
            <v>1862.76</v>
          </cell>
        </row>
        <row r="2237">
          <cell r="A2237">
            <v>41929</v>
          </cell>
          <cell r="B2237">
            <v>3439.39</v>
          </cell>
          <cell r="C2237">
            <v>3145.85</v>
          </cell>
          <cell r="D2237">
            <v>1886.76</v>
          </cell>
        </row>
        <row r="2238">
          <cell r="A2238">
            <v>41932</v>
          </cell>
          <cell r="B2238">
            <v>3470.89</v>
          </cell>
          <cell r="C2238">
            <v>3174.65</v>
          </cell>
          <cell r="D2238">
            <v>1904.01</v>
          </cell>
        </row>
        <row r="2239">
          <cell r="A2239">
            <v>41933</v>
          </cell>
          <cell r="B2239">
            <v>3538.9</v>
          </cell>
          <cell r="C2239">
            <v>3236.83</v>
          </cell>
          <cell r="D2239">
            <v>1941.28</v>
          </cell>
        </row>
        <row r="2240">
          <cell r="A2240">
            <v>41934</v>
          </cell>
          <cell r="B2240">
            <v>3513.47</v>
          </cell>
          <cell r="C2240">
            <v>3213.46</v>
          </cell>
          <cell r="D2240">
            <v>1927.11</v>
          </cell>
        </row>
        <row r="2241">
          <cell r="A2241">
            <v>41935</v>
          </cell>
          <cell r="B2241">
            <v>3556.7</v>
          </cell>
          <cell r="C2241">
            <v>3253</v>
          </cell>
          <cell r="D2241">
            <v>1950.82</v>
          </cell>
        </row>
        <row r="2242">
          <cell r="A2242">
            <v>41936</v>
          </cell>
          <cell r="B2242">
            <v>3581.82</v>
          </cell>
          <cell r="C2242">
            <v>3275.97</v>
          </cell>
          <cell r="D2242">
            <v>1964.58</v>
          </cell>
        </row>
        <row r="2243">
          <cell r="A2243">
            <v>41939</v>
          </cell>
          <cell r="B2243">
            <v>3576.47</v>
          </cell>
          <cell r="C2243">
            <v>3271.07</v>
          </cell>
          <cell r="D2243">
            <v>1961.63</v>
          </cell>
        </row>
        <row r="2244">
          <cell r="A2244">
            <v>41940</v>
          </cell>
          <cell r="B2244">
            <v>3619.16</v>
          </cell>
          <cell r="C2244">
            <v>3310.11</v>
          </cell>
          <cell r="D2244">
            <v>1985.05</v>
          </cell>
        </row>
        <row r="2245">
          <cell r="A2245">
            <v>41941</v>
          </cell>
          <cell r="B2245">
            <v>3614.53</v>
          </cell>
          <cell r="C2245">
            <v>3305.77</v>
          </cell>
          <cell r="D2245">
            <v>1982.3</v>
          </cell>
        </row>
        <row r="2246">
          <cell r="A2246">
            <v>41942</v>
          </cell>
          <cell r="B2246">
            <v>3637.3</v>
          </cell>
          <cell r="C2246">
            <v>3326.53</v>
          </cell>
          <cell r="D2246">
            <v>1994.65</v>
          </cell>
        </row>
        <row r="2247">
          <cell r="A2247">
            <v>41943</v>
          </cell>
          <cell r="B2247">
            <v>3679.99</v>
          </cell>
          <cell r="C2247">
            <v>3365.57</v>
          </cell>
          <cell r="D2247">
            <v>2018.05</v>
          </cell>
        </row>
        <row r="2248">
          <cell r="A2248">
            <v>41946</v>
          </cell>
          <cell r="B2248">
            <v>3679.58</v>
          </cell>
          <cell r="C2248">
            <v>3365.18</v>
          </cell>
          <cell r="D2248">
            <v>2017.81</v>
          </cell>
        </row>
        <row r="2249">
          <cell r="A2249">
            <v>41947</v>
          </cell>
          <cell r="B2249">
            <v>3669.18</v>
          </cell>
          <cell r="C2249">
            <v>3355.67</v>
          </cell>
          <cell r="D2249">
            <v>2012.1</v>
          </cell>
        </row>
        <row r="2250">
          <cell r="A2250">
            <v>41948</v>
          </cell>
          <cell r="B2250">
            <v>3691.38</v>
          </cell>
          <cell r="C2250">
            <v>3375.62</v>
          </cell>
          <cell r="D2250">
            <v>2023.57</v>
          </cell>
        </row>
        <row r="2251">
          <cell r="A2251">
            <v>41949</v>
          </cell>
          <cell r="B2251">
            <v>3706.45</v>
          </cell>
          <cell r="C2251">
            <v>3389.09</v>
          </cell>
          <cell r="D2251">
            <v>2031.21</v>
          </cell>
        </row>
        <row r="2252">
          <cell r="A2252">
            <v>41950</v>
          </cell>
          <cell r="B2252">
            <v>3708.46</v>
          </cell>
          <cell r="C2252">
            <v>3390.73</v>
          </cell>
          <cell r="D2252">
            <v>2031.92</v>
          </cell>
        </row>
        <row r="2253">
          <cell r="A2253">
            <v>41953</v>
          </cell>
          <cell r="B2253">
            <v>3720.25</v>
          </cell>
          <cell r="C2253">
            <v>3401.45</v>
          </cell>
          <cell r="D2253">
            <v>2038.26</v>
          </cell>
        </row>
        <row r="2254">
          <cell r="A2254">
            <v>41954</v>
          </cell>
          <cell r="B2254">
            <v>3722.84</v>
          </cell>
          <cell r="C2254">
            <v>3403.82</v>
          </cell>
          <cell r="D2254">
            <v>2039.68</v>
          </cell>
        </row>
        <row r="2255">
          <cell r="A2255">
            <v>41955</v>
          </cell>
          <cell r="B2255">
            <v>3721.3</v>
          </cell>
          <cell r="C2255">
            <v>3402.12</v>
          </cell>
          <cell r="D2255">
            <v>2038.25</v>
          </cell>
        </row>
        <row r="2256">
          <cell r="A2256">
            <v>41956</v>
          </cell>
          <cell r="B2256">
            <v>3723.58</v>
          </cell>
          <cell r="C2256">
            <v>3404.12</v>
          </cell>
          <cell r="D2256">
            <v>2039.33</v>
          </cell>
        </row>
        <row r="2257">
          <cell r="A2257">
            <v>41957</v>
          </cell>
          <cell r="B2257">
            <v>3724.92</v>
          </cell>
          <cell r="C2257">
            <v>3405.22</v>
          </cell>
          <cell r="D2257">
            <v>2039.82</v>
          </cell>
        </row>
        <row r="2258">
          <cell r="A2258">
            <v>41960</v>
          </cell>
          <cell r="B2258">
            <v>3727.86</v>
          </cell>
          <cell r="C2258">
            <v>3407.85</v>
          </cell>
          <cell r="D2258">
            <v>2041.32</v>
          </cell>
        </row>
        <row r="2259">
          <cell r="A2259">
            <v>41961</v>
          </cell>
          <cell r="B2259">
            <v>3747.74</v>
          </cell>
          <cell r="C2259">
            <v>3425.82</v>
          </cell>
          <cell r="D2259">
            <v>2051.8000000000002</v>
          </cell>
        </row>
        <row r="2260">
          <cell r="A2260">
            <v>41962</v>
          </cell>
          <cell r="B2260">
            <v>3742.35</v>
          </cell>
          <cell r="C2260">
            <v>3420.83</v>
          </cell>
          <cell r="D2260">
            <v>2048.7199999999998</v>
          </cell>
        </row>
        <row r="2261">
          <cell r="A2261">
            <v>41963</v>
          </cell>
          <cell r="B2261">
            <v>3749.87</v>
          </cell>
          <cell r="C2261">
            <v>3427.66</v>
          </cell>
          <cell r="D2261">
            <v>2052.75</v>
          </cell>
        </row>
        <row r="2262">
          <cell r="A2262">
            <v>41964</v>
          </cell>
          <cell r="B2262">
            <v>3770.03</v>
          </cell>
          <cell r="C2262">
            <v>3445.95</v>
          </cell>
          <cell r="D2262">
            <v>2063.5</v>
          </cell>
        </row>
        <row r="2263">
          <cell r="A2263">
            <v>41967</v>
          </cell>
          <cell r="B2263">
            <v>3780.88</v>
          </cell>
          <cell r="C2263">
            <v>3455.85</v>
          </cell>
          <cell r="D2263">
            <v>2069.41</v>
          </cell>
        </row>
        <row r="2264">
          <cell r="A2264">
            <v>41968</v>
          </cell>
          <cell r="B2264">
            <v>3776.94</v>
          </cell>
          <cell r="C2264">
            <v>3452.14</v>
          </cell>
          <cell r="D2264">
            <v>2067.0300000000002</v>
          </cell>
        </row>
        <row r="2265">
          <cell r="A2265">
            <v>41969</v>
          </cell>
          <cell r="B2265">
            <v>3788.42</v>
          </cell>
          <cell r="C2265">
            <v>3462.38</v>
          </cell>
          <cell r="D2265">
            <v>2072.83</v>
          </cell>
        </row>
        <row r="2266">
          <cell r="A2266">
            <v>41971</v>
          </cell>
          <cell r="B2266">
            <v>3778.96</v>
          </cell>
          <cell r="C2266">
            <v>3453.7</v>
          </cell>
          <cell r="D2266">
            <v>2067.56</v>
          </cell>
        </row>
        <row r="2267">
          <cell r="A2267">
            <v>41974</v>
          </cell>
          <cell r="B2267">
            <v>3753.31</v>
          </cell>
          <cell r="C2267">
            <v>3430.21</v>
          </cell>
          <cell r="D2267">
            <v>2053.44</v>
          </cell>
        </row>
        <row r="2268">
          <cell r="A2268">
            <v>41975</v>
          </cell>
          <cell r="B2268">
            <v>3777.47</v>
          </cell>
          <cell r="C2268">
            <v>3452.23</v>
          </cell>
          <cell r="D2268">
            <v>2066.5500000000002</v>
          </cell>
        </row>
        <row r="2269">
          <cell r="A2269">
            <v>41976</v>
          </cell>
          <cell r="B2269">
            <v>3792.69</v>
          </cell>
          <cell r="C2269">
            <v>3465.87</v>
          </cell>
          <cell r="D2269">
            <v>2074.33</v>
          </cell>
        </row>
        <row r="2270">
          <cell r="A2270">
            <v>41977</v>
          </cell>
          <cell r="B2270">
            <v>3788.34</v>
          </cell>
          <cell r="C2270">
            <v>3461.88</v>
          </cell>
          <cell r="D2270">
            <v>2071.92</v>
          </cell>
        </row>
        <row r="2271">
          <cell r="A2271">
            <v>41978</v>
          </cell>
          <cell r="B2271">
            <v>3794.68</v>
          </cell>
          <cell r="C2271">
            <v>3467.66</v>
          </cell>
          <cell r="D2271">
            <v>2075.37</v>
          </cell>
        </row>
        <row r="2272">
          <cell r="A2272">
            <v>41981</v>
          </cell>
          <cell r="B2272">
            <v>3767.7</v>
          </cell>
          <cell r="C2272">
            <v>3442.86</v>
          </cell>
          <cell r="D2272">
            <v>2060.31</v>
          </cell>
        </row>
        <row r="2273">
          <cell r="A2273">
            <v>41982</v>
          </cell>
          <cell r="B2273">
            <v>3766.83</v>
          </cell>
          <cell r="C2273">
            <v>3442.06</v>
          </cell>
          <cell r="D2273">
            <v>2059.8200000000002</v>
          </cell>
        </row>
        <row r="2274">
          <cell r="A2274">
            <v>41983</v>
          </cell>
          <cell r="B2274">
            <v>3705.51</v>
          </cell>
          <cell r="C2274">
            <v>3385.95</v>
          </cell>
          <cell r="D2274">
            <v>2026.14</v>
          </cell>
        </row>
        <row r="2275">
          <cell r="A2275">
            <v>41984</v>
          </cell>
          <cell r="B2275">
            <v>3723.32</v>
          </cell>
          <cell r="C2275">
            <v>3401.94</v>
          </cell>
          <cell r="D2275">
            <v>2035.33</v>
          </cell>
        </row>
        <row r="2276">
          <cell r="A2276">
            <v>41985</v>
          </cell>
          <cell r="B2276">
            <v>3663.1</v>
          </cell>
          <cell r="C2276">
            <v>3346.89</v>
          </cell>
          <cell r="D2276">
            <v>2002.33</v>
          </cell>
        </row>
        <row r="2277">
          <cell r="A2277">
            <v>41988</v>
          </cell>
          <cell r="B2277">
            <v>3639.97</v>
          </cell>
          <cell r="C2277">
            <v>3325.72</v>
          </cell>
          <cell r="D2277">
            <v>1989.63</v>
          </cell>
        </row>
        <row r="2278">
          <cell r="A2278">
            <v>41989</v>
          </cell>
          <cell r="B2278">
            <v>3609.06</v>
          </cell>
          <cell r="C2278">
            <v>3297.48</v>
          </cell>
          <cell r="D2278">
            <v>1972.74</v>
          </cell>
        </row>
        <row r="2279">
          <cell r="A2279">
            <v>41990</v>
          </cell>
          <cell r="B2279">
            <v>3682.7</v>
          </cell>
          <cell r="C2279">
            <v>3364.71</v>
          </cell>
          <cell r="D2279">
            <v>2012.89</v>
          </cell>
        </row>
        <row r="2280">
          <cell r="A2280">
            <v>41991</v>
          </cell>
          <cell r="B2280">
            <v>3771.72</v>
          </cell>
          <cell r="C2280">
            <v>3445.89</v>
          </cell>
          <cell r="D2280">
            <v>2061.23</v>
          </cell>
        </row>
        <row r="2281">
          <cell r="A2281">
            <v>41992</v>
          </cell>
          <cell r="B2281">
            <v>3788.97</v>
          </cell>
          <cell r="C2281">
            <v>3461.65</v>
          </cell>
          <cell r="D2281">
            <v>2070.65</v>
          </cell>
        </row>
        <row r="2282">
          <cell r="A2282">
            <v>41995</v>
          </cell>
          <cell r="B2282">
            <v>3803.94</v>
          </cell>
          <cell r="C2282">
            <v>3475.18</v>
          </cell>
          <cell r="D2282">
            <v>2078.54</v>
          </cell>
        </row>
        <row r="2283">
          <cell r="A2283">
            <v>41996</v>
          </cell>
          <cell r="B2283">
            <v>3810.78</v>
          </cell>
          <cell r="C2283">
            <v>3481.37</v>
          </cell>
          <cell r="D2283">
            <v>2082.17</v>
          </cell>
        </row>
        <row r="2284">
          <cell r="A2284">
            <v>41997</v>
          </cell>
          <cell r="B2284">
            <v>3810.39</v>
          </cell>
          <cell r="C2284">
            <v>3480.98</v>
          </cell>
          <cell r="D2284">
            <v>2081.88</v>
          </cell>
        </row>
        <row r="2285">
          <cell r="A2285">
            <v>41999</v>
          </cell>
          <cell r="B2285">
            <v>3823</v>
          </cell>
          <cell r="C2285">
            <v>3492.5</v>
          </cell>
          <cell r="D2285">
            <v>2088.77</v>
          </cell>
        </row>
        <row r="2286">
          <cell r="A2286">
            <v>42002</v>
          </cell>
          <cell r="B2286">
            <v>3826.95</v>
          </cell>
          <cell r="C2286">
            <v>3495.93</v>
          </cell>
          <cell r="D2286">
            <v>2090.5700000000002</v>
          </cell>
        </row>
        <row r="2287">
          <cell r="A2287">
            <v>42003</v>
          </cell>
          <cell r="B2287">
            <v>3808.69</v>
          </cell>
          <cell r="C2287">
            <v>3479.12</v>
          </cell>
          <cell r="D2287">
            <v>2080.35</v>
          </cell>
        </row>
        <row r="2288">
          <cell r="A2288">
            <v>42004</v>
          </cell>
          <cell r="B2288">
            <v>3769.44</v>
          </cell>
          <cell r="C2288">
            <v>3443.26</v>
          </cell>
          <cell r="D2288">
            <v>2058.9</v>
          </cell>
        </row>
        <row r="2289">
          <cell r="A2289">
            <v>42006</v>
          </cell>
          <cell r="B2289">
            <v>3768.68</v>
          </cell>
          <cell r="C2289">
            <v>3442.43</v>
          </cell>
          <cell r="D2289">
            <v>2058.1999999999998</v>
          </cell>
        </row>
        <row r="2290">
          <cell r="A2290">
            <v>42009</v>
          </cell>
          <cell r="B2290">
            <v>3700.03</v>
          </cell>
          <cell r="C2290">
            <v>3379.66</v>
          </cell>
          <cell r="D2290">
            <v>2020.58</v>
          </cell>
        </row>
        <row r="2291">
          <cell r="A2291">
            <v>42010</v>
          </cell>
          <cell r="B2291">
            <v>3667.14</v>
          </cell>
          <cell r="C2291">
            <v>3349.61</v>
          </cell>
          <cell r="D2291">
            <v>2002.61</v>
          </cell>
        </row>
        <row r="2292">
          <cell r="A2292">
            <v>42011</v>
          </cell>
          <cell r="B2292">
            <v>3710.94</v>
          </cell>
          <cell r="C2292">
            <v>3389.3</v>
          </cell>
          <cell r="D2292">
            <v>2025.9</v>
          </cell>
        </row>
        <row r="2293">
          <cell r="A2293">
            <v>42012</v>
          </cell>
          <cell r="B2293">
            <v>3777.4</v>
          </cell>
          <cell r="C2293">
            <v>3449.98</v>
          </cell>
          <cell r="D2293">
            <v>2062.14</v>
          </cell>
        </row>
        <row r="2294">
          <cell r="A2294">
            <v>42013</v>
          </cell>
          <cell r="B2294">
            <v>3745.67</v>
          </cell>
          <cell r="C2294">
            <v>3420.99</v>
          </cell>
          <cell r="D2294">
            <v>2044.81</v>
          </cell>
        </row>
        <row r="2295">
          <cell r="A2295">
            <v>42016</v>
          </cell>
          <cell r="B2295">
            <v>3715.36</v>
          </cell>
          <cell r="C2295">
            <v>3393.31</v>
          </cell>
          <cell r="D2295">
            <v>2028.26</v>
          </cell>
        </row>
        <row r="2296">
          <cell r="A2296">
            <v>42017</v>
          </cell>
          <cell r="B2296">
            <v>3706.15</v>
          </cell>
          <cell r="C2296">
            <v>3384.8</v>
          </cell>
          <cell r="D2296">
            <v>2023.03</v>
          </cell>
        </row>
        <row r="2297">
          <cell r="A2297">
            <v>42018</v>
          </cell>
          <cell r="B2297">
            <v>3684.72</v>
          </cell>
          <cell r="C2297">
            <v>3365.2</v>
          </cell>
          <cell r="D2297">
            <v>2011.27</v>
          </cell>
        </row>
        <row r="2298">
          <cell r="A2298">
            <v>42019</v>
          </cell>
          <cell r="B2298">
            <v>3650.74</v>
          </cell>
          <cell r="C2298">
            <v>3334.13</v>
          </cell>
          <cell r="D2298">
            <v>1992.67</v>
          </cell>
        </row>
        <row r="2299">
          <cell r="A2299">
            <v>42020</v>
          </cell>
          <cell r="B2299">
            <v>3699.79</v>
          </cell>
          <cell r="C2299">
            <v>3378.92</v>
          </cell>
          <cell r="D2299">
            <v>2019.42</v>
          </cell>
        </row>
        <row r="2300">
          <cell r="A2300">
            <v>42024</v>
          </cell>
          <cell r="B2300">
            <v>3705.64</v>
          </cell>
          <cell r="C2300">
            <v>3384.23</v>
          </cell>
          <cell r="D2300">
            <v>2022.55</v>
          </cell>
        </row>
        <row r="2301">
          <cell r="A2301">
            <v>42025</v>
          </cell>
          <cell r="B2301">
            <v>3723.62</v>
          </cell>
          <cell r="C2301">
            <v>3400.53</v>
          </cell>
          <cell r="D2301">
            <v>2032.12</v>
          </cell>
        </row>
        <row r="2302">
          <cell r="A2302">
            <v>42026</v>
          </cell>
          <cell r="B2302">
            <v>3780.51</v>
          </cell>
          <cell r="C2302">
            <v>3452.47</v>
          </cell>
          <cell r="D2302">
            <v>2063.15</v>
          </cell>
        </row>
        <row r="2303">
          <cell r="A2303">
            <v>42027</v>
          </cell>
          <cell r="B2303">
            <v>3759.76</v>
          </cell>
          <cell r="C2303">
            <v>3433.52</v>
          </cell>
          <cell r="D2303">
            <v>2051.8200000000002</v>
          </cell>
        </row>
        <row r="2304">
          <cell r="A2304">
            <v>42030</v>
          </cell>
          <cell r="B2304">
            <v>3769.45</v>
          </cell>
          <cell r="C2304">
            <v>3442.36</v>
          </cell>
          <cell r="D2304">
            <v>2057.09</v>
          </cell>
        </row>
        <row r="2305">
          <cell r="A2305">
            <v>42031</v>
          </cell>
          <cell r="B2305">
            <v>3718.99</v>
          </cell>
          <cell r="C2305">
            <v>3396.28</v>
          </cell>
          <cell r="D2305">
            <v>2029.55</v>
          </cell>
        </row>
        <row r="2306">
          <cell r="A2306">
            <v>42032</v>
          </cell>
          <cell r="B2306">
            <v>3669.1</v>
          </cell>
          <cell r="C2306">
            <v>3350.64</v>
          </cell>
          <cell r="D2306">
            <v>2002.16</v>
          </cell>
        </row>
        <row r="2307">
          <cell r="A2307">
            <v>42033</v>
          </cell>
          <cell r="B2307">
            <v>3704.35</v>
          </cell>
          <cell r="C2307">
            <v>3382.75</v>
          </cell>
          <cell r="D2307">
            <v>2021.25</v>
          </cell>
        </row>
        <row r="2308">
          <cell r="A2308">
            <v>42034</v>
          </cell>
          <cell r="B2308">
            <v>3656.28</v>
          </cell>
          <cell r="C2308">
            <v>3338.84</v>
          </cell>
          <cell r="D2308">
            <v>1994.99</v>
          </cell>
        </row>
        <row r="2309">
          <cell r="A2309">
            <v>42037</v>
          </cell>
          <cell r="B2309">
            <v>3703.77</v>
          </cell>
          <cell r="C2309">
            <v>3382.18</v>
          </cell>
          <cell r="D2309">
            <v>2020.85</v>
          </cell>
        </row>
        <row r="2310">
          <cell r="A2310">
            <v>42038</v>
          </cell>
          <cell r="B2310">
            <v>3757.34</v>
          </cell>
          <cell r="C2310">
            <v>3431.07</v>
          </cell>
          <cell r="D2310">
            <v>2050.0300000000002</v>
          </cell>
        </row>
        <row r="2311">
          <cell r="A2311">
            <v>42039</v>
          </cell>
          <cell r="B2311">
            <v>3742.84</v>
          </cell>
          <cell r="C2311">
            <v>3417.53</v>
          </cell>
          <cell r="D2311">
            <v>2041.51</v>
          </cell>
        </row>
        <row r="2312">
          <cell r="A2312">
            <v>42040</v>
          </cell>
          <cell r="B2312">
            <v>3782.11</v>
          </cell>
          <cell r="C2312">
            <v>3453.18</v>
          </cell>
          <cell r="D2312">
            <v>2062.52</v>
          </cell>
        </row>
        <row r="2313">
          <cell r="A2313">
            <v>42041</v>
          </cell>
          <cell r="B2313">
            <v>3770.2</v>
          </cell>
          <cell r="C2313">
            <v>3442.03</v>
          </cell>
          <cell r="D2313">
            <v>2055.4699999999998</v>
          </cell>
        </row>
        <row r="2314">
          <cell r="A2314">
            <v>42044</v>
          </cell>
          <cell r="B2314">
            <v>3754.36</v>
          </cell>
          <cell r="C2314">
            <v>3427.52</v>
          </cell>
          <cell r="D2314">
            <v>2046.74</v>
          </cell>
        </row>
        <row r="2315">
          <cell r="A2315">
            <v>42045</v>
          </cell>
          <cell r="B2315">
            <v>3794.62</v>
          </cell>
          <cell r="C2315">
            <v>3464.23</v>
          </cell>
          <cell r="D2315">
            <v>2068.59</v>
          </cell>
        </row>
        <row r="2316">
          <cell r="A2316">
            <v>42046</v>
          </cell>
          <cell r="B2316">
            <v>3795.82</v>
          </cell>
          <cell r="C2316">
            <v>3464.96</v>
          </cell>
          <cell r="D2316">
            <v>2068.5300000000002</v>
          </cell>
        </row>
        <row r="2317">
          <cell r="A2317">
            <v>42047</v>
          </cell>
          <cell r="B2317">
            <v>3833.35</v>
          </cell>
          <cell r="C2317">
            <v>3498.97</v>
          </cell>
          <cell r="D2317">
            <v>2088.48</v>
          </cell>
        </row>
        <row r="2318">
          <cell r="A2318">
            <v>42048</v>
          </cell>
          <cell r="B2318">
            <v>3849.29</v>
          </cell>
          <cell r="C2318">
            <v>3513.43</v>
          </cell>
          <cell r="D2318">
            <v>2096.9899999999998</v>
          </cell>
        </row>
        <row r="2319">
          <cell r="A2319">
            <v>42052</v>
          </cell>
          <cell r="B2319">
            <v>3856.04</v>
          </cell>
          <cell r="C2319">
            <v>3519.43</v>
          </cell>
          <cell r="D2319">
            <v>2100.34</v>
          </cell>
        </row>
        <row r="2320">
          <cell r="A2320">
            <v>42053</v>
          </cell>
          <cell r="B2320">
            <v>3855</v>
          </cell>
          <cell r="C2320">
            <v>3518.43</v>
          </cell>
          <cell r="D2320">
            <v>2099.6799999999998</v>
          </cell>
        </row>
        <row r="2321">
          <cell r="A2321">
            <v>42054</v>
          </cell>
          <cell r="B2321">
            <v>3851.53</v>
          </cell>
          <cell r="C2321">
            <v>3515.09</v>
          </cell>
          <cell r="D2321">
            <v>2097.4499999999998</v>
          </cell>
        </row>
        <row r="2322">
          <cell r="A2322">
            <v>42055</v>
          </cell>
          <cell r="B2322">
            <v>3875.6</v>
          </cell>
          <cell r="C2322">
            <v>3536.93</v>
          </cell>
          <cell r="D2322">
            <v>2110.3000000000002</v>
          </cell>
        </row>
        <row r="2323">
          <cell r="A2323">
            <v>42058</v>
          </cell>
          <cell r="B2323">
            <v>3874.46</v>
          </cell>
          <cell r="C2323">
            <v>3535.88</v>
          </cell>
          <cell r="D2323">
            <v>2109.66</v>
          </cell>
        </row>
        <row r="2324">
          <cell r="A2324">
            <v>42059</v>
          </cell>
          <cell r="B2324">
            <v>3885.27</v>
          </cell>
          <cell r="C2324">
            <v>3545.72</v>
          </cell>
          <cell r="D2324">
            <v>2115.48</v>
          </cell>
        </row>
        <row r="2325">
          <cell r="A2325">
            <v>42060</v>
          </cell>
          <cell r="B2325">
            <v>3882.95</v>
          </cell>
          <cell r="C2325">
            <v>3543.41</v>
          </cell>
          <cell r="D2325">
            <v>2113.86</v>
          </cell>
        </row>
        <row r="2326">
          <cell r="A2326">
            <v>42061</v>
          </cell>
          <cell r="B2326">
            <v>3877.85</v>
          </cell>
          <cell r="C2326">
            <v>3538.59</v>
          </cell>
          <cell r="D2326">
            <v>2110.7399999999998</v>
          </cell>
        </row>
        <row r="2327">
          <cell r="A2327">
            <v>42062</v>
          </cell>
          <cell r="B2327">
            <v>3866.42</v>
          </cell>
          <cell r="C2327">
            <v>3528.15</v>
          </cell>
          <cell r="D2327">
            <v>2104.5</v>
          </cell>
        </row>
        <row r="2328">
          <cell r="A2328">
            <v>42065</v>
          </cell>
          <cell r="B2328">
            <v>3890.32</v>
          </cell>
          <cell r="C2328">
            <v>3549.9</v>
          </cell>
          <cell r="D2328">
            <v>2117.39</v>
          </cell>
        </row>
        <row r="2329">
          <cell r="A2329">
            <v>42066</v>
          </cell>
          <cell r="B2329">
            <v>3872.71</v>
          </cell>
          <cell r="C2329">
            <v>3533.82</v>
          </cell>
          <cell r="D2329">
            <v>2107.7800000000002</v>
          </cell>
        </row>
        <row r="2330">
          <cell r="A2330">
            <v>42067</v>
          </cell>
          <cell r="B2330">
            <v>3856.51</v>
          </cell>
          <cell r="C2330">
            <v>3518.82</v>
          </cell>
          <cell r="D2330">
            <v>2098.5300000000002</v>
          </cell>
        </row>
        <row r="2331">
          <cell r="A2331">
            <v>42068</v>
          </cell>
          <cell r="B2331">
            <v>3861.29</v>
          </cell>
          <cell r="C2331">
            <v>3523.13</v>
          </cell>
          <cell r="D2331">
            <v>2101.04</v>
          </cell>
        </row>
        <row r="2332">
          <cell r="A2332">
            <v>42069</v>
          </cell>
          <cell r="B2332">
            <v>3807.04</v>
          </cell>
          <cell r="C2332">
            <v>3473.5</v>
          </cell>
          <cell r="D2332">
            <v>2071.2600000000002</v>
          </cell>
        </row>
        <row r="2333">
          <cell r="A2333">
            <v>42072</v>
          </cell>
          <cell r="B2333">
            <v>3822.42</v>
          </cell>
          <cell r="C2333">
            <v>3487.43</v>
          </cell>
          <cell r="D2333">
            <v>2079.4299999999998</v>
          </cell>
        </row>
        <row r="2334">
          <cell r="A2334">
            <v>42073</v>
          </cell>
          <cell r="B2334">
            <v>3757.83</v>
          </cell>
          <cell r="C2334">
            <v>3428.44</v>
          </cell>
          <cell r="D2334">
            <v>2044.16</v>
          </cell>
        </row>
        <row r="2335">
          <cell r="A2335">
            <v>42074</v>
          </cell>
          <cell r="B2335">
            <v>3751.2</v>
          </cell>
          <cell r="C2335">
            <v>3422.23</v>
          </cell>
          <cell r="D2335">
            <v>2040.24</v>
          </cell>
        </row>
        <row r="2336">
          <cell r="A2336">
            <v>42075</v>
          </cell>
          <cell r="B2336">
            <v>3799.43</v>
          </cell>
          <cell r="C2336">
            <v>3465.97</v>
          </cell>
          <cell r="D2336">
            <v>2065.9499999999998</v>
          </cell>
        </row>
        <row r="2337">
          <cell r="A2337">
            <v>42076</v>
          </cell>
          <cell r="B2337">
            <v>3776.44</v>
          </cell>
          <cell r="C2337">
            <v>3444.97</v>
          </cell>
          <cell r="D2337">
            <v>2053.4</v>
          </cell>
        </row>
        <row r="2338">
          <cell r="A2338">
            <v>42079</v>
          </cell>
          <cell r="B2338">
            <v>3827.62</v>
          </cell>
          <cell r="C2338">
            <v>3491.64</v>
          </cell>
          <cell r="D2338">
            <v>2081.19</v>
          </cell>
        </row>
        <row r="2339">
          <cell r="A2339">
            <v>42080</v>
          </cell>
          <cell r="B2339">
            <v>3814.91</v>
          </cell>
          <cell r="C2339">
            <v>3480.05</v>
          </cell>
          <cell r="D2339">
            <v>2074.2800000000002</v>
          </cell>
        </row>
        <row r="2340">
          <cell r="A2340">
            <v>42081</v>
          </cell>
          <cell r="B2340">
            <v>3861.39</v>
          </cell>
          <cell r="C2340">
            <v>3522.42</v>
          </cell>
          <cell r="D2340">
            <v>2099.5</v>
          </cell>
        </row>
        <row r="2341">
          <cell r="A2341">
            <v>42082</v>
          </cell>
          <cell r="B2341">
            <v>3842.62</v>
          </cell>
          <cell r="C2341">
            <v>3505.29</v>
          </cell>
          <cell r="D2341">
            <v>2089.27</v>
          </cell>
        </row>
        <row r="2342">
          <cell r="A2342">
            <v>42083</v>
          </cell>
          <cell r="B2342">
            <v>3877.26</v>
          </cell>
          <cell r="C2342">
            <v>3536.88</v>
          </cell>
          <cell r="D2342">
            <v>2108.1</v>
          </cell>
        </row>
        <row r="2343">
          <cell r="A2343">
            <v>42086</v>
          </cell>
          <cell r="B2343">
            <v>3870.49</v>
          </cell>
          <cell r="C2343">
            <v>3530.71</v>
          </cell>
          <cell r="D2343">
            <v>2104.42</v>
          </cell>
        </row>
        <row r="2344">
          <cell r="A2344">
            <v>42087</v>
          </cell>
          <cell r="B2344">
            <v>3847.05</v>
          </cell>
          <cell r="C2344">
            <v>3509.24</v>
          </cell>
          <cell r="D2344">
            <v>2091.5</v>
          </cell>
        </row>
        <row r="2345">
          <cell r="A2345">
            <v>42088</v>
          </cell>
          <cell r="B2345">
            <v>3791.13</v>
          </cell>
          <cell r="C2345">
            <v>3458.2</v>
          </cell>
          <cell r="D2345">
            <v>2061.0500000000002</v>
          </cell>
        </row>
        <row r="2346">
          <cell r="A2346">
            <v>42089</v>
          </cell>
          <cell r="B2346">
            <v>3782.21</v>
          </cell>
          <cell r="C2346">
            <v>3450.04</v>
          </cell>
          <cell r="D2346">
            <v>2056.15</v>
          </cell>
        </row>
        <row r="2347">
          <cell r="A2347">
            <v>42090</v>
          </cell>
          <cell r="B2347">
            <v>3791.9</v>
          </cell>
          <cell r="C2347">
            <v>3458.68</v>
          </cell>
          <cell r="D2347">
            <v>2061.02</v>
          </cell>
        </row>
        <row r="2348">
          <cell r="A2348">
            <v>42093</v>
          </cell>
          <cell r="B2348">
            <v>3838.65</v>
          </cell>
          <cell r="C2348">
            <v>3501.23</v>
          </cell>
          <cell r="D2348">
            <v>2086.2399999999998</v>
          </cell>
        </row>
        <row r="2349">
          <cell r="A2349">
            <v>42094</v>
          </cell>
          <cell r="B2349">
            <v>3805.27</v>
          </cell>
          <cell r="C2349">
            <v>3470.67</v>
          </cell>
          <cell r="D2349">
            <v>2067.89</v>
          </cell>
        </row>
        <row r="2350">
          <cell r="A2350">
            <v>42095</v>
          </cell>
          <cell r="B2350">
            <v>3790.66</v>
          </cell>
          <cell r="C2350">
            <v>3457.22</v>
          </cell>
          <cell r="D2350">
            <v>2059.69</v>
          </cell>
        </row>
        <row r="2351">
          <cell r="A2351">
            <v>42096</v>
          </cell>
          <cell r="B2351">
            <v>3804.14</v>
          </cell>
          <cell r="C2351">
            <v>3469.49</v>
          </cell>
          <cell r="D2351">
            <v>2066.96</v>
          </cell>
        </row>
        <row r="2352">
          <cell r="A2352">
            <v>42100</v>
          </cell>
          <cell r="B2352">
            <v>3829.31</v>
          </cell>
          <cell r="C2352">
            <v>3492.43</v>
          </cell>
          <cell r="D2352">
            <v>2080.62</v>
          </cell>
        </row>
        <row r="2353">
          <cell r="A2353">
            <v>42101</v>
          </cell>
          <cell r="B2353">
            <v>3821.49</v>
          </cell>
          <cell r="C2353">
            <v>3485.28</v>
          </cell>
          <cell r="D2353">
            <v>2076.33</v>
          </cell>
        </row>
        <row r="2354">
          <cell r="A2354">
            <v>42102</v>
          </cell>
          <cell r="B2354">
            <v>3833.2</v>
          </cell>
          <cell r="C2354">
            <v>3495.56</v>
          </cell>
          <cell r="D2354">
            <v>2081.9</v>
          </cell>
        </row>
        <row r="2355">
          <cell r="A2355">
            <v>42103</v>
          </cell>
          <cell r="B2355">
            <v>3850.29</v>
          </cell>
          <cell r="C2355">
            <v>3511.15</v>
          </cell>
          <cell r="D2355">
            <v>2091.1799999999998</v>
          </cell>
        </row>
        <row r="2356">
          <cell r="A2356">
            <v>42104</v>
          </cell>
          <cell r="B2356">
            <v>3870.31</v>
          </cell>
          <cell r="C2356">
            <v>3529.41</v>
          </cell>
          <cell r="D2356">
            <v>2102.06</v>
          </cell>
        </row>
        <row r="2357">
          <cell r="A2357">
            <v>42107</v>
          </cell>
          <cell r="B2357">
            <v>3852.93</v>
          </cell>
          <cell r="C2357">
            <v>3513.46</v>
          </cell>
          <cell r="D2357">
            <v>2092.4299999999998</v>
          </cell>
        </row>
        <row r="2358">
          <cell r="A2358">
            <v>42108</v>
          </cell>
          <cell r="B2358">
            <v>3859.22</v>
          </cell>
          <cell r="C2358">
            <v>3519.19</v>
          </cell>
          <cell r="D2358">
            <v>2095.84</v>
          </cell>
        </row>
        <row r="2359">
          <cell r="A2359">
            <v>42109</v>
          </cell>
          <cell r="B2359">
            <v>3879.1</v>
          </cell>
          <cell r="C2359">
            <v>3537.31</v>
          </cell>
          <cell r="D2359">
            <v>2106.63</v>
          </cell>
        </row>
        <row r="2360">
          <cell r="A2360">
            <v>42110</v>
          </cell>
          <cell r="B2360">
            <v>3876.17</v>
          </cell>
          <cell r="C2360">
            <v>3534.62</v>
          </cell>
          <cell r="D2360">
            <v>2104.9899999999998</v>
          </cell>
        </row>
        <row r="2361">
          <cell r="A2361">
            <v>42111</v>
          </cell>
          <cell r="B2361">
            <v>3832.33</v>
          </cell>
          <cell r="C2361">
            <v>3494.64</v>
          </cell>
          <cell r="D2361">
            <v>2081.1799999999998</v>
          </cell>
        </row>
        <row r="2362">
          <cell r="A2362">
            <v>42114</v>
          </cell>
          <cell r="B2362">
            <v>3867.82</v>
          </cell>
          <cell r="C2362">
            <v>3526.98</v>
          </cell>
          <cell r="D2362">
            <v>2100.4</v>
          </cell>
        </row>
        <row r="2363">
          <cell r="A2363">
            <v>42115</v>
          </cell>
          <cell r="B2363">
            <v>3862.15</v>
          </cell>
          <cell r="C2363">
            <v>3521.79</v>
          </cell>
          <cell r="D2363">
            <v>2097.29</v>
          </cell>
        </row>
        <row r="2364">
          <cell r="A2364">
            <v>42116</v>
          </cell>
          <cell r="B2364">
            <v>3881.93</v>
          </cell>
          <cell r="C2364">
            <v>3539.8</v>
          </cell>
          <cell r="D2364">
            <v>2107.96</v>
          </cell>
        </row>
        <row r="2365">
          <cell r="A2365">
            <v>42117</v>
          </cell>
          <cell r="B2365">
            <v>3891.46</v>
          </cell>
          <cell r="C2365">
            <v>3548.38</v>
          </cell>
          <cell r="D2365">
            <v>2112.9299999999998</v>
          </cell>
        </row>
        <row r="2366">
          <cell r="A2366">
            <v>42118</v>
          </cell>
          <cell r="B2366">
            <v>3900.24</v>
          </cell>
          <cell r="C2366">
            <v>3556.38</v>
          </cell>
          <cell r="D2366">
            <v>2117.69</v>
          </cell>
        </row>
        <row r="2367">
          <cell r="A2367">
            <v>42121</v>
          </cell>
          <cell r="B2367">
            <v>3884.1</v>
          </cell>
          <cell r="C2367">
            <v>3541.66</v>
          </cell>
          <cell r="D2367">
            <v>2108.92</v>
          </cell>
        </row>
        <row r="2368">
          <cell r="A2368">
            <v>42122</v>
          </cell>
          <cell r="B2368">
            <v>3895.21</v>
          </cell>
          <cell r="C2368">
            <v>3551.7</v>
          </cell>
          <cell r="D2368">
            <v>2114.7600000000002</v>
          </cell>
        </row>
        <row r="2369">
          <cell r="A2369">
            <v>42123</v>
          </cell>
          <cell r="B2369">
            <v>3880.9</v>
          </cell>
          <cell r="C2369">
            <v>3538.58</v>
          </cell>
          <cell r="D2369">
            <v>2106.85</v>
          </cell>
        </row>
        <row r="2370">
          <cell r="A2370">
            <v>42124</v>
          </cell>
          <cell r="B2370">
            <v>3841.78</v>
          </cell>
          <cell r="C2370">
            <v>3502.86</v>
          </cell>
          <cell r="D2370">
            <v>2085.5100000000002</v>
          </cell>
        </row>
        <row r="2371">
          <cell r="A2371">
            <v>42125</v>
          </cell>
          <cell r="B2371">
            <v>3883.75</v>
          </cell>
          <cell r="C2371">
            <v>3541.12</v>
          </cell>
          <cell r="D2371">
            <v>2108.29</v>
          </cell>
        </row>
        <row r="2372">
          <cell r="A2372">
            <v>42128</v>
          </cell>
          <cell r="B2372">
            <v>3895.16</v>
          </cell>
          <cell r="C2372">
            <v>3551.53</v>
          </cell>
          <cell r="D2372">
            <v>2114.4899999999998</v>
          </cell>
        </row>
        <row r="2373">
          <cell r="A2373">
            <v>42129</v>
          </cell>
          <cell r="B2373">
            <v>3849.41</v>
          </cell>
          <cell r="C2373">
            <v>3509.72</v>
          </cell>
          <cell r="D2373">
            <v>2089.46</v>
          </cell>
        </row>
        <row r="2374">
          <cell r="A2374">
            <v>42130</v>
          </cell>
          <cell r="B2374">
            <v>3833.7</v>
          </cell>
          <cell r="C2374">
            <v>3494.99</v>
          </cell>
          <cell r="D2374">
            <v>2080.15</v>
          </cell>
        </row>
        <row r="2375">
          <cell r="A2375">
            <v>42131</v>
          </cell>
          <cell r="B2375">
            <v>3849.13</v>
          </cell>
          <cell r="C2375">
            <v>3508.8</v>
          </cell>
          <cell r="D2375">
            <v>2088</v>
          </cell>
        </row>
        <row r="2376">
          <cell r="A2376">
            <v>42132</v>
          </cell>
          <cell r="B2376">
            <v>3901.01</v>
          </cell>
          <cell r="C2376">
            <v>3556.07</v>
          </cell>
          <cell r="D2376">
            <v>2116.1</v>
          </cell>
        </row>
        <row r="2377">
          <cell r="A2377">
            <v>42135</v>
          </cell>
          <cell r="B2377">
            <v>3881.93</v>
          </cell>
          <cell r="C2377">
            <v>3538.47</v>
          </cell>
          <cell r="D2377">
            <v>2105.33</v>
          </cell>
        </row>
        <row r="2378">
          <cell r="A2378">
            <v>42136</v>
          </cell>
          <cell r="B2378">
            <v>3870.69</v>
          </cell>
          <cell r="C2378">
            <v>3528.16</v>
          </cell>
          <cell r="D2378">
            <v>2099.12</v>
          </cell>
        </row>
        <row r="2379">
          <cell r="A2379">
            <v>42137</v>
          </cell>
          <cell r="B2379">
            <v>3870.36</v>
          </cell>
          <cell r="C2379">
            <v>3527.63</v>
          </cell>
          <cell r="D2379">
            <v>2098.48</v>
          </cell>
        </row>
        <row r="2380">
          <cell r="A2380">
            <v>42138</v>
          </cell>
          <cell r="B2380">
            <v>3912.52</v>
          </cell>
          <cell r="C2380">
            <v>3565.93</v>
          </cell>
          <cell r="D2380">
            <v>2121.1</v>
          </cell>
        </row>
        <row r="2381">
          <cell r="A2381">
            <v>42139</v>
          </cell>
          <cell r="B2381">
            <v>3915.99</v>
          </cell>
          <cell r="C2381">
            <v>3568.98</v>
          </cell>
          <cell r="D2381">
            <v>2122.73</v>
          </cell>
        </row>
        <row r="2382">
          <cell r="A2382">
            <v>42142</v>
          </cell>
          <cell r="B2382">
            <v>3928.15</v>
          </cell>
          <cell r="C2382">
            <v>3580</v>
          </cell>
          <cell r="D2382">
            <v>2129.1999999999998</v>
          </cell>
        </row>
        <row r="2383">
          <cell r="A2383">
            <v>42143</v>
          </cell>
          <cell r="B2383">
            <v>3926.41</v>
          </cell>
          <cell r="C2383">
            <v>3578.19</v>
          </cell>
          <cell r="D2383">
            <v>2127.83</v>
          </cell>
        </row>
        <row r="2384">
          <cell r="A2384">
            <v>42144</v>
          </cell>
          <cell r="B2384">
            <v>3923.18</v>
          </cell>
          <cell r="C2384">
            <v>3575.13</v>
          </cell>
          <cell r="D2384">
            <v>2125.85</v>
          </cell>
        </row>
        <row r="2385">
          <cell r="A2385">
            <v>42145</v>
          </cell>
          <cell r="B2385">
            <v>3932.9</v>
          </cell>
          <cell r="C2385">
            <v>3583.84</v>
          </cell>
          <cell r="D2385">
            <v>2130.8200000000002</v>
          </cell>
        </row>
        <row r="2386">
          <cell r="A2386">
            <v>42146</v>
          </cell>
          <cell r="B2386">
            <v>3924.16</v>
          </cell>
          <cell r="C2386">
            <v>3575.87</v>
          </cell>
          <cell r="D2386">
            <v>2126.06</v>
          </cell>
        </row>
        <row r="2387">
          <cell r="A2387">
            <v>42150</v>
          </cell>
          <cell r="B2387">
            <v>3883.88</v>
          </cell>
          <cell r="C2387">
            <v>3539.14</v>
          </cell>
          <cell r="D2387">
            <v>2104.1999999999998</v>
          </cell>
        </row>
        <row r="2388">
          <cell r="A2388">
            <v>42151</v>
          </cell>
          <cell r="B2388">
            <v>3920.11</v>
          </cell>
          <cell r="C2388">
            <v>3571.98</v>
          </cell>
          <cell r="D2388">
            <v>2123.48</v>
          </cell>
        </row>
        <row r="2389">
          <cell r="A2389">
            <v>42152</v>
          </cell>
          <cell r="B2389">
            <v>3915.82</v>
          </cell>
          <cell r="C2389">
            <v>3567.89</v>
          </cell>
          <cell r="D2389">
            <v>2120.79</v>
          </cell>
        </row>
        <row r="2390">
          <cell r="A2390">
            <v>42153</v>
          </cell>
          <cell r="B2390">
            <v>3891.18</v>
          </cell>
          <cell r="C2390">
            <v>3545.41</v>
          </cell>
          <cell r="D2390">
            <v>2107.39</v>
          </cell>
        </row>
        <row r="2391">
          <cell r="A2391">
            <v>42156</v>
          </cell>
          <cell r="B2391">
            <v>3899.59</v>
          </cell>
          <cell r="C2391">
            <v>3552.96</v>
          </cell>
          <cell r="D2391">
            <v>2111.73</v>
          </cell>
        </row>
        <row r="2392">
          <cell r="A2392">
            <v>42157</v>
          </cell>
          <cell r="B2392">
            <v>3895.85</v>
          </cell>
          <cell r="C2392">
            <v>3549.5</v>
          </cell>
          <cell r="D2392">
            <v>2109.6</v>
          </cell>
        </row>
        <row r="2393">
          <cell r="A2393">
            <v>42158</v>
          </cell>
          <cell r="B2393">
            <v>3904.83</v>
          </cell>
          <cell r="C2393">
            <v>3557.49</v>
          </cell>
          <cell r="D2393">
            <v>2114.0700000000002</v>
          </cell>
        </row>
        <row r="2394">
          <cell r="A2394">
            <v>42159</v>
          </cell>
          <cell r="B2394">
            <v>3871.23</v>
          </cell>
          <cell r="C2394">
            <v>3526.86</v>
          </cell>
          <cell r="D2394">
            <v>2095.84</v>
          </cell>
        </row>
        <row r="2395">
          <cell r="A2395">
            <v>42160</v>
          </cell>
          <cell r="B2395">
            <v>3865.83</v>
          </cell>
          <cell r="C2395">
            <v>3521.89</v>
          </cell>
          <cell r="D2395">
            <v>2092.83</v>
          </cell>
        </row>
        <row r="2396">
          <cell r="A2396">
            <v>42163</v>
          </cell>
          <cell r="B2396">
            <v>3841.45</v>
          </cell>
          <cell r="C2396">
            <v>3499.5</v>
          </cell>
          <cell r="D2396">
            <v>2079.2800000000002</v>
          </cell>
        </row>
        <row r="2397">
          <cell r="A2397">
            <v>42164</v>
          </cell>
          <cell r="B2397">
            <v>3843.16</v>
          </cell>
          <cell r="C2397">
            <v>3501.03</v>
          </cell>
          <cell r="D2397">
            <v>2080.15</v>
          </cell>
        </row>
        <row r="2398">
          <cell r="A2398">
            <v>42165</v>
          </cell>
          <cell r="B2398">
            <v>3889.7</v>
          </cell>
          <cell r="C2398">
            <v>3543.36</v>
          </cell>
          <cell r="D2398">
            <v>2105.1999999999998</v>
          </cell>
        </row>
        <row r="2399">
          <cell r="A2399">
            <v>42166</v>
          </cell>
          <cell r="B2399">
            <v>3897.59</v>
          </cell>
          <cell r="C2399">
            <v>3550.24</v>
          </cell>
          <cell r="D2399">
            <v>2108.86</v>
          </cell>
        </row>
        <row r="2400">
          <cell r="A2400">
            <v>42167</v>
          </cell>
          <cell r="B2400">
            <v>3870.56</v>
          </cell>
          <cell r="C2400">
            <v>3525.56</v>
          </cell>
          <cell r="D2400">
            <v>2094.11</v>
          </cell>
        </row>
        <row r="2401">
          <cell r="A2401">
            <v>42170</v>
          </cell>
          <cell r="B2401">
            <v>3852.75</v>
          </cell>
          <cell r="C2401">
            <v>3509.31</v>
          </cell>
          <cell r="D2401">
            <v>2084.4299999999998</v>
          </cell>
        </row>
        <row r="2402">
          <cell r="A2402">
            <v>42171</v>
          </cell>
          <cell r="B2402">
            <v>3874.73</v>
          </cell>
          <cell r="C2402">
            <v>3529.32</v>
          </cell>
          <cell r="D2402">
            <v>2096.29</v>
          </cell>
        </row>
        <row r="2403">
          <cell r="A2403">
            <v>42172</v>
          </cell>
          <cell r="B2403">
            <v>3882.49</v>
          </cell>
          <cell r="C2403">
            <v>3536.36</v>
          </cell>
          <cell r="D2403">
            <v>2100.44</v>
          </cell>
        </row>
        <row r="2404">
          <cell r="A2404">
            <v>42173</v>
          </cell>
          <cell r="B2404">
            <v>3921.43</v>
          </cell>
          <cell r="C2404">
            <v>3571.69</v>
          </cell>
          <cell r="D2404">
            <v>2121.2399999999998</v>
          </cell>
        </row>
        <row r="2405">
          <cell r="A2405">
            <v>42174</v>
          </cell>
          <cell r="B2405">
            <v>3900.64</v>
          </cell>
          <cell r="C2405">
            <v>3552.75</v>
          </cell>
          <cell r="D2405">
            <v>2109.9899999999998</v>
          </cell>
        </row>
        <row r="2406">
          <cell r="A2406">
            <v>42177</v>
          </cell>
          <cell r="B2406">
            <v>3924.41</v>
          </cell>
          <cell r="C2406">
            <v>3574.4</v>
          </cell>
          <cell r="D2406">
            <v>2122.85</v>
          </cell>
        </row>
        <row r="2407">
          <cell r="A2407">
            <v>42178</v>
          </cell>
          <cell r="B2407">
            <v>3927.23</v>
          </cell>
          <cell r="C2407">
            <v>3576.88</v>
          </cell>
          <cell r="D2407">
            <v>2124.1999999999998</v>
          </cell>
        </row>
        <row r="2408">
          <cell r="A2408">
            <v>42179</v>
          </cell>
          <cell r="B2408">
            <v>3898.47</v>
          </cell>
          <cell r="C2408">
            <v>3550.66</v>
          </cell>
          <cell r="D2408">
            <v>2108.58</v>
          </cell>
        </row>
        <row r="2409">
          <cell r="A2409">
            <v>42180</v>
          </cell>
          <cell r="B2409">
            <v>3887.04</v>
          </cell>
          <cell r="C2409">
            <v>3540.2</v>
          </cell>
          <cell r="D2409">
            <v>2102.31</v>
          </cell>
        </row>
        <row r="2410">
          <cell r="A2410">
            <v>42181</v>
          </cell>
          <cell r="B2410">
            <v>3886.21</v>
          </cell>
          <cell r="C2410">
            <v>3539.26</v>
          </cell>
          <cell r="D2410">
            <v>2101.4899999999998</v>
          </cell>
        </row>
        <row r="2411">
          <cell r="A2411">
            <v>42184</v>
          </cell>
          <cell r="B2411">
            <v>3805.5</v>
          </cell>
          <cell r="C2411">
            <v>3465.66</v>
          </cell>
          <cell r="D2411">
            <v>2057.64</v>
          </cell>
        </row>
        <row r="2412">
          <cell r="A2412">
            <v>42185</v>
          </cell>
          <cell r="B2412">
            <v>3815.85</v>
          </cell>
          <cell r="C2412">
            <v>3475.02</v>
          </cell>
          <cell r="D2412">
            <v>2063.11</v>
          </cell>
        </row>
        <row r="2413">
          <cell r="A2413">
            <v>42186</v>
          </cell>
          <cell r="B2413">
            <v>3843.26</v>
          </cell>
          <cell r="C2413">
            <v>3499.72</v>
          </cell>
          <cell r="D2413">
            <v>2077.42</v>
          </cell>
        </row>
        <row r="2414">
          <cell r="A2414">
            <v>42187</v>
          </cell>
          <cell r="B2414">
            <v>3842.06</v>
          </cell>
          <cell r="C2414">
            <v>3498.63</v>
          </cell>
          <cell r="D2414">
            <v>2076.7800000000002</v>
          </cell>
        </row>
        <row r="2415">
          <cell r="A2415">
            <v>42191</v>
          </cell>
          <cell r="B2415">
            <v>3827.35</v>
          </cell>
          <cell r="C2415">
            <v>3485.2</v>
          </cell>
          <cell r="D2415">
            <v>2068.7600000000002</v>
          </cell>
        </row>
        <row r="2416">
          <cell r="A2416">
            <v>42192</v>
          </cell>
          <cell r="B2416">
            <v>3850.66</v>
          </cell>
          <cell r="C2416">
            <v>3506.42</v>
          </cell>
          <cell r="D2416">
            <v>2081.34</v>
          </cell>
        </row>
        <row r="2417">
          <cell r="A2417">
            <v>42193</v>
          </cell>
          <cell r="B2417">
            <v>3787.67</v>
          </cell>
          <cell r="C2417">
            <v>3448.75</v>
          </cell>
          <cell r="D2417">
            <v>2046.68</v>
          </cell>
        </row>
        <row r="2418">
          <cell r="A2418">
            <v>42194</v>
          </cell>
          <cell r="B2418">
            <v>3796.26</v>
          </cell>
          <cell r="C2418">
            <v>3456.57</v>
          </cell>
          <cell r="D2418">
            <v>2051.31</v>
          </cell>
        </row>
        <row r="2419">
          <cell r="A2419">
            <v>42195</v>
          </cell>
          <cell r="B2419">
            <v>3843.1</v>
          </cell>
          <cell r="C2419">
            <v>3499.21</v>
          </cell>
          <cell r="D2419">
            <v>2076.62</v>
          </cell>
        </row>
        <row r="2420">
          <cell r="A2420">
            <v>42198</v>
          </cell>
          <cell r="B2420">
            <v>3885.97</v>
          </cell>
          <cell r="C2420">
            <v>3538.15</v>
          </cell>
          <cell r="D2420">
            <v>2099.6</v>
          </cell>
        </row>
        <row r="2421">
          <cell r="A2421">
            <v>42199</v>
          </cell>
          <cell r="B2421">
            <v>3903.31</v>
          </cell>
          <cell r="C2421">
            <v>3553.93</v>
          </cell>
          <cell r="D2421">
            <v>2108.9499999999998</v>
          </cell>
        </row>
        <row r="2422">
          <cell r="A2422">
            <v>42200</v>
          </cell>
          <cell r="B2422">
            <v>3900.5</v>
          </cell>
          <cell r="C2422">
            <v>3551.36</v>
          </cell>
          <cell r="D2422">
            <v>2107.4</v>
          </cell>
        </row>
        <row r="2423">
          <cell r="A2423">
            <v>42201</v>
          </cell>
          <cell r="B2423">
            <v>3931.85</v>
          </cell>
          <cell r="C2423">
            <v>3579.88</v>
          </cell>
          <cell r="D2423">
            <v>2124.29</v>
          </cell>
        </row>
        <row r="2424">
          <cell r="A2424">
            <v>42202</v>
          </cell>
          <cell r="B2424">
            <v>3936.22</v>
          </cell>
          <cell r="C2424">
            <v>3583.85</v>
          </cell>
          <cell r="D2424">
            <v>2126.64</v>
          </cell>
        </row>
        <row r="2425">
          <cell r="A2425">
            <v>42205</v>
          </cell>
          <cell r="B2425">
            <v>3939.35</v>
          </cell>
          <cell r="C2425">
            <v>3586.67</v>
          </cell>
          <cell r="D2425">
            <v>2128.2800000000002</v>
          </cell>
        </row>
        <row r="2426">
          <cell r="A2426">
            <v>42206</v>
          </cell>
          <cell r="B2426">
            <v>3922.7</v>
          </cell>
          <cell r="C2426">
            <v>3571.48</v>
          </cell>
          <cell r="D2426">
            <v>2119.21</v>
          </cell>
        </row>
        <row r="2427">
          <cell r="A2427">
            <v>42207</v>
          </cell>
          <cell r="B2427">
            <v>3913.75</v>
          </cell>
          <cell r="C2427">
            <v>3563.21</v>
          </cell>
          <cell r="D2427">
            <v>2114.15</v>
          </cell>
        </row>
        <row r="2428">
          <cell r="A2428">
            <v>42208</v>
          </cell>
          <cell r="B2428">
            <v>3891.79</v>
          </cell>
          <cell r="C2428">
            <v>3543.15</v>
          </cell>
          <cell r="D2428">
            <v>2102.15</v>
          </cell>
        </row>
        <row r="2429">
          <cell r="A2429">
            <v>42209</v>
          </cell>
          <cell r="B2429">
            <v>3850.15</v>
          </cell>
          <cell r="C2429">
            <v>3505.24</v>
          </cell>
          <cell r="D2429">
            <v>2079.65</v>
          </cell>
        </row>
        <row r="2430">
          <cell r="A2430">
            <v>42212</v>
          </cell>
          <cell r="B2430">
            <v>3827.93</v>
          </cell>
          <cell r="C2430">
            <v>3485</v>
          </cell>
          <cell r="D2430">
            <v>2067.64</v>
          </cell>
        </row>
        <row r="2431">
          <cell r="A2431">
            <v>42213</v>
          </cell>
          <cell r="B2431">
            <v>3875.37</v>
          </cell>
          <cell r="C2431">
            <v>3528.19</v>
          </cell>
          <cell r="D2431">
            <v>2093.25</v>
          </cell>
        </row>
        <row r="2432">
          <cell r="A2432">
            <v>42214</v>
          </cell>
          <cell r="B2432">
            <v>3904.21</v>
          </cell>
          <cell r="C2432">
            <v>3554.31</v>
          </cell>
          <cell r="D2432">
            <v>2108.5700000000002</v>
          </cell>
        </row>
        <row r="2433">
          <cell r="A2433">
            <v>42215</v>
          </cell>
          <cell r="B2433">
            <v>3904.64</v>
          </cell>
          <cell r="C2433">
            <v>3554.61</v>
          </cell>
          <cell r="D2433">
            <v>2108.63</v>
          </cell>
        </row>
        <row r="2434">
          <cell r="A2434">
            <v>42216</v>
          </cell>
          <cell r="B2434">
            <v>3895.8</v>
          </cell>
          <cell r="C2434">
            <v>3546.56</v>
          </cell>
          <cell r="D2434">
            <v>2103.84</v>
          </cell>
        </row>
        <row r="2435">
          <cell r="A2435">
            <v>42219</v>
          </cell>
          <cell r="B2435">
            <v>3885.07</v>
          </cell>
          <cell r="C2435">
            <v>3536.79</v>
          </cell>
          <cell r="D2435">
            <v>2098.04</v>
          </cell>
        </row>
        <row r="2436">
          <cell r="A2436">
            <v>42220</v>
          </cell>
          <cell r="B2436">
            <v>3876.44</v>
          </cell>
          <cell r="C2436">
            <v>3528.91</v>
          </cell>
          <cell r="D2436">
            <v>2093.3200000000002</v>
          </cell>
        </row>
        <row r="2437">
          <cell r="A2437">
            <v>42221</v>
          </cell>
          <cell r="B2437">
            <v>3889.99</v>
          </cell>
          <cell r="C2437">
            <v>3540.84</v>
          </cell>
          <cell r="D2437">
            <v>2099.84</v>
          </cell>
        </row>
        <row r="2438">
          <cell r="A2438">
            <v>42222</v>
          </cell>
          <cell r="B2438">
            <v>3860.92</v>
          </cell>
          <cell r="C2438">
            <v>3514.08</v>
          </cell>
          <cell r="D2438">
            <v>2083.56</v>
          </cell>
        </row>
        <row r="2439">
          <cell r="A2439">
            <v>42223</v>
          </cell>
          <cell r="B2439">
            <v>3849.96</v>
          </cell>
          <cell r="C2439">
            <v>3504.06</v>
          </cell>
          <cell r="D2439">
            <v>2077.5700000000002</v>
          </cell>
        </row>
        <row r="2440">
          <cell r="A2440">
            <v>42226</v>
          </cell>
          <cell r="B2440">
            <v>3899.36</v>
          </cell>
          <cell r="C2440">
            <v>3549.01</v>
          </cell>
          <cell r="D2440">
            <v>2104.1799999999998</v>
          </cell>
        </row>
        <row r="2441">
          <cell r="A2441">
            <v>42227</v>
          </cell>
          <cell r="B2441">
            <v>3862.81</v>
          </cell>
          <cell r="C2441">
            <v>3515.54</v>
          </cell>
          <cell r="D2441">
            <v>2084.0700000000002</v>
          </cell>
        </row>
        <row r="2442">
          <cell r="A2442">
            <v>42228</v>
          </cell>
          <cell r="B2442">
            <v>3867.37</v>
          </cell>
          <cell r="C2442">
            <v>3519.45</v>
          </cell>
          <cell r="D2442">
            <v>2086.0500000000002</v>
          </cell>
        </row>
        <row r="2443">
          <cell r="A2443">
            <v>42229</v>
          </cell>
          <cell r="B2443">
            <v>3863.03</v>
          </cell>
          <cell r="C2443">
            <v>3515.34</v>
          </cell>
          <cell r="D2443">
            <v>2083.39</v>
          </cell>
        </row>
        <row r="2444">
          <cell r="A2444">
            <v>42230</v>
          </cell>
          <cell r="B2444">
            <v>3878.16</v>
          </cell>
          <cell r="C2444">
            <v>3529.1</v>
          </cell>
          <cell r="D2444">
            <v>2091.54</v>
          </cell>
        </row>
        <row r="2445">
          <cell r="A2445">
            <v>42233</v>
          </cell>
          <cell r="B2445">
            <v>3899.1</v>
          </cell>
          <cell r="C2445">
            <v>3547.96</v>
          </cell>
          <cell r="D2445">
            <v>2102.44</v>
          </cell>
        </row>
        <row r="2446">
          <cell r="A2446">
            <v>42234</v>
          </cell>
          <cell r="B2446">
            <v>3889.6</v>
          </cell>
          <cell r="C2446">
            <v>3539.11</v>
          </cell>
          <cell r="D2446">
            <v>2096.92</v>
          </cell>
        </row>
        <row r="2447">
          <cell r="A2447">
            <v>42235</v>
          </cell>
          <cell r="B2447">
            <v>3857.74</v>
          </cell>
          <cell r="C2447">
            <v>3510.06</v>
          </cell>
          <cell r="D2447">
            <v>2079.61</v>
          </cell>
        </row>
        <row r="2448">
          <cell r="A2448">
            <v>42236</v>
          </cell>
          <cell r="B2448">
            <v>3776.36</v>
          </cell>
          <cell r="C2448">
            <v>3436</v>
          </cell>
          <cell r="D2448">
            <v>2035.73</v>
          </cell>
        </row>
        <row r="2449">
          <cell r="A2449">
            <v>42237</v>
          </cell>
          <cell r="B2449">
            <v>3656.67</v>
          </cell>
          <cell r="C2449">
            <v>3326.94</v>
          </cell>
          <cell r="D2449">
            <v>1970.89</v>
          </cell>
        </row>
        <row r="2450">
          <cell r="A2450">
            <v>42240</v>
          </cell>
          <cell r="B2450">
            <v>3512.65</v>
          </cell>
          <cell r="C2450">
            <v>3195.88</v>
          </cell>
          <cell r="D2450">
            <v>1893.21</v>
          </cell>
        </row>
        <row r="2451">
          <cell r="A2451">
            <v>42241</v>
          </cell>
          <cell r="B2451">
            <v>3465.19</v>
          </cell>
          <cell r="C2451">
            <v>3152.68</v>
          </cell>
          <cell r="D2451">
            <v>1867.61</v>
          </cell>
        </row>
        <row r="2452">
          <cell r="A2452">
            <v>42242</v>
          </cell>
          <cell r="B2452">
            <v>3600.73</v>
          </cell>
          <cell r="C2452">
            <v>3275.93</v>
          </cell>
          <cell r="D2452">
            <v>1940.51</v>
          </cell>
        </row>
        <row r="2453">
          <cell r="A2453">
            <v>42243</v>
          </cell>
          <cell r="B2453">
            <v>3688.6</v>
          </cell>
          <cell r="C2453">
            <v>3355.77</v>
          </cell>
          <cell r="D2453">
            <v>1987.66</v>
          </cell>
        </row>
        <row r="2454">
          <cell r="A2454">
            <v>42244</v>
          </cell>
          <cell r="B2454">
            <v>3691.3</v>
          </cell>
          <cell r="C2454">
            <v>3358.1</v>
          </cell>
          <cell r="D2454">
            <v>1988.87</v>
          </cell>
        </row>
        <row r="2455">
          <cell r="A2455">
            <v>42247</v>
          </cell>
          <cell r="B2455">
            <v>3660.75</v>
          </cell>
          <cell r="C2455">
            <v>3330.19</v>
          </cell>
          <cell r="D2455">
            <v>1972.18</v>
          </cell>
        </row>
        <row r="2456">
          <cell r="A2456">
            <v>42248</v>
          </cell>
          <cell r="B2456">
            <v>3552.65</v>
          </cell>
          <cell r="C2456">
            <v>3231.81</v>
          </cell>
          <cell r="D2456">
            <v>1913.85</v>
          </cell>
        </row>
        <row r="2457">
          <cell r="A2457">
            <v>42249</v>
          </cell>
          <cell r="B2457">
            <v>3618.25</v>
          </cell>
          <cell r="C2457">
            <v>3291.32</v>
          </cell>
          <cell r="D2457">
            <v>1948.86</v>
          </cell>
        </row>
        <row r="2458">
          <cell r="A2458">
            <v>42250</v>
          </cell>
          <cell r="B2458">
            <v>3622.66</v>
          </cell>
          <cell r="C2458">
            <v>3295.27</v>
          </cell>
          <cell r="D2458">
            <v>1951.13</v>
          </cell>
        </row>
        <row r="2459">
          <cell r="A2459">
            <v>42251</v>
          </cell>
          <cell r="B2459">
            <v>3567.41</v>
          </cell>
          <cell r="C2459">
            <v>3244.94</v>
          </cell>
          <cell r="D2459">
            <v>1921.22</v>
          </cell>
        </row>
        <row r="2460">
          <cell r="A2460">
            <v>42255</v>
          </cell>
          <cell r="B2460">
            <v>3657.32</v>
          </cell>
          <cell r="C2460">
            <v>3326.61</v>
          </cell>
          <cell r="D2460">
            <v>1969.41</v>
          </cell>
        </row>
        <row r="2461">
          <cell r="A2461">
            <v>42256</v>
          </cell>
          <cell r="B2461">
            <v>3606.8</v>
          </cell>
          <cell r="C2461">
            <v>3280.57</v>
          </cell>
          <cell r="D2461">
            <v>1942.04</v>
          </cell>
        </row>
        <row r="2462">
          <cell r="A2462">
            <v>42257</v>
          </cell>
          <cell r="B2462">
            <v>3626.14</v>
          </cell>
          <cell r="C2462">
            <v>3298.08</v>
          </cell>
          <cell r="D2462">
            <v>1952.29</v>
          </cell>
        </row>
        <row r="2463">
          <cell r="A2463">
            <v>42258</v>
          </cell>
          <cell r="B2463">
            <v>3643.54</v>
          </cell>
          <cell r="C2463">
            <v>3313.59</v>
          </cell>
          <cell r="D2463">
            <v>1961.05</v>
          </cell>
        </row>
        <row r="2464">
          <cell r="A2464">
            <v>42261</v>
          </cell>
          <cell r="B2464">
            <v>3628.87</v>
          </cell>
          <cell r="C2464">
            <v>3300.19</v>
          </cell>
          <cell r="D2464">
            <v>1953.03</v>
          </cell>
        </row>
        <row r="2465">
          <cell r="A2465">
            <v>42262</v>
          </cell>
          <cell r="B2465">
            <v>3675.48</v>
          </cell>
          <cell r="C2465">
            <v>3342.56</v>
          </cell>
          <cell r="D2465">
            <v>1978.09</v>
          </cell>
        </row>
        <row r="2466">
          <cell r="A2466">
            <v>42263</v>
          </cell>
          <cell r="B2466">
            <v>3707.62</v>
          </cell>
          <cell r="C2466">
            <v>3371.76</v>
          </cell>
          <cell r="D2466">
            <v>1995.31</v>
          </cell>
        </row>
        <row r="2467">
          <cell r="A2467">
            <v>42264</v>
          </cell>
          <cell r="B2467">
            <v>3698.74</v>
          </cell>
          <cell r="C2467">
            <v>3363.51</v>
          </cell>
          <cell r="D2467">
            <v>1990.2</v>
          </cell>
        </row>
        <row r="2468">
          <cell r="A2468">
            <v>42265</v>
          </cell>
          <cell r="B2468">
            <v>3638.99</v>
          </cell>
          <cell r="C2468">
            <v>3309.16</v>
          </cell>
          <cell r="D2468">
            <v>1958.03</v>
          </cell>
        </row>
        <row r="2469">
          <cell r="A2469">
            <v>42268</v>
          </cell>
          <cell r="B2469">
            <v>3655.64</v>
          </cell>
          <cell r="C2469">
            <v>3324.29</v>
          </cell>
          <cell r="D2469">
            <v>1966.97</v>
          </cell>
        </row>
        <row r="2470">
          <cell r="A2470">
            <v>42269</v>
          </cell>
          <cell r="B2470">
            <v>3610.7</v>
          </cell>
          <cell r="C2470">
            <v>3283.41</v>
          </cell>
          <cell r="D2470">
            <v>1942.74</v>
          </cell>
        </row>
        <row r="2471">
          <cell r="A2471">
            <v>42270</v>
          </cell>
          <cell r="B2471">
            <v>3603.49</v>
          </cell>
          <cell r="C2471">
            <v>3276.79</v>
          </cell>
          <cell r="D2471">
            <v>1938.76</v>
          </cell>
        </row>
        <row r="2472">
          <cell r="A2472">
            <v>42271</v>
          </cell>
          <cell r="B2472">
            <v>3591.37</v>
          </cell>
          <cell r="C2472">
            <v>3265.78</v>
          </cell>
          <cell r="D2472">
            <v>1932.24</v>
          </cell>
        </row>
        <row r="2473">
          <cell r="A2473">
            <v>42272</v>
          </cell>
          <cell r="B2473">
            <v>3589.71</v>
          </cell>
          <cell r="C2473">
            <v>3264.26</v>
          </cell>
          <cell r="D2473">
            <v>1931.34</v>
          </cell>
        </row>
        <row r="2474">
          <cell r="A2474">
            <v>42275</v>
          </cell>
          <cell r="B2474">
            <v>3498.61</v>
          </cell>
          <cell r="C2474">
            <v>3181.14</v>
          </cell>
          <cell r="D2474">
            <v>1881.77</v>
          </cell>
        </row>
        <row r="2475">
          <cell r="A2475">
            <v>42276</v>
          </cell>
          <cell r="B2475">
            <v>3503.13</v>
          </cell>
          <cell r="C2475">
            <v>3185.19</v>
          </cell>
          <cell r="D2475">
            <v>1884.09</v>
          </cell>
        </row>
        <row r="2476">
          <cell r="A2476">
            <v>42277</v>
          </cell>
          <cell r="B2476">
            <v>3570.17</v>
          </cell>
          <cell r="C2476">
            <v>3246.09</v>
          </cell>
          <cell r="D2476">
            <v>1920.03</v>
          </cell>
        </row>
        <row r="2477">
          <cell r="A2477">
            <v>42278</v>
          </cell>
          <cell r="B2477">
            <v>3577.47</v>
          </cell>
          <cell r="C2477">
            <v>3252.66</v>
          </cell>
          <cell r="D2477">
            <v>1923.82</v>
          </cell>
        </row>
        <row r="2478">
          <cell r="A2478">
            <v>42279</v>
          </cell>
          <cell r="B2478">
            <v>3629.04</v>
          </cell>
          <cell r="C2478">
            <v>3299.45</v>
          </cell>
          <cell r="D2478">
            <v>1951.36</v>
          </cell>
        </row>
        <row r="2479">
          <cell r="A2479">
            <v>42282</v>
          </cell>
          <cell r="B2479">
            <v>3695.61</v>
          </cell>
          <cell r="C2479">
            <v>3359.92</v>
          </cell>
          <cell r="D2479">
            <v>1987.05</v>
          </cell>
        </row>
        <row r="2480">
          <cell r="A2480">
            <v>42283</v>
          </cell>
          <cell r="B2480">
            <v>3682.33</v>
          </cell>
          <cell r="C2480">
            <v>3347.85</v>
          </cell>
          <cell r="D2480">
            <v>1979.92</v>
          </cell>
        </row>
        <row r="2481">
          <cell r="A2481">
            <v>42284</v>
          </cell>
          <cell r="B2481">
            <v>3713.36</v>
          </cell>
          <cell r="C2481">
            <v>3375.67</v>
          </cell>
          <cell r="D2481">
            <v>1995.83</v>
          </cell>
        </row>
        <row r="2482">
          <cell r="A2482">
            <v>42285</v>
          </cell>
          <cell r="B2482">
            <v>3746.12</v>
          </cell>
          <cell r="C2482">
            <v>3405.45</v>
          </cell>
          <cell r="D2482">
            <v>2013.43</v>
          </cell>
        </row>
        <row r="2483">
          <cell r="A2483">
            <v>42286</v>
          </cell>
          <cell r="B2483">
            <v>3748.96</v>
          </cell>
          <cell r="C2483">
            <v>3408</v>
          </cell>
          <cell r="D2483">
            <v>2014.89</v>
          </cell>
        </row>
        <row r="2484">
          <cell r="A2484">
            <v>42289</v>
          </cell>
          <cell r="B2484">
            <v>3753.73</v>
          </cell>
          <cell r="C2484">
            <v>3412.33</v>
          </cell>
          <cell r="D2484">
            <v>2017.46</v>
          </cell>
        </row>
        <row r="2485">
          <cell r="A2485">
            <v>42290</v>
          </cell>
          <cell r="B2485">
            <v>3728.48</v>
          </cell>
          <cell r="C2485">
            <v>3389.28</v>
          </cell>
          <cell r="D2485">
            <v>2003.69</v>
          </cell>
        </row>
        <row r="2486">
          <cell r="A2486">
            <v>42291</v>
          </cell>
          <cell r="B2486">
            <v>3711.11</v>
          </cell>
          <cell r="C2486">
            <v>3373.43</v>
          </cell>
          <cell r="D2486">
            <v>1994.24</v>
          </cell>
        </row>
        <row r="2487">
          <cell r="A2487">
            <v>42292</v>
          </cell>
          <cell r="B2487">
            <v>3766.43</v>
          </cell>
          <cell r="C2487">
            <v>3423.66</v>
          </cell>
          <cell r="D2487">
            <v>2023.86</v>
          </cell>
        </row>
        <row r="2488">
          <cell r="A2488">
            <v>42293</v>
          </cell>
          <cell r="B2488">
            <v>3783.64</v>
          </cell>
          <cell r="C2488">
            <v>3439.31</v>
          </cell>
          <cell r="D2488">
            <v>2033.11</v>
          </cell>
        </row>
        <row r="2489">
          <cell r="A2489">
            <v>42296</v>
          </cell>
          <cell r="B2489">
            <v>3784.72</v>
          </cell>
          <cell r="C2489">
            <v>3440.28</v>
          </cell>
          <cell r="D2489">
            <v>2033.66</v>
          </cell>
        </row>
        <row r="2490">
          <cell r="A2490">
            <v>42297</v>
          </cell>
          <cell r="B2490">
            <v>3779.44</v>
          </cell>
          <cell r="C2490">
            <v>3435.44</v>
          </cell>
          <cell r="D2490">
            <v>2030.77</v>
          </cell>
        </row>
        <row r="2491">
          <cell r="A2491">
            <v>42298</v>
          </cell>
          <cell r="B2491">
            <v>3757.91</v>
          </cell>
          <cell r="C2491">
            <v>3415.75</v>
          </cell>
          <cell r="D2491">
            <v>2018.94</v>
          </cell>
        </row>
        <row r="2492">
          <cell r="A2492">
            <v>42299</v>
          </cell>
          <cell r="B2492">
            <v>3820.49</v>
          </cell>
          <cell r="C2492">
            <v>3472.6</v>
          </cell>
          <cell r="D2492">
            <v>2052.5100000000002</v>
          </cell>
        </row>
        <row r="2493">
          <cell r="A2493">
            <v>42300</v>
          </cell>
          <cell r="B2493">
            <v>3862.65</v>
          </cell>
          <cell r="C2493">
            <v>3510.92</v>
          </cell>
          <cell r="D2493">
            <v>2075.15</v>
          </cell>
        </row>
        <row r="2494">
          <cell r="A2494">
            <v>42303</v>
          </cell>
          <cell r="B2494">
            <v>3855.29</v>
          </cell>
          <cell r="C2494">
            <v>3504.22</v>
          </cell>
          <cell r="D2494">
            <v>2071.1799999999998</v>
          </cell>
        </row>
        <row r="2495">
          <cell r="A2495">
            <v>42304</v>
          </cell>
          <cell r="B2495">
            <v>3845.45</v>
          </cell>
          <cell r="C2495">
            <v>3495.27</v>
          </cell>
          <cell r="D2495">
            <v>2065.89</v>
          </cell>
        </row>
        <row r="2496">
          <cell r="A2496">
            <v>42305</v>
          </cell>
          <cell r="B2496">
            <v>3891.35</v>
          </cell>
          <cell r="C2496">
            <v>3536.9</v>
          </cell>
          <cell r="D2496">
            <v>2090.35</v>
          </cell>
        </row>
        <row r="2497">
          <cell r="A2497">
            <v>42306</v>
          </cell>
          <cell r="B2497">
            <v>3890.04</v>
          </cell>
          <cell r="C2497">
            <v>3535.58</v>
          </cell>
          <cell r="D2497">
            <v>2089.41</v>
          </cell>
        </row>
        <row r="2498">
          <cell r="A2498">
            <v>42307</v>
          </cell>
          <cell r="B2498">
            <v>3871.33</v>
          </cell>
          <cell r="C2498">
            <v>3518.58</v>
          </cell>
          <cell r="D2498">
            <v>2079.36</v>
          </cell>
        </row>
        <row r="2499">
          <cell r="A2499">
            <v>42310</v>
          </cell>
          <cell r="B2499">
            <v>3917.3</v>
          </cell>
          <cell r="C2499">
            <v>3560.36</v>
          </cell>
          <cell r="D2499">
            <v>2104.0500000000002</v>
          </cell>
        </row>
        <row r="2500">
          <cell r="A2500">
            <v>42311</v>
          </cell>
          <cell r="B2500">
            <v>3928.05</v>
          </cell>
          <cell r="C2500">
            <v>3570.11</v>
          </cell>
          <cell r="D2500">
            <v>2109.79</v>
          </cell>
        </row>
        <row r="2501">
          <cell r="A2501">
            <v>42312</v>
          </cell>
          <cell r="B2501">
            <v>3915.52</v>
          </cell>
          <cell r="C2501">
            <v>3558.34</v>
          </cell>
          <cell r="D2501">
            <v>2102.31</v>
          </cell>
        </row>
        <row r="2502">
          <cell r="A2502">
            <v>42313</v>
          </cell>
          <cell r="B2502">
            <v>3911.89</v>
          </cell>
          <cell r="C2502">
            <v>3554.83</v>
          </cell>
          <cell r="D2502">
            <v>2099.9299999999998</v>
          </cell>
        </row>
        <row r="2503">
          <cell r="A2503">
            <v>42314</v>
          </cell>
          <cell r="B2503">
            <v>3910.98</v>
          </cell>
          <cell r="C2503">
            <v>3553.88</v>
          </cell>
          <cell r="D2503">
            <v>2099.1999999999998</v>
          </cell>
        </row>
        <row r="2504">
          <cell r="A2504">
            <v>42317</v>
          </cell>
          <cell r="B2504">
            <v>3873.37</v>
          </cell>
          <cell r="C2504">
            <v>3519.48</v>
          </cell>
          <cell r="D2504">
            <v>2078.58</v>
          </cell>
        </row>
        <row r="2505">
          <cell r="A2505">
            <v>42318</v>
          </cell>
          <cell r="B2505">
            <v>3880.23</v>
          </cell>
          <cell r="C2505">
            <v>3525.43</v>
          </cell>
          <cell r="D2505">
            <v>2081.7199999999998</v>
          </cell>
        </row>
        <row r="2506">
          <cell r="A2506">
            <v>42319</v>
          </cell>
          <cell r="B2506">
            <v>3867.71</v>
          </cell>
          <cell r="C2506">
            <v>3514.06</v>
          </cell>
          <cell r="D2506">
            <v>2075</v>
          </cell>
        </row>
        <row r="2507">
          <cell r="A2507">
            <v>42320</v>
          </cell>
          <cell r="B2507">
            <v>3814.29</v>
          </cell>
          <cell r="C2507">
            <v>3465.34</v>
          </cell>
          <cell r="D2507">
            <v>2045.97</v>
          </cell>
        </row>
        <row r="2508">
          <cell r="A2508">
            <v>42321</v>
          </cell>
          <cell r="B2508">
            <v>3771.59</v>
          </cell>
          <cell r="C2508">
            <v>3426.53</v>
          </cell>
          <cell r="D2508">
            <v>2023.04</v>
          </cell>
        </row>
        <row r="2509">
          <cell r="A2509">
            <v>42324</v>
          </cell>
          <cell r="B2509">
            <v>3828.46</v>
          </cell>
          <cell r="C2509">
            <v>3478.01</v>
          </cell>
          <cell r="D2509">
            <v>2053.19</v>
          </cell>
        </row>
        <row r="2510">
          <cell r="A2510">
            <v>42325</v>
          </cell>
          <cell r="B2510">
            <v>3824.14</v>
          </cell>
          <cell r="C2510">
            <v>3473.87</v>
          </cell>
          <cell r="D2510">
            <v>2050.44</v>
          </cell>
        </row>
        <row r="2511">
          <cell r="A2511">
            <v>42326</v>
          </cell>
          <cell r="B2511">
            <v>3886.26</v>
          </cell>
          <cell r="C2511">
            <v>3530.22</v>
          </cell>
          <cell r="D2511">
            <v>2083.58</v>
          </cell>
        </row>
        <row r="2512">
          <cell r="A2512">
            <v>42327</v>
          </cell>
          <cell r="B2512">
            <v>3882.06</v>
          </cell>
          <cell r="C2512">
            <v>3526.36</v>
          </cell>
          <cell r="D2512">
            <v>2081.2399999999998</v>
          </cell>
        </row>
        <row r="2513">
          <cell r="A2513">
            <v>42328</v>
          </cell>
          <cell r="B2513">
            <v>3897.45</v>
          </cell>
          <cell r="C2513">
            <v>3540.17</v>
          </cell>
          <cell r="D2513">
            <v>2089.17</v>
          </cell>
        </row>
        <row r="2514">
          <cell r="A2514">
            <v>42331</v>
          </cell>
          <cell r="B2514">
            <v>3892.8</v>
          </cell>
          <cell r="C2514">
            <v>3535.91</v>
          </cell>
          <cell r="D2514">
            <v>2086.59</v>
          </cell>
        </row>
        <row r="2515">
          <cell r="A2515">
            <v>42332</v>
          </cell>
          <cell r="B2515">
            <v>3897.67</v>
          </cell>
          <cell r="C2515">
            <v>3540.3</v>
          </cell>
          <cell r="D2515">
            <v>2089.14</v>
          </cell>
        </row>
        <row r="2516">
          <cell r="A2516">
            <v>42333</v>
          </cell>
          <cell r="B2516">
            <v>3897.57</v>
          </cell>
          <cell r="C2516">
            <v>3540.1</v>
          </cell>
          <cell r="D2516">
            <v>2088.87</v>
          </cell>
        </row>
        <row r="2517">
          <cell r="A2517">
            <v>42335</v>
          </cell>
          <cell r="B2517">
            <v>3900.74</v>
          </cell>
          <cell r="C2517">
            <v>3542.74</v>
          </cell>
          <cell r="D2517">
            <v>2090.11</v>
          </cell>
        </row>
        <row r="2518">
          <cell r="A2518">
            <v>42338</v>
          </cell>
          <cell r="B2518">
            <v>3882.84</v>
          </cell>
          <cell r="C2518">
            <v>3526.43</v>
          </cell>
          <cell r="D2518">
            <v>2080.41</v>
          </cell>
        </row>
        <row r="2519">
          <cell r="A2519">
            <v>42339</v>
          </cell>
          <cell r="B2519">
            <v>3924.63</v>
          </cell>
          <cell r="C2519">
            <v>3564.3</v>
          </cell>
          <cell r="D2519">
            <v>2102.63</v>
          </cell>
        </row>
        <row r="2520">
          <cell r="A2520">
            <v>42340</v>
          </cell>
          <cell r="B2520">
            <v>3882.38</v>
          </cell>
          <cell r="C2520">
            <v>3525.68</v>
          </cell>
          <cell r="D2520">
            <v>2079.5100000000002</v>
          </cell>
        </row>
        <row r="2521">
          <cell r="A2521">
            <v>42341</v>
          </cell>
          <cell r="B2521">
            <v>3826.74</v>
          </cell>
          <cell r="C2521">
            <v>3475.1</v>
          </cell>
          <cell r="D2521">
            <v>2049.62</v>
          </cell>
        </row>
        <row r="2522">
          <cell r="A2522">
            <v>42342</v>
          </cell>
          <cell r="B2522">
            <v>3905.31</v>
          </cell>
          <cell r="C2522">
            <v>3546.45</v>
          </cell>
          <cell r="D2522">
            <v>2091.69</v>
          </cell>
        </row>
        <row r="2523">
          <cell r="A2523">
            <v>42345</v>
          </cell>
          <cell r="B2523">
            <v>3878.31</v>
          </cell>
          <cell r="C2523">
            <v>3521.85</v>
          </cell>
          <cell r="D2523">
            <v>2077.0700000000002</v>
          </cell>
        </row>
        <row r="2524">
          <cell r="A2524">
            <v>42346</v>
          </cell>
          <cell r="B2524">
            <v>3853.48</v>
          </cell>
          <cell r="C2524">
            <v>3499.21</v>
          </cell>
          <cell r="D2524">
            <v>2063.59</v>
          </cell>
        </row>
        <row r="2525">
          <cell r="A2525">
            <v>42347</v>
          </cell>
          <cell r="B2525">
            <v>3823.9</v>
          </cell>
          <cell r="C2525">
            <v>3472.29</v>
          </cell>
          <cell r="D2525">
            <v>2047.62</v>
          </cell>
        </row>
        <row r="2526">
          <cell r="A2526">
            <v>42348</v>
          </cell>
          <cell r="B2526">
            <v>3832.93</v>
          </cell>
          <cell r="C2526">
            <v>3480.37</v>
          </cell>
          <cell r="D2526">
            <v>2052.23</v>
          </cell>
        </row>
        <row r="2527">
          <cell r="A2527">
            <v>42349</v>
          </cell>
          <cell r="B2527">
            <v>3759.09</v>
          </cell>
          <cell r="C2527">
            <v>3413.16</v>
          </cell>
          <cell r="D2527">
            <v>2012.37</v>
          </cell>
        </row>
        <row r="2528">
          <cell r="A2528">
            <v>42352</v>
          </cell>
          <cell r="B2528">
            <v>3777.22</v>
          </cell>
          <cell r="C2528">
            <v>3429.55</v>
          </cell>
          <cell r="D2528">
            <v>2021.94</v>
          </cell>
        </row>
        <row r="2529">
          <cell r="A2529">
            <v>42353</v>
          </cell>
          <cell r="B2529">
            <v>3817.36</v>
          </cell>
          <cell r="C2529">
            <v>3465.99</v>
          </cell>
          <cell r="D2529">
            <v>2043.41</v>
          </cell>
        </row>
        <row r="2530">
          <cell r="A2530">
            <v>42354</v>
          </cell>
          <cell r="B2530">
            <v>3873.12</v>
          </cell>
          <cell r="C2530">
            <v>3516.52</v>
          </cell>
          <cell r="D2530">
            <v>2073.0700000000002</v>
          </cell>
        </row>
        <row r="2531">
          <cell r="A2531">
            <v>42355</v>
          </cell>
          <cell r="B2531">
            <v>3815.46</v>
          </cell>
          <cell r="C2531">
            <v>3464</v>
          </cell>
          <cell r="D2531">
            <v>2041.89</v>
          </cell>
        </row>
        <row r="2532">
          <cell r="A2532">
            <v>42356</v>
          </cell>
          <cell r="B2532">
            <v>3747.56</v>
          </cell>
          <cell r="C2532">
            <v>3402.36</v>
          </cell>
          <cell r="D2532">
            <v>2005.55</v>
          </cell>
        </row>
        <row r="2533">
          <cell r="A2533">
            <v>42359</v>
          </cell>
          <cell r="B2533">
            <v>3777.15</v>
          </cell>
          <cell r="C2533">
            <v>3429.11</v>
          </cell>
          <cell r="D2533">
            <v>2021.15</v>
          </cell>
        </row>
        <row r="2534">
          <cell r="A2534">
            <v>42360</v>
          </cell>
          <cell r="B2534">
            <v>3810.85</v>
          </cell>
          <cell r="C2534">
            <v>3459.59</v>
          </cell>
          <cell r="D2534">
            <v>2038.97</v>
          </cell>
        </row>
        <row r="2535">
          <cell r="A2535">
            <v>42361</v>
          </cell>
          <cell r="B2535">
            <v>3858.47</v>
          </cell>
          <cell r="C2535">
            <v>3502.74</v>
          </cell>
          <cell r="D2535">
            <v>2064.29</v>
          </cell>
        </row>
        <row r="2536">
          <cell r="A2536">
            <v>42362</v>
          </cell>
          <cell r="B2536">
            <v>3852.31</v>
          </cell>
          <cell r="C2536">
            <v>3497.15</v>
          </cell>
          <cell r="D2536">
            <v>2060.9899999999998</v>
          </cell>
        </row>
        <row r="2537">
          <cell r="A2537">
            <v>42366</v>
          </cell>
          <cell r="B2537">
            <v>3843.94</v>
          </cell>
          <cell r="C2537">
            <v>3489.54</v>
          </cell>
          <cell r="D2537">
            <v>2056.5</v>
          </cell>
        </row>
        <row r="2538">
          <cell r="A2538">
            <v>42367</v>
          </cell>
          <cell r="B2538">
            <v>3885.55</v>
          </cell>
          <cell r="C2538">
            <v>3527.11</v>
          </cell>
          <cell r="D2538">
            <v>2078.36</v>
          </cell>
        </row>
        <row r="2539">
          <cell r="A2539">
            <v>42368</v>
          </cell>
          <cell r="B2539">
            <v>3857.9</v>
          </cell>
          <cell r="C2539">
            <v>3501.9</v>
          </cell>
          <cell r="D2539">
            <v>2063.36</v>
          </cell>
        </row>
        <row r="2540">
          <cell r="A2540">
            <v>42369</v>
          </cell>
          <cell r="B2540">
            <v>3821.6</v>
          </cell>
          <cell r="C2540">
            <v>3468.95</v>
          </cell>
          <cell r="D2540">
            <v>2043.94</v>
          </cell>
        </row>
        <row r="2541">
          <cell r="A2541">
            <v>42373</v>
          </cell>
          <cell r="B2541">
            <v>3763.99</v>
          </cell>
          <cell r="C2541">
            <v>3416.42</v>
          </cell>
          <cell r="D2541">
            <v>2012.66</v>
          </cell>
        </row>
        <row r="2542">
          <cell r="A2542">
            <v>42374</v>
          </cell>
          <cell r="B2542">
            <v>3771.57</v>
          </cell>
          <cell r="C2542">
            <v>3423.3</v>
          </cell>
          <cell r="D2542">
            <v>2016.71</v>
          </cell>
        </row>
        <row r="2543">
          <cell r="A2543">
            <v>42375</v>
          </cell>
          <cell r="B2543">
            <v>3723.44</v>
          </cell>
          <cell r="C2543">
            <v>3379.25</v>
          </cell>
          <cell r="D2543">
            <v>1990.26</v>
          </cell>
        </row>
        <row r="2544">
          <cell r="A2544">
            <v>42376</v>
          </cell>
          <cell r="B2544">
            <v>3635.29</v>
          </cell>
          <cell r="C2544">
            <v>3299.22</v>
          </cell>
          <cell r="D2544">
            <v>1943.09</v>
          </cell>
        </row>
        <row r="2545">
          <cell r="A2545">
            <v>42377</v>
          </cell>
          <cell r="B2545">
            <v>3595.91</v>
          </cell>
          <cell r="C2545">
            <v>3263.47</v>
          </cell>
          <cell r="D2545">
            <v>1922.03</v>
          </cell>
        </row>
        <row r="2546">
          <cell r="A2546">
            <v>42380</v>
          </cell>
          <cell r="B2546">
            <v>3598.97</v>
          </cell>
          <cell r="C2546">
            <v>3266.26</v>
          </cell>
          <cell r="D2546">
            <v>1923.67</v>
          </cell>
        </row>
        <row r="2547">
          <cell r="A2547">
            <v>42381</v>
          </cell>
          <cell r="B2547">
            <v>3627.06</v>
          </cell>
          <cell r="C2547">
            <v>3291.75</v>
          </cell>
          <cell r="D2547">
            <v>1938.68</v>
          </cell>
        </row>
        <row r="2548">
          <cell r="A2548">
            <v>42382</v>
          </cell>
          <cell r="B2548">
            <v>3536.92</v>
          </cell>
          <cell r="C2548">
            <v>3209.83</v>
          </cell>
          <cell r="D2548">
            <v>1890.28</v>
          </cell>
        </row>
        <row r="2549">
          <cell r="A2549">
            <v>42383</v>
          </cell>
          <cell r="B2549">
            <v>3596.03</v>
          </cell>
          <cell r="C2549">
            <v>3263.45</v>
          </cell>
          <cell r="D2549">
            <v>1921.84</v>
          </cell>
        </row>
        <row r="2550">
          <cell r="A2550">
            <v>42384</v>
          </cell>
          <cell r="B2550">
            <v>3518.51</v>
          </cell>
          <cell r="C2550">
            <v>3193.06</v>
          </cell>
          <cell r="D2550">
            <v>1880.33</v>
          </cell>
        </row>
        <row r="2551">
          <cell r="A2551">
            <v>42388</v>
          </cell>
          <cell r="B2551">
            <v>3520.4</v>
          </cell>
          <cell r="C2551">
            <v>3194.78</v>
          </cell>
          <cell r="D2551">
            <v>1881.33</v>
          </cell>
        </row>
        <row r="2552">
          <cell r="A2552">
            <v>42389</v>
          </cell>
          <cell r="B2552">
            <v>3479.75</v>
          </cell>
          <cell r="C2552">
            <v>3157.74</v>
          </cell>
          <cell r="D2552">
            <v>1859.33</v>
          </cell>
        </row>
        <row r="2553">
          <cell r="A2553">
            <v>42390</v>
          </cell>
          <cell r="B2553">
            <v>3497.94</v>
          </cell>
          <cell r="C2553">
            <v>3174.21</v>
          </cell>
          <cell r="D2553">
            <v>1868.99</v>
          </cell>
        </row>
        <row r="2554">
          <cell r="A2554">
            <v>42391</v>
          </cell>
          <cell r="B2554">
            <v>3568.9</v>
          </cell>
          <cell r="C2554">
            <v>3238.61</v>
          </cell>
          <cell r="D2554">
            <v>1906.9</v>
          </cell>
        </row>
        <row r="2555">
          <cell r="A2555">
            <v>42394</v>
          </cell>
          <cell r="B2555">
            <v>3513.11</v>
          </cell>
          <cell r="C2555">
            <v>3187.97</v>
          </cell>
          <cell r="D2555">
            <v>1877.08</v>
          </cell>
        </row>
        <row r="2556">
          <cell r="A2556">
            <v>42395</v>
          </cell>
          <cell r="B2556">
            <v>3562.81</v>
          </cell>
          <cell r="C2556">
            <v>3233.07</v>
          </cell>
          <cell r="D2556">
            <v>1903.63</v>
          </cell>
        </row>
        <row r="2557">
          <cell r="A2557">
            <v>42396</v>
          </cell>
          <cell r="B2557">
            <v>3524.33</v>
          </cell>
          <cell r="C2557">
            <v>3198.09</v>
          </cell>
          <cell r="D2557">
            <v>1882.95</v>
          </cell>
        </row>
        <row r="2558">
          <cell r="A2558">
            <v>42397</v>
          </cell>
          <cell r="B2558">
            <v>3544.13</v>
          </cell>
          <cell r="C2558">
            <v>3215.98</v>
          </cell>
          <cell r="D2558">
            <v>1893.36</v>
          </cell>
        </row>
        <row r="2559">
          <cell r="A2559">
            <v>42398</v>
          </cell>
          <cell r="B2559">
            <v>3631.96</v>
          </cell>
          <cell r="C2559">
            <v>3295.65</v>
          </cell>
          <cell r="D2559">
            <v>1940.24</v>
          </cell>
        </row>
        <row r="2560">
          <cell r="A2560">
            <v>42401</v>
          </cell>
          <cell r="B2560">
            <v>3630.46</v>
          </cell>
          <cell r="C2560">
            <v>3294.26</v>
          </cell>
          <cell r="D2560">
            <v>1939.38</v>
          </cell>
        </row>
        <row r="2561">
          <cell r="A2561">
            <v>42402</v>
          </cell>
          <cell r="B2561">
            <v>3562.52</v>
          </cell>
          <cell r="C2561">
            <v>3232.58</v>
          </cell>
          <cell r="D2561">
            <v>1903.03</v>
          </cell>
        </row>
        <row r="2562">
          <cell r="A2562">
            <v>42403</v>
          </cell>
          <cell r="B2562">
            <v>3581.53</v>
          </cell>
          <cell r="C2562">
            <v>3249.5</v>
          </cell>
          <cell r="D2562">
            <v>1912.53</v>
          </cell>
        </row>
        <row r="2563">
          <cell r="A2563">
            <v>42404</v>
          </cell>
          <cell r="B2563">
            <v>3587.71</v>
          </cell>
          <cell r="C2563">
            <v>3254.91</v>
          </cell>
          <cell r="D2563">
            <v>1915.45</v>
          </cell>
        </row>
        <row r="2564">
          <cell r="A2564">
            <v>42405</v>
          </cell>
          <cell r="B2564">
            <v>3521.6</v>
          </cell>
          <cell r="C2564">
            <v>3194.88</v>
          </cell>
          <cell r="D2564">
            <v>1880.05</v>
          </cell>
        </row>
        <row r="2565">
          <cell r="A2565">
            <v>42408</v>
          </cell>
          <cell r="B2565">
            <v>3472.08</v>
          </cell>
          <cell r="C2565">
            <v>3149.86</v>
          </cell>
          <cell r="D2565">
            <v>1853.44</v>
          </cell>
        </row>
        <row r="2566">
          <cell r="A2566">
            <v>42409</v>
          </cell>
          <cell r="B2566">
            <v>3470.5</v>
          </cell>
          <cell r="C2566">
            <v>3148.24</v>
          </cell>
          <cell r="D2566">
            <v>1852.21</v>
          </cell>
        </row>
        <row r="2567">
          <cell r="A2567">
            <v>42410</v>
          </cell>
          <cell r="B2567">
            <v>3471.04</v>
          </cell>
          <cell r="C2567">
            <v>3148.4</v>
          </cell>
          <cell r="D2567">
            <v>1851.86</v>
          </cell>
        </row>
        <row r="2568">
          <cell r="A2568">
            <v>42411</v>
          </cell>
          <cell r="B2568">
            <v>3428.99</v>
          </cell>
          <cell r="C2568">
            <v>3110.08</v>
          </cell>
          <cell r="D2568">
            <v>1829.08</v>
          </cell>
        </row>
        <row r="2569">
          <cell r="A2569">
            <v>42412</v>
          </cell>
          <cell r="B2569">
            <v>3496.28</v>
          </cell>
          <cell r="C2569">
            <v>3171.02</v>
          </cell>
          <cell r="D2569">
            <v>1864.78</v>
          </cell>
        </row>
        <row r="2570">
          <cell r="A2570">
            <v>42416</v>
          </cell>
          <cell r="B2570">
            <v>3555.2</v>
          </cell>
          <cell r="C2570">
            <v>3224.14</v>
          </cell>
          <cell r="D2570">
            <v>1895.58</v>
          </cell>
        </row>
        <row r="2571">
          <cell r="A2571">
            <v>42417</v>
          </cell>
          <cell r="B2571">
            <v>3614.16</v>
          </cell>
          <cell r="C2571">
            <v>3277.51</v>
          </cell>
          <cell r="D2571">
            <v>1926.82</v>
          </cell>
        </row>
        <row r="2572">
          <cell r="A2572">
            <v>42418</v>
          </cell>
          <cell r="B2572">
            <v>3597.49</v>
          </cell>
          <cell r="C2572">
            <v>3262.34</v>
          </cell>
          <cell r="D2572">
            <v>1917.83</v>
          </cell>
        </row>
        <row r="2573">
          <cell r="A2573">
            <v>42419</v>
          </cell>
          <cell r="B2573">
            <v>3597.92</v>
          </cell>
          <cell r="C2573">
            <v>3262.58</v>
          </cell>
          <cell r="D2573">
            <v>1917.78</v>
          </cell>
        </row>
        <row r="2574">
          <cell r="A2574">
            <v>42422</v>
          </cell>
          <cell r="B2574">
            <v>3649.92</v>
          </cell>
          <cell r="C2574">
            <v>3309.74</v>
          </cell>
          <cell r="D2574">
            <v>1945.5</v>
          </cell>
        </row>
        <row r="2575">
          <cell r="A2575">
            <v>42423</v>
          </cell>
          <cell r="B2575">
            <v>3604.68</v>
          </cell>
          <cell r="C2575">
            <v>3268.66</v>
          </cell>
          <cell r="D2575">
            <v>1921.27</v>
          </cell>
        </row>
        <row r="2576">
          <cell r="A2576">
            <v>42424</v>
          </cell>
          <cell r="B2576">
            <v>3620.87</v>
          </cell>
          <cell r="C2576">
            <v>3283.29</v>
          </cell>
          <cell r="D2576">
            <v>1929.8</v>
          </cell>
        </row>
        <row r="2577">
          <cell r="A2577">
            <v>42425</v>
          </cell>
          <cell r="B2577">
            <v>3662.84</v>
          </cell>
          <cell r="C2577">
            <v>3321.1</v>
          </cell>
          <cell r="D2577">
            <v>1951.7</v>
          </cell>
        </row>
        <row r="2578">
          <cell r="A2578">
            <v>42426</v>
          </cell>
          <cell r="B2578">
            <v>3656.42</v>
          </cell>
          <cell r="C2578">
            <v>3315.17</v>
          </cell>
          <cell r="D2578">
            <v>1948.05</v>
          </cell>
        </row>
        <row r="2579">
          <cell r="A2579">
            <v>42429</v>
          </cell>
          <cell r="B2579">
            <v>3627.06</v>
          </cell>
          <cell r="C2579">
            <v>3288.45</v>
          </cell>
          <cell r="D2579">
            <v>1932.23</v>
          </cell>
        </row>
        <row r="2580">
          <cell r="A2580">
            <v>42430</v>
          </cell>
          <cell r="B2580">
            <v>3713.7</v>
          </cell>
          <cell r="C2580">
            <v>3366.99</v>
          </cell>
          <cell r="D2580">
            <v>1978.35</v>
          </cell>
        </row>
        <row r="2581">
          <cell r="A2581">
            <v>42431</v>
          </cell>
          <cell r="B2581">
            <v>3729.59</v>
          </cell>
          <cell r="C2581">
            <v>3381.21</v>
          </cell>
          <cell r="D2581">
            <v>1986.45</v>
          </cell>
        </row>
        <row r="2582">
          <cell r="A2582">
            <v>42432</v>
          </cell>
          <cell r="B2582">
            <v>3743.02</v>
          </cell>
          <cell r="C2582">
            <v>3393.28</v>
          </cell>
          <cell r="D2582">
            <v>1993.4</v>
          </cell>
        </row>
        <row r="2583">
          <cell r="A2583">
            <v>42433</v>
          </cell>
          <cell r="B2583">
            <v>3755.47</v>
          </cell>
          <cell r="C2583">
            <v>3404.55</v>
          </cell>
          <cell r="D2583">
            <v>1999.99</v>
          </cell>
        </row>
        <row r="2584">
          <cell r="A2584">
            <v>42436</v>
          </cell>
          <cell r="B2584">
            <v>3759.05</v>
          </cell>
          <cell r="C2584">
            <v>3407.72</v>
          </cell>
          <cell r="D2584">
            <v>2001.76</v>
          </cell>
        </row>
        <row r="2585">
          <cell r="A2585">
            <v>42437</v>
          </cell>
          <cell r="B2585">
            <v>3717.49</v>
          </cell>
          <cell r="C2585">
            <v>3369.86</v>
          </cell>
          <cell r="D2585">
            <v>1979.26</v>
          </cell>
        </row>
        <row r="2586">
          <cell r="A2586">
            <v>42438</v>
          </cell>
          <cell r="B2586">
            <v>3736.92</v>
          </cell>
          <cell r="C2586">
            <v>3387.3</v>
          </cell>
          <cell r="D2586">
            <v>1989.26</v>
          </cell>
        </row>
        <row r="2587">
          <cell r="A2587">
            <v>42439</v>
          </cell>
          <cell r="B2587">
            <v>3737.74</v>
          </cell>
          <cell r="C2587">
            <v>3387.97</v>
          </cell>
          <cell r="D2587">
            <v>1989.57</v>
          </cell>
        </row>
        <row r="2588">
          <cell r="A2588">
            <v>42440</v>
          </cell>
          <cell r="B2588">
            <v>3800.07</v>
          </cell>
          <cell r="C2588">
            <v>3444.19</v>
          </cell>
          <cell r="D2588">
            <v>2022.19</v>
          </cell>
        </row>
        <row r="2589">
          <cell r="A2589">
            <v>42443</v>
          </cell>
          <cell r="B2589">
            <v>3795.53</v>
          </cell>
          <cell r="C2589">
            <v>3440</v>
          </cell>
          <cell r="D2589">
            <v>2019.64</v>
          </cell>
        </row>
        <row r="2590">
          <cell r="A2590">
            <v>42444</v>
          </cell>
          <cell r="B2590">
            <v>3788.62</v>
          </cell>
          <cell r="C2590">
            <v>3433.72</v>
          </cell>
          <cell r="D2590">
            <v>2015.93</v>
          </cell>
        </row>
        <row r="2591">
          <cell r="A2591">
            <v>42445</v>
          </cell>
          <cell r="B2591">
            <v>3810.09</v>
          </cell>
          <cell r="C2591">
            <v>3453.11</v>
          </cell>
          <cell r="D2591">
            <v>2027.22</v>
          </cell>
        </row>
        <row r="2592">
          <cell r="A2592">
            <v>42446</v>
          </cell>
          <cell r="B2592">
            <v>3835.26</v>
          </cell>
          <cell r="C2592">
            <v>3475.92</v>
          </cell>
          <cell r="D2592">
            <v>2040.59</v>
          </cell>
        </row>
        <row r="2593">
          <cell r="A2593">
            <v>42447</v>
          </cell>
          <cell r="B2593">
            <v>3852.15</v>
          </cell>
          <cell r="C2593">
            <v>3491.22</v>
          </cell>
          <cell r="D2593">
            <v>2049.58</v>
          </cell>
        </row>
        <row r="2594">
          <cell r="A2594">
            <v>42450</v>
          </cell>
          <cell r="B2594">
            <v>3855.97</v>
          </cell>
          <cell r="C2594">
            <v>3494.68</v>
          </cell>
          <cell r="D2594">
            <v>2051.6</v>
          </cell>
        </row>
        <row r="2595">
          <cell r="A2595">
            <v>42451</v>
          </cell>
          <cell r="B2595">
            <v>3853.18</v>
          </cell>
          <cell r="C2595">
            <v>3491.99</v>
          </cell>
          <cell r="D2595">
            <v>2049.8000000000002</v>
          </cell>
        </row>
        <row r="2596">
          <cell r="A2596">
            <v>42452</v>
          </cell>
          <cell r="B2596">
            <v>3828.58</v>
          </cell>
          <cell r="C2596">
            <v>3469.7</v>
          </cell>
          <cell r="D2596">
            <v>2036.71</v>
          </cell>
        </row>
        <row r="2597">
          <cell r="A2597">
            <v>42453</v>
          </cell>
          <cell r="B2597">
            <v>3827.14</v>
          </cell>
          <cell r="C2597">
            <v>3468.38</v>
          </cell>
          <cell r="D2597">
            <v>2035.94</v>
          </cell>
        </row>
        <row r="2598">
          <cell r="A2598">
            <v>42457</v>
          </cell>
          <cell r="B2598">
            <v>3829.26</v>
          </cell>
          <cell r="C2598">
            <v>3470.3</v>
          </cell>
          <cell r="D2598">
            <v>2037.05</v>
          </cell>
        </row>
        <row r="2599">
          <cell r="A2599">
            <v>42458</v>
          </cell>
          <cell r="B2599">
            <v>3863.8</v>
          </cell>
          <cell r="C2599">
            <v>3501.4</v>
          </cell>
          <cell r="D2599">
            <v>2055.0100000000002</v>
          </cell>
        </row>
        <row r="2600">
          <cell r="A2600">
            <v>42459</v>
          </cell>
          <cell r="B2600">
            <v>3881.01</v>
          </cell>
          <cell r="C2600">
            <v>3516.88</v>
          </cell>
          <cell r="D2600">
            <v>2063.9499999999998</v>
          </cell>
        </row>
        <row r="2601">
          <cell r="A2601">
            <v>42460</v>
          </cell>
          <cell r="B2601">
            <v>3873.11</v>
          </cell>
          <cell r="C2601">
            <v>3509.72</v>
          </cell>
          <cell r="D2601">
            <v>2059.7399999999998</v>
          </cell>
        </row>
        <row r="2602">
          <cell r="A2602">
            <v>42461</v>
          </cell>
          <cell r="B2602">
            <v>3897.66</v>
          </cell>
          <cell r="C2602">
            <v>3531.95</v>
          </cell>
          <cell r="D2602">
            <v>2072.7800000000002</v>
          </cell>
        </row>
        <row r="2603">
          <cell r="A2603">
            <v>42464</v>
          </cell>
          <cell r="B2603">
            <v>3886</v>
          </cell>
          <cell r="C2603">
            <v>3521.16</v>
          </cell>
          <cell r="D2603">
            <v>2066.13</v>
          </cell>
        </row>
        <row r="2604">
          <cell r="A2604">
            <v>42465</v>
          </cell>
          <cell r="B2604">
            <v>3846.59</v>
          </cell>
          <cell r="C2604">
            <v>3485.44</v>
          </cell>
          <cell r="D2604">
            <v>2045.17</v>
          </cell>
        </row>
        <row r="2605">
          <cell r="A2605">
            <v>42466</v>
          </cell>
          <cell r="B2605">
            <v>3888.41</v>
          </cell>
          <cell r="C2605">
            <v>3522.96</v>
          </cell>
          <cell r="D2605">
            <v>2066.66</v>
          </cell>
        </row>
        <row r="2606">
          <cell r="A2606">
            <v>42467</v>
          </cell>
          <cell r="B2606">
            <v>3841.98</v>
          </cell>
          <cell r="C2606">
            <v>3480.85</v>
          </cell>
          <cell r="D2606">
            <v>2041.91</v>
          </cell>
        </row>
        <row r="2607">
          <cell r="A2607">
            <v>42468</v>
          </cell>
          <cell r="B2607">
            <v>3852.72</v>
          </cell>
          <cell r="C2607">
            <v>3490.58</v>
          </cell>
          <cell r="D2607">
            <v>2047.6</v>
          </cell>
        </row>
        <row r="2608">
          <cell r="A2608">
            <v>42471</v>
          </cell>
          <cell r="B2608">
            <v>3842.17</v>
          </cell>
          <cell r="C2608">
            <v>3481.01</v>
          </cell>
          <cell r="D2608">
            <v>2041.99</v>
          </cell>
        </row>
        <row r="2609">
          <cell r="A2609">
            <v>42472</v>
          </cell>
          <cell r="B2609">
            <v>3879.42</v>
          </cell>
          <cell r="C2609">
            <v>3514.73</v>
          </cell>
          <cell r="D2609">
            <v>2061.7199999999998</v>
          </cell>
        </row>
        <row r="2610">
          <cell r="A2610">
            <v>42473</v>
          </cell>
          <cell r="B2610">
            <v>3918.95</v>
          </cell>
          <cell r="C2610">
            <v>3550.39</v>
          </cell>
          <cell r="D2610">
            <v>2082.42</v>
          </cell>
        </row>
        <row r="2611">
          <cell r="A2611">
            <v>42474</v>
          </cell>
          <cell r="B2611">
            <v>3920.03</v>
          </cell>
          <cell r="C2611">
            <v>3551.25</v>
          </cell>
          <cell r="D2611">
            <v>2082.7800000000002</v>
          </cell>
        </row>
        <row r="2612">
          <cell r="A2612">
            <v>42475</v>
          </cell>
          <cell r="B2612">
            <v>3916.17</v>
          </cell>
          <cell r="C2612">
            <v>3547.76</v>
          </cell>
          <cell r="D2612">
            <v>2080.73</v>
          </cell>
        </row>
        <row r="2613">
          <cell r="A2613">
            <v>42478</v>
          </cell>
          <cell r="B2613">
            <v>3941.86</v>
          </cell>
          <cell r="C2613">
            <v>3571.01</v>
          </cell>
          <cell r="D2613">
            <v>2094.34</v>
          </cell>
        </row>
        <row r="2614">
          <cell r="A2614">
            <v>42479</v>
          </cell>
          <cell r="B2614">
            <v>3954.01</v>
          </cell>
          <cell r="C2614">
            <v>3582.02</v>
          </cell>
          <cell r="D2614">
            <v>2100.8000000000002</v>
          </cell>
        </row>
        <row r="2615">
          <cell r="A2615">
            <v>42480</v>
          </cell>
          <cell r="B2615">
            <v>3957.25</v>
          </cell>
          <cell r="C2615">
            <v>3584.89</v>
          </cell>
          <cell r="D2615">
            <v>2102.4</v>
          </cell>
        </row>
        <row r="2616">
          <cell r="A2616">
            <v>42481</v>
          </cell>
          <cell r="B2616">
            <v>3936.8</v>
          </cell>
          <cell r="C2616">
            <v>3566.34</v>
          </cell>
          <cell r="D2616">
            <v>2091.48</v>
          </cell>
        </row>
        <row r="2617">
          <cell r="A2617">
            <v>42482</v>
          </cell>
          <cell r="B2617">
            <v>3937</v>
          </cell>
          <cell r="C2617">
            <v>3566.52</v>
          </cell>
          <cell r="D2617">
            <v>2091.58</v>
          </cell>
        </row>
        <row r="2618">
          <cell r="A2618">
            <v>42485</v>
          </cell>
          <cell r="B2618">
            <v>3929.88</v>
          </cell>
          <cell r="C2618">
            <v>3560.06</v>
          </cell>
          <cell r="D2618">
            <v>2087.79</v>
          </cell>
        </row>
        <row r="2619">
          <cell r="A2619">
            <v>42486</v>
          </cell>
          <cell r="B2619">
            <v>3937.23</v>
          </cell>
          <cell r="C2619">
            <v>3566.72</v>
          </cell>
          <cell r="D2619">
            <v>2091.6999999999998</v>
          </cell>
        </row>
        <row r="2620">
          <cell r="A2620">
            <v>42487</v>
          </cell>
          <cell r="B2620">
            <v>3944.02</v>
          </cell>
          <cell r="C2620">
            <v>3572.8</v>
          </cell>
          <cell r="D2620">
            <v>2095.15</v>
          </cell>
        </row>
        <row r="2621">
          <cell r="A2621">
            <v>42488</v>
          </cell>
          <cell r="B2621">
            <v>3907.88</v>
          </cell>
          <cell r="C2621">
            <v>3539.99</v>
          </cell>
          <cell r="D2621">
            <v>2075.81</v>
          </cell>
        </row>
        <row r="2622">
          <cell r="A2622">
            <v>42489</v>
          </cell>
          <cell r="B2622">
            <v>3888.13</v>
          </cell>
          <cell r="C2622">
            <v>3522.08</v>
          </cell>
          <cell r="D2622">
            <v>2065.3000000000002</v>
          </cell>
        </row>
        <row r="2623">
          <cell r="A2623">
            <v>42492</v>
          </cell>
          <cell r="B2623">
            <v>3918.53</v>
          </cell>
          <cell r="C2623">
            <v>3549.61</v>
          </cell>
          <cell r="D2623">
            <v>2081.4299999999998</v>
          </cell>
        </row>
        <row r="2624">
          <cell r="A2624">
            <v>42493</v>
          </cell>
          <cell r="B2624">
            <v>3884.63</v>
          </cell>
          <cell r="C2624">
            <v>3518.87</v>
          </cell>
          <cell r="D2624">
            <v>2063.37</v>
          </cell>
        </row>
        <row r="2625">
          <cell r="A2625">
            <v>42494</v>
          </cell>
          <cell r="B2625">
            <v>3862.4</v>
          </cell>
          <cell r="C2625">
            <v>3498.51</v>
          </cell>
          <cell r="D2625">
            <v>2051.12</v>
          </cell>
        </row>
        <row r="2626">
          <cell r="A2626">
            <v>42495</v>
          </cell>
          <cell r="B2626">
            <v>3862.4</v>
          </cell>
          <cell r="C2626">
            <v>3498.26</v>
          </cell>
          <cell r="D2626">
            <v>2050.63</v>
          </cell>
        </row>
        <row r="2627">
          <cell r="A2627">
            <v>42496</v>
          </cell>
          <cell r="B2627">
            <v>3875.18</v>
          </cell>
          <cell r="C2627">
            <v>3509.7</v>
          </cell>
          <cell r="D2627">
            <v>2057.14</v>
          </cell>
        </row>
        <row r="2628">
          <cell r="A2628">
            <v>42499</v>
          </cell>
          <cell r="B2628">
            <v>3878.14</v>
          </cell>
          <cell r="C2628">
            <v>3512.37</v>
          </cell>
          <cell r="D2628">
            <v>2058.69</v>
          </cell>
        </row>
        <row r="2629">
          <cell r="A2629">
            <v>42500</v>
          </cell>
          <cell r="B2629">
            <v>3926.63</v>
          </cell>
          <cell r="C2629">
            <v>3556.26</v>
          </cell>
          <cell r="D2629">
            <v>2084.39</v>
          </cell>
        </row>
        <row r="2630">
          <cell r="A2630">
            <v>42501</v>
          </cell>
          <cell r="B2630">
            <v>3891.13</v>
          </cell>
          <cell r="C2630">
            <v>3523.56</v>
          </cell>
          <cell r="D2630">
            <v>2064.46</v>
          </cell>
        </row>
        <row r="2631">
          <cell r="A2631">
            <v>42502</v>
          </cell>
          <cell r="B2631">
            <v>3890.85</v>
          </cell>
          <cell r="C2631">
            <v>3523.2</v>
          </cell>
          <cell r="D2631">
            <v>2064.11</v>
          </cell>
        </row>
        <row r="2632">
          <cell r="A2632">
            <v>42503</v>
          </cell>
          <cell r="B2632">
            <v>3858.17</v>
          </cell>
          <cell r="C2632">
            <v>3493.52</v>
          </cell>
          <cell r="D2632">
            <v>2046.61</v>
          </cell>
        </row>
        <row r="2633">
          <cell r="A2633">
            <v>42506</v>
          </cell>
          <cell r="B2633">
            <v>3896.36</v>
          </cell>
          <cell r="C2633">
            <v>3527.99</v>
          </cell>
          <cell r="D2633">
            <v>2066.66</v>
          </cell>
        </row>
        <row r="2634">
          <cell r="A2634">
            <v>42507</v>
          </cell>
          <cell r="B2634">
            <v>3860.88</v>
          </cell>
          <cell r="C2634">
            <v>3495.55</v>
          </cell>
          <cell r="D2634">
            <v>2047.21</v>
          </cell>
        </row>
        <row r="2635">
          <cell r="A2635">
            <v>42508</v>
          </cell>
          <cell r="B2635">
            <v>3862.25</v>
          </cell>
          <cell r="C2635">
            <v>3496.63</v>
          </cell>
          <cell r="D2635">
            <v>2047.63</v>
          </cell>
        </row>
        <row r="2636">
          <cell r="A2636">
            <v>42509</v>
          </cell>
          <cell r="B2636">
            <v>3847.97</v>
          </cell>
          <cell r="C2636">
            <v>3483.7</v>
          </cell>
          <cell r="D2636">
            <v>2040.04</v>
          </cell>
        </row>
        <row r="2637">
          <cell r="A2637">
            <v>42510</v>
          </cell>
          <cell r="B2637">
            <v>3871.75</v>
          </cell>
          <cell r="C2637">
            <v>3505.05</v>
          </cell>
          <cell r="D2637">
            <v>2052.3200000000002</v>
          </cell>
        </row>
        <row r="2638">
          <cell r="A2638">
            <v>42513</v>
          </cell>
          <cell r="B2638">
            <v>3863.82</v>
          </cell>
          <cell r="C2638">
            <v>3497.84</v>
          </cell>
          <cell r="D2638">
            <v>2048.04</v>
          </cell>
        </row>
        <row r="2639">
          <cell r="A2639">
            <v>42514</v>
          </cell>
          <cell r="B2639">
            <v>3916.77</v>
          </cell>
          <cell r="C2639">
            <v>3545.74</v>
          </cell>
          <cell r="D2639">
            <v>2076.06</v>
          </cell>
        </row>
        <row r="2640">
          <cell r="A2640">
            <v>42515</v>
          </cell>
          <cell r="B2640">
            <v>3944.33</v>
          </cell>
          <cell r="C2640">
            <v>3570.63</v>
          </cell>
          <cell r="D2640">
            <v>2090.54</v>
          </cell>
        </row>
        <row r="2641">
          <cell r="A2641">
            <v>42516</v>
          </cell>
          <cell r="B2641">
            <v>3944.05</v>
          </cell>
          <cell r="C2641">
            <v>3570.23</v>
          </cell>
          <cell r="D2641">
            <v>2090.1</v>
          </cell>
        </row>
        <row r="2642">
          <cell r="A2642">
            <v>42517</v>
          </cell>
          <cell r="B2642">
            <v>3961.67</v>
          </cell>
          <cell r="C2642">
            <v>3585.98</v>
          </cell>
          <cell r="D2642">
            <v>2099.06</v>
          </cell>
        </row>
        <row r="2643">
          <cell r="A2643">
            <v>42521</v>
          </cell>
          <cell r="B2643">
            <v>3957.95</v>
          </cell>
          <cell r="C2643">
            <v>3582.55</v>
          </cell>
          <cell r="D2643">
            <v>2096.96</v>
          </cell>
        </row>
        <row r="2644">
          <cell r="A2644">
            <v>42522</v>
          </cell>
          <cell r="B2644">
            <v>3963.1</v>
          </cell>
          <cell r="C2644">
            <v>3587.03</v>
          </cell>
          <cell r="D2644">
            <v>2099.33</v>
          </cell>
        </row>
        <row r="2645">
          <cell r="A2645">
            <v>42523</v>
          </cell>
          <cell r="B2645">
            <v>3974.76</v>
          </cell>
          <cell r="C2645">
            <v>3597.46</v>
          </cell>
          <cell r="D2645">
            <v>2105.2600000000002</v>
          </cell>
        </row>
        <row r="2646">
          <cell r="A2646">
            <v>42524</v>
          </cell>
          <cell r="B2646">
            <v>3963.23</v>
          </cell>
          <cell r="C2646">
            <v>3587.01</v>
          </cell>
          <cell r="D2646">
            <v>2099.13</v>
          </cell>
        </row>
        <row r="2647">
          <cell r="A2647">
            <v>42527</v>
          </cell>
          <cell r="B2647">
            <v>3982.74</v>
          </cell>
          <cell r="C2647">
            <v>3604.64</v>
          </cell>
          <cell r="D2647">
            <v>2109.41</v>
          </cell>
        </row>
        <row r="2648">
          <cell r="A2648">
            <v>42528</v>
          </cell>
          <cell r="B2648">
            <v>3987.96</v>
          </cell>
          <cell r="C2648">
            <v>3609.34</v>
          </cell>
          <cell r="D2648">
            <v>2112.13</v>
          </cell>
        </row>
        <row r="2649">
          <cell r="A2649">
            <v>42529</v>
          </cell>
          <cell r="B2649">
            <v>4001.98</v>
          </cell>
          <cell r="C2649">
            <v>3621.81</v>
          </cell>
          <cell r="D2649">
            <v>2119.12</v>
          </cell>
        </row>
        <row r="2650">
          <cell r="A2650">
            <v>42530</v>
          </cell>
          <cell r="B2650">
            <v>3995.28</v>
          </cell>
          <cell r="C2650">
            <v>3615.7</v>
          </cell>
          <cell r="D2650">
            <v>2115.48</v>
          </cell>
        </row>
        <row r="2651">
          <cell r="A2651">
            <v>42531</v>
          </cell>
          <cell r="B2651">
            <v>3958.68</v>
          </cell>
          <cell r="C2651">
            <v>3582.56</v>
          </cell>
          <cell r="D2651">
            <v>2096.0700000000002</v>
          </cell>
        </row>
        <row r="2652">
          <cell r="A2652">
            <v>42534</v>
          </cell>
          <cell r="B2652">
            <v>3927.73</v>
          </cell>
          <cell r="C2652">
            <v>3554.23</v>
          </cell>
          <cell r="D2652">
            <v>2079.06</v>
          </cell>
        </row>
        <row r="2653">
          <cell r="A2653">
            <v>42535</v>
          </cell>
          <cell r="B2653">
            <v>3920.93</v>
          </cell>
          <cell r="C2653">
            <v>3548</v>
          </cell>
          <cell r="D2653">
            <v>2075.3200000000002</v>
          </cell>
        </row>
        <row r="2654">
          <cell r="A2654">
            <v>42536</v>
          </cell>
          <cell r="B2654">
            <v>3914.02</v>
          </cell>
          <cell r="C2654">
            <v>3541.67</v>
          </cell>
          <cell r="D2654">
            <v>2071.5</v>
          </cell>
        </row>
        <row r="2655">
          <cell r="A2655">
            <v>42537</v>
          </cell>
          <cell r="B2655">
            <v>3926.93</v>
          </cell>
          <cell r="C2655">
            <v>3553.18</v>
          </cell>
          <cell r="D2655">
            <v>2077.9899999999998</v>
          </cell>
        </row>
        <row r="2656">
          <cell r="A2656">
            <v>42538</v>
          </cell>
          <cell r="B2656">
            <v>3914.15</v>
          </cell>
          <cell r="C2656">
            <v>3541.61</v>
          </cell>
          <cell r="D2656">
            <v>2071.2199999999998</v>
          </cell>
        </row>
        <row r="2657">
          <cell r="A2657">
            <v>42541</v>
          </cell>
          <cell r="B2657">
            <v>3936.91</v>
          </cell>
          <cell r="C2657">
            <v>3562.19</v>
          </cell>
          <cell r="D2657">
            <v>2083.25</v>
          </cell>
        </row>
        <row r="2658">
          <cell r="A2658">
            <v>42542</v>
          </cell>
          <cell r="B2658">
            <v>3947.94</v>
          </cell>
          <cell r="C2658">
            <v>3572.08</v>
          </cell>
          <cell r="D2658">
            <v>2088.9</v>
          </cell>
        </row>
        <row r="2659">
          <cell r="A2659">
            <v>42543</v>
          </cell>
          <cell r="B2659">
            <v>3941.45</v>
          </cell>
          <cell r="C2659">
            <v>3566.2</v>
          </cell>
          <cell r="D2659">
            <v>2085.4499999999998</v>
          </cell>
        </row>
        <row r="2660">
          <cell r="A2660">
            <v>42544</v>
          </cell>
          <cell r="B2660">
            <v>3994.18</v>
          </cell>
          <cell r="C2660">
            <v>3613.89</v>
          </cell>
          <cell r="D2660">
            <v>2113.3200000000002</v>
          </cell>
        </row>
        <row r="2661">
          <cell r="A2661">
            <v>42545</v>
          </cell>
          <cell r="B2661">
            <v>3850.7</v>
          </cell>
          <cell r="C2661">
            <v>3484.07</v>
          </cell>
          <cell r="D2661">
            <v>2037.41</v>
          </cell>
        </row>
        <row r="2662">
          <cell r="A2662">
            <v>42548</v>
          </cell>
          <cell r="B2662">
            <v>3781.02</v>
          </cell>
          <cell r="C2662">
            <v>3421.02</v>
          </cell>
          <cell r="D2662">
            <v>2000.54</v>
          </cell>
        </row>
        <row r="2663">
          <cell r="A2663">
            <v>42549</v>
          </cell>
          <cell r="B2663">
            <v>3849.05</v>
          </cell>
          <cell r="C2663">
            <v>3482.35</v>
          </cell>
          <cell r="D2663">
            <v>2036.09</v>
          </cell>
        </row>
        <row r="2664">
          <cell r="A2664">
            <v>42550</v>
          </cell>
          <cell r="B2664">
            <v>3915.1</v>
          </cell>
          <cell r="C2664">
            <v>3541.98</v>
          </cell>
          <cell r="D2664">
            <v>2070.77</v>
          </cell>
        </row>
        <row r="2665">
          <cell r="A2665">
            <v>42551</v>
          </cell>
          <cell r="B2665">
            <v>3968.21</v>
          </cell>
          <cell r="C2665">
            <v>3590.02</v>
          </cell>
          <cell r="D2665">
            <v>2098.86</v>
          </cell>
        </row>
        <row r="2666">
          <cell r="A2666">
            <v>42552</v>
          </cell>
          <cell r="B2666">
            <v>3976.68</v>
          </cell>
          <cell r="C2666">
            <v>3597.49</v>
          </cell>
          <cell r="D2666">
            <v>2102.9499999999998</v>
          </cell>
        </row>
        <row r="2667">
          <cell r="A2667">
            <v>42556</v>
          </cell>
          <cell r="B2667">
            <v>3949.72</v>
          </cell>
          <cell r="C2667">
            <v>3573.02</v>
          </cell>
          <cell r="D2667">
            <v>2088.5500000000002</v>
          </cell>
        </row>
        <row r="2668">
          <cell r="A2668">
            <v>42557</v>
          </cell>
          <cell r="B2668">
            <v>3972.26</v>
          </cell>
          <cell r="C2668">
            <v>3593.04</v>
          </cell>
          <cell r="D2668">
            <v>2099.73</v>
          </cell>
        </row>
        <row r="2669">
          <cell r="A2669">
            <v>42558</v>
          </cell>
          <cell r="B2669">
            <v>3969.19</v>
          </cell>
          <cell r="C2669">
            <v>3590.15</v>
          </cell>
          <cell r="D2669">
            <v>2097.9</v>
          </cell>
        </row>
        <row r="2670">
          <cell r="A2670">
            <v>42559</v>
          </cell>
          <cell r="B2670">
            <v>4029.75</v>
          </cell>
          <cell r="C2670">
            <v>3644.92</v>
          </cell>
          <cell r="D2670">
            <v>2129.9</v>
          </cell>
        </row>
        <row r="2671">
          <cell r="A2671">
            <v>42562</v>
          </cell>
          <cell r="B2671">
            <v>4043.49</v>
          </cell>
          <cell r="C2671">
            <v>3657.35</v>
          </cell>
          <cell r="D2671">
            <v>2137.16</v>
          </cell>
        </row>
        <row r="2672">
          <cell r="A2672">
            <v>42563</v>
          </cell>
          <cell r="B2672">
            <v>4071.85</v>
          </cell>
          <cell r="C2672">
            <v>3683</v>
          </cell>
          <cell r="D2672">
            <v>2152.14</v>
          </cell>
        </row>
        <row r="2673">
          <cell r="A2673">
            <v>42564</v>
          </cell>
          <cell r="B2673">
            <v>4072.77</v>
          </cell>
          <cell r="C2673">
            <v>3683.73</v>
          </cell>
          <cell r="D2673">
            <v>2152.4299999999998</v>
          </cell>
        </row>
        <row r="2674">
          <cell r="A2674">
            <v>42565</v>
          </cell>
          <cell r="B2674">
            <v>4094.28</v>
          </cell>
          <cell r="C2674">
            <v>3703.16</v>
          </cell>
          <cell r="D2674">
            <v>2163.75</v>
          </cell>
        </row>
        <row r="2675">
          <cell r="A2675">
            <v>42566</v>
          </cell>
          <cell r="B2675">
            <v>4090.49</v>
          </cell>
          <cell r="C2675">
            <v>3699.73</v>
          </cell>
          <cell r="D2675">
            <v>2161.7399999999998</v>
          </cell>
        </row>
        <row r="2676">
          <cell r="A2676">
            <v>42569</v>
          </cell>
          <cell r="B2676">
            <v>4100.3999999999996</v>
          </cell>
          <cell r="C2676">
            <v>3708.65</v>
          </cell>
          <cell r="D2676">
            <v>2166.89</v>
          </cell>
        </row>
        <row r="2677">
          <cell r="A2677">
            <v>42570</v>
          </cell>
          <cell r="B2677">
            <v>4094.61</v>
          </cell>
          <cell r="C2677">
            <v>3703.39</v>
          </cell>
          <cell r="D2677">
            <v>2163.7800000000002</v>
          </cell>
        </row>
        <row r="2678">
          <cell r="A2678">
            <v>42571</v>
          </cell>
          <cell r="B2678">
            <v>4112.6099999999997</v>
          </cell>
          <cell r="C2678">
            <v>3719.52</v>
          </cell>
          <cell r="D2678">
            <v>2173.02</v>
          </cell>
        </row>
        <row r="2679">
          <cell r="A2679">
            <v>42572</v>
          </cell>
          <cell r="B2679">
            <v>4097.82</v>
          </cell>
          <cell r="C2679">
            <v>3706.13</v>
          </cell>
          <cell r="D2679">
            <v>2165.17</v>
          </cell>
        </row>
        <row r="2680">
          <cell r="A2680">
            <v>42573</v>
          </cell>
          <cell r="B2680">
            <v>4116.5</v>
          </cell>
          <cell r="C2680">
            <v>3723.02</v>
          </cell>
          <cell r="D2680">
            <v>2175.0300000000002</v>
          </cell>
        </row>
        <row r="2681">
          <cell r="A2681">
            <v>42576</v>
          </cell>
          <cell r="B2681">
            <v>4104.13</v>
          </cell>
          <cell r="C2681">
            <v>3711.82</v>
          </cell>
          <cell r="D2681">
            <v>2168.48</v>
          </cell>
        </row>
        <row r="2682">
          <cell r="A2682">
            <v>42577</v>
          </cell>
          <cell r="B2682">
            <v>4105.57</v>
          </cell>
          <cell r="C2682">
            <v>3713.1</v>
          </cell>
          <cell r="D2682">
            <v>2169.1799999999998</v>
          </cell>
        </row>
        <row r="2683">
          <cell r="A2683">
            <v>42578</v>
          </cell>
          <cell r="B2683">
            <v>4100.8100000000004</v>
          </cell>
          <cell r="C2683">
            <v>3708.75</v>
          </cell>
          <cell r="D2683">
            <v>2166.58</v>
          </cell>
        </row>
        <row r="2684">
          <cell r="A2684">
            <v>42579</v>
          </cell>
          <cell r="B2684">
            <v>4107.75</v>
          </cell>
          <cell r="C2684">
            <v>3714.93</v>
          </cell>
          <cell r="D2684">
            <v>2170.06</v>
          </cell>
        </row>
        <row r="2685">
          <cell r="A2685">
            <v>42580</v>
          </cell>
          <cell r="B2685">
            <v>4114.51</v>
          </cell>
          <cell r="C2685">
            <v>3721.03</v>
          </cell>
          <cell r="D2685">
            <v>2173.6</v>
          </cell>
        </row>
        <row r="2686">
          <cell r="A2686">
            <v>42583</v>
          </cell>
          <cell r="B2686">
            <v>4109.28</v>
          </cell>
          <cell r="C2686">
            <v>3716.3</v>
          </cell>
          <cell r="D2686">
            <v>2170.84</v>
          </cell>
        </row>
        <row r="2687">
          <cell r="A2687">
            <v>42584</v>
          </cell>
          <cell r="B2687">
            <v>4083.25</v>
          </cell>
          <cell r="C2687">
            <v>3692.73</v>
          </cell>
          <cell r="D2687">
            <v>2157.0300000000002</v>
          </cell>
        </row>
        <row r="2688">
          <cell r="A2688">
            <v>42585</v>
          </cell>
          <cell r="B2688">
            <v>4097.3</v>
          </cell>
          <cell r="C2688">
            <v>3705.1</v>
          </cell>
          <cell r="D2688">
            <v>2163.79</v>
          </cell>
        </row>
        <row r="2689">
          <cell r="A2689">
            <v>42586</v>
          </cell>
          <cell r="B2689">
            <v>4099.21</v>
          </cell>
          <cell r="C2689">
            <v>3706.54</v>
          </cell>
          <cell r="D2689">
            <v>2164.25</v>
          </cell>
        </row>
        <row r="2690">
          <cell r="A2690">
            <v>42587</v>
          </cell>
          <cell r="B2690">
            <v>4134.5600000000004</v>
          </cell>
          <cell r="C2690">
            <v>3738.48</v>
          </cell>
          <cell r="D2690">
            <v>2182.87</v>
          </cell>
        </row>
        <row r="2691">
          <cell r="A2691">
            <v>42590</v>
          </cell>
          <cell r="B2691">
            <v>4131.1899999999996</v>
          </cell>
          <cell r="C2691">
            <v>3735.33</v>
          </cell>
          <cell r="D2691">
            <v>2180.89</v>
          </cell>
        </row>
        <row r="2692">
          <cell r="A2692">
            <v>42591</v>
          </cell>
          <cell r="B2692">
            <v>4132.96</v>
          </cell>
          <cell r="C2692">
            <v>3736.88</v>
          </cell>
          <cell r="D2692">
            <v>2181.7399999999998</v>
          </cell>
        </row>
        <row r="2693">
          <cell r="A2693">
            <v>42592</v>
          </cell>
          <cell r="B2693">
            <v>4122.6499999999996</v>
          </cell>
          <cell r="C2693">
            <v>3727.15</v>
          </cell>
          <cell r="D2693">
            <v>2175.4899999999998</v>
          </cell>
        </row>
        <row r="2694">
          <cell r="A2694">
            <v>42593</v>
          </cell>
          <cell r="B2694">
            <v>4142.72</v>
          </cell>
          <cell r="C2694">
            <v>3745.15</v>
          </cell>
          <cell r="D2694">
            <v>2185.79</v>
          </cell>
        </row>
        <row r="2695">
          <cell r="A2695">
            <v>42594</v>
          </cell>
          <cell r="B2695">
            <v>4139.63</v>
          </cell>
          <cell r="C2695">
            <v>3742.3</v>
          </cell>
          <cell r="D2695">
            <v>2184.0500000000002</v>
          </cell>
        </row>
        <row r="2696">
          <cell r="A2696">
            <v>42597</v>
          </cell>
          <cell r="B2696">
            <v>4151.6899999999996</v>
          </cell>
          <cell r="C2696">
            <v>3753.06</v>
          </cell>
          <cell r="D2696">
            <v>2190.15</v>
          </cell>
        </row>
        <row r="2697">
          <cell r="A2697">
            <v>42598</v>
          </cell>
          <cell r="B2697">
            <v>4129.68</v>
          </cell>
          <cell r="C2697">
            <v>3732.96</v>
          </cell>
          <cell r="D2697">
            <v>2178.15</v>
          </cell>
        </row>
        <row r="2698">
          <cell r="A2698">
            <v>42599</v>
          </cell>
          <cell r="B2698">
            <v>4138.42</v>
          </cell>
          <cell r="C2698">
            <v>3740.59</v>
          </cell>
          <cell r="D2698">
            <v>2182.2199999999998</v>
          </cell>
        </row>
        <row r="2699">
          <cell r="A2699">
            <v>42600</v>
          </cell>
          <cell r="B2699">
            <v>4147.6400000000003</v>
          </cell>
          <cell r="C2699">
            <v>3748.89</v>
          </cell>
          <cell r="D2699">
            <v>2187.02</v>
          </cell>
        </row>
        <row r="2700">
          <cell r="A2700">
            <v>42601</v>
          </cell>
          <cell r="B2700">
            <v>4142.2299999999996</v>
          </cell>
          <cell r="C2700">
            <v>3743.84</v>
          </cell>
          <cell r="D2700">
            <v>2183.87</v>
          </cell>
        </row>
        <row r="2701">
          <cell r="A2701">
            <v>42604</v>
          </cell>
          <cell r="B2701">
            <v>4139.97</v>
          </cell>
          <cell r="C2701">
            <v>3741.79</v>
          </cell>
          <cell r="D2701">
            <v>2182.64</v>
          </cell>
        </row>
        <row r="2702">
          <cell r="A2702">
            <v>42605</v>
          </cell>
          <cell r="B2702">
            <v>4148.16</v>
          </cell>
          <cell r="C2702">
            <v>3749.16</v>
          </cell>
          <cell r="D2702">
            <v>2186.9</v>
          </cell>
        </row>
        <row r="2703">
          <cell r="A2703">
            <v>42606</v>
          </cell>
          <cell r="B2703">
            <v>4126.6499999999996</v>
          </cell>
          <cell r="C2703">
            <v>3729.65</v>
          </cell>
          <cell r="D2703">
            <v>2175.44</v>
          </cell>
        </row>
        <row r="2704">
          <cell r="A2704">
            <v>42607</v>
          </cell>
          <cell r="B2704">
            <v>4121.09</v>
          </cell>
          <cell r="C2704">
            <v>3724.61</v>
          </cell>
          <cell r="D2704">
            <v>2172.4699999999998</v>
          </cell>
        </row>
        <row r="2705">
          <cell r="A2705">
            <v>42608</v>
          </cell>
          <cell r="B2705">
            <v>4114.68</v>
          </cell>
          <cell r="C2705">
            <v>3718.79</v>
          </cell>
          <cell r="D2705">
            <v>2169.04</v>
          </cell>
        </row>
        <row r="2706">
          <cell r="A2706">
            <v>42611</v>
          </cell>
          <cell r="B2706">
            <v>4136.75</v>
          </cell>
          <cell r="C2706">
            <v>3738.58</v>
          </cell>
          <cell r="D2706">
            <v>2180.38</v>
          </cell>
        </row>
        <row r="2707">
          <cell r="A2707">
            <v>42612</v>
          </cell>
          <cell r="B2707">
            <v>4129.34</v>
          </cell>
          <cell r="C2707">
            <v>3731.71</v>
          </cell>
          <cell r="D2707">
            <v>2176.12</v>
          </cell>
        </row>
        <row r="2708">
          <cell r="A2708">
            <v>42613</v>
          </cell>
          <cell r="B2708">
            <v>4120.29</v>
          </cell>
          <cell r="C2708">
            <v>3723.32</v>
          </cell>
          <cell r="D2708">
            <v>2170.9499999999998</v>
          </cell>
        </row>
        <row r="2709">
          <cell r="A2709">
            <v>42614</v>
          </cell>
          <cell r="B2709">
            <v>4120.17</v>
          </cell>
          <cell r="C2709">
            <v>3723.2</v>
          </cell>
          <cell r="D2709">
            <v>2170.86</v>
          </cell>
        </row>
        <row r="2710">
          <cell r="A2710">
            <v>42615</v>
          </cell>
          <cell r="B2710">
            <v>4137.7</v>
          </cell>
          <cell r="C2710">
            <v>3738.98</v>
          </cell>
          <cell r="D2710">
            <v>2179.98</v>
          </cell>
        </row>
        <row r="2711">
          <cell r="A2711">
            <v>42619</v>
          </cell>
          <cell r="B2711">
            <v>4150.1099999999997</v>
          </cell>
          <cell r="C2711">
            <v>3750.17</v>
          </cell>
          <cell r="D2711">
            <v>2186.48</v>
          </cell>
        </row>
        <row r="2712">
          <cell r="A2712">
            <v>42620</v>
          </cell>
          <cell r="B2712">
            <v>4150.51</v>
          </cell>
          <cell r="C2712">
            <v>3750.26</v>
          </cell>
          <cell r="D2712">
            <v>2186.16</v>
          </cell>
        </row>
        <row r="2713">
          <cell r="A2713">
            <v>42621</v>
          </cell>
          <cell r="B2713">
            <v>4141.46</v>
          </cell>
          <cell r="C2713">
            <v>3742.04</v>
          </cell>
          <cell r="D2713">
            <v>2181.3000000000002</v>
          </cell>
        </row>
        <row r="2714">
          <cell r="A2714">
            <v>42622</v>
          </cell>
          <cell r="B2714">
            <v>4039.95</v>
          </cell>
          <cell r="C2714">
            <v>3650.31</v>
          </cell>
          <cell r="D2714">
            <v>2127.81</v>
          </cell>
        </row>
        <row r="2715">
          <cell r="A2715">
            <v>42625</v>
          </cell>
          <cell r="B2715">
            <v>4099.47</v>
          </cell>
          <cell r="C2715">
            <v>3704.03</v>
          </cell>
          <cell r="D2715">
            <v>2159.04</v>
          </cell>
        </row>
        <row r="2716">
          <cell r="A2716">
            <v>42626</v>
          </cell>
          <cell r="B2716">
            <v>4039.92</v>
          </cell>
          <cell r="C2716">
            <v>3649.88</v>
          </cell>
          <cell r="D2716">
            <v>2127.02</v>
          </cell>
        </row>
        <row r="2717">
          <cell r="A2717">
            <v>42627</v>
          </cell>
          <cell r="B2717">
            <v>4037.83</v>
          </cell>
          <cell r="C2717">
            <v>3647.91</v>
          </cell>
          <cell r="D2717">
            <v>2125.77</v>
          </cell>
        </row>
        <row r="2718">
          <cell r="A2718">
            <v>42628</v>
          </cell>
          <cell r="B2718">
            <v>4079.32</v>
          </cell>
          <cell r="C2718">
            <v>3685.22</v>
          </cell>
          <cell r="D2718">
            <v>2147.2600000000002</v>
          </cell>
        </row>
        <row r="2719">
          <cell r="A2719">
            <v>42629</v>
          </cell>
          <cell r="B2719">
            <v>4063.97</v>
          </cell>
          <cell r="C2719">
            <v>3671.34</v>
          </cell>
          <cell r="D2719">
            <v>2139.16</v>
          </cell>
        </row>
        <row r="2720">
          <cell r="A2720">
            <v>42632</v>
          </cell>
          <cell r="B2720">
            <v>4063.94</v>
          </cell>
          <cell r="C2720">
            <v>3671.3</v>
          </cell>
          <cell r="D2720">
            <v>2139.12</v>
          </cell>
        </row>
        <row r="2721">
          <cell r="A2721">
            <v>42633</v>
          </cell>
          <cell r="B2721">
            <v>4065.2</v>
          </cell>
          <cell r="C2721">
            <v>3672.43</v>
          </cell>
          <cell r="D2721">
            <v>2139.7600000000002</v>
          </cell>
        </row>
        <row r="2722">
          <cell r="A2722">
            <v>42634</v>
          </cell>
          <cell r="B2722">
            <v>4109.63</v>
          </cell>
          <cell r="C2722">
            <v>3712.55</v>
          </cell>
          <cell r="D2722">
            <v>2163.12</v>
          </cell>
        </row>
        <row r="2723">
          <cell r="A2723">
            <v>42635</v>
          </cell>
          <cell r="B2723">
            <v>4136.41</v>
          </cell>
          <cell r="C2723">
            <v>3736.73</v>
          </cell>
          <cell r="D2723">
            <v>2177.1799999999998</v>
          </cell>
        </row>
        <row r="2724">
          <cell r="A2724">
            <v>42636</v>
          </cell>
          <cell r="B2724">
            <v>4112.6899999999996</v>
          </cell>
          <cell r="C2724">
            <v>3715.29</v>
          </cell>
          <cell r="D2724">
            <v>2164.69</v>
          </cell>
        </row>
        <row r="2725">
          <cell r="A2725">
            <v>42639</v>
          </cell>
          <cell r="B2725">
            <v>4077.71</v>
          </cell>
          <cell r="C2725">
            <v>3683.6</v>
          </cell>
          <cell r="D2725">
            <v>2146.1</v>
          </cell>
        </row>
        <row r="2726">
          <cell r="A2726">
            <v>42640</v>
          </cell>
          <cell r="B2726">
            <v>4104.18</v>
          </cell>
          <cell r="C2726">
            <v>3707.46</v>
          </cell>
          <cell r="D2726">
            <v>2159.9299999999998</v>
          </cell>
        </row>
        <row r="2727">
          <cell r="A2727">
            <v>42641</v>
          </cell>
          <cell r="B2727">
            <v>4126.83</v>
          </cell>
          <cell r="C2727">
            <v>3727.67</v>
          </cell>
          <cell r="D2727">
            <v>2171.37</v>
          </cell>
        </row>
        <row r="2728">
          <cell r="A2728">
            <v>42642</v>
          </cell>
          <cell r="B2728">
            <v>4088.47</v>
          </cell>
          <cell r="C2728">
            <v>3692.99</v>
          </cell>
          <cell r="D2728">
            <v>2151.13</v>
          </cell>
        </row>
        <row r="2729">
          <cell r="A2729">
            <v>42643</v>
          </cell>
          <cell r="B2729">
            <v>4121.0600000000004</v>
          </cell>
          <cell r="C2729">
            <v>3722.43</v>
          </cell>
          <cell r="D2729">
            <v>2168.27</v>
          </cell>
        </row>
        <row r="2730">
          <cell r="A2730">
            <v>42646</v>
          </cell>
          <cell r="B2730">
            <v>4108.13</v>
          </cell>
          <cell r="C2730">
            <v>3710.61</v>
          </cell>
          <cell r="D2730">
            <v>2161.1999999999998</v>
          </cell>
        </row>
        <row r="2731">
          <cell r="A2731">
            <v>42647</v>
          </cell>
          <cell r="B2731">
            <v>4088.17</v>
          </cell>
          <cell r="C2731">
            <v>3692.47</v>
          </cell>
          <cell r="D2731">
            <v>2150.4899999999998</v>
          </cell>
        </row>
        <row r="2732">
          <cell r="A2732">
            <v>42648</v>
          </cell>
          <cell r="B2732">
            <v>4107.3999999999996</v>
          </cell>
          <cell r="C2732">
            <v>3709.39</v>
          </cell>
          <cell r="D2732">
            <v>2159.73</v>
          </cell>
        </row>
        <row r="2733">
          <cell r="A2733">
            <v>42649</v>
          </cell>
          <cell r="B2733">
            <v>4109.49</v>
          </cell>
          <cell r="C2733">
            <v>3711.25</v>
          </cell>
          <cell r="D2733">
            <v>2160.77</v>
          </cell>
        </row>
        <row r="2734">
          <cell r="A2734">
            <v>42650</v>
          </cell>
          <cell r="B2734">
            <v>4096.25</v>
          </cell>
          <cell r="C2734">
            <v>3699.26</v>
          </cell>
          <cell r="D2734">
            <v>2153.7399999999998</v>
          </cell>
        </row>
        <row r="2735">
          <cell r="A2735">
            <v>42653</v>
          </cell>
          <cell r="B2735">
            <v>4115.12</v>
          </cell>
          <cell r="C2735">
            <v>3716.3</v>
          </cell>
          <cell r="D2735">
            <v>2163.66</v>
          </cell>
        </row>
        <row r="2736">
          <cell r="A2736">
            <v>42654</v>
          </cell>
          <cell r="B2736">
            <v>4063.92</v>
          </cell>
          <cell r="C2736">
            <v>3670.05</v>
          </cell>
          <cell r="D2736">
            <v>2136.73</v>
          </cell>
        </row>
        <row r="2737">
          <cell r="A2737">
            <v>42655</v>
          </cell>
          <cell r="B2737">
            <v>4068.92</v>
          </cell>
          <cell r="C2737">
            <v>3674.48</v>
          </cell>
          <cell r="D2737">
            <v>2139.1799999999998</v>
          </cell>
        </row>
        <row r="2738">
          <cell r="A2738">
            <v>42656</v>
          </cell>
          <cell r="B2738">
            <v>4056.45</v>
          </cell>
          <cell r="C2738">
            <v>3663.18</v>
          </cell>
          <cell r="D2738">
            <v>2132.5500000000002</v>
          </cell>
        </row>
        <row r="2739">
          <cell r="A2739">
            <v>42657</v>
          </cell>
          <cell r="B2739">
            <v>4057.28</v>
          </cell>
          <cell r="C2739">
            <v>3663.92</v>
          </cell>
          <cell r="D2739">
            <v>2132.98</v>
          </cell>
        </row>
        <row r="2740">
          <cell r="A2740">
            <v>42660</v>
          </cell>
          <cell r="B2740">
            <v>4045.07</v>
          </cell>
          <cell r="C2740">
            <v>3652.87</v>
          </cell>
          <cell r="D2740">
            <v>2126.5</v>
          </cell>
        </row>
        <row r="2741">
          <cell r="A2741">
            <v>42661</v>
          </cell>
          <cell r="B2741">
            <v>4069.99</v>
          </cell>
          <cell r="C2741">
            <v>3675.37</v>
          </cell>
          <cell r="D2741">
            <v>2139.6</v>
          </cell>
        </row>
        <row r="2742">
          <cell r="A2742">
            <v>42662</v>
          </cell>
          <cell r="B2742">
            <v>4079.5</v>
          </cell>
          <cell r="C2742">
            <v>3683.8</v>
          </cell>
          <cell r="D2742">
            <v>2144.29</v>
          </cell>
        </row>
        <row r="2743">
          <cell r="A2743">
            <v>42663</v>
          </cell>
          <cell r="B2743">
            <v>4074.18</v>
          </cell>
          <cell r="C2743">
            <v>3678.92</v>
          </cell>
          <cell r="D2743">
            <v>2141.34</v>
          </cell>
        </row>
        <row r="2744">
          <cell r="A2744">
            <v>42664</v>
          </cell>
          <cell r="B2744">
            <v>4073.85</v>
          </cell>
          <cell r="C2744">
            <v>3678.62</v>
          </cell>
          <cell r="D2744">
            <v>2141.16</v>
          </cell>
        </row>
        <row r="2745">
          <cell r="A2745">
            <v>42667</v>
          </cell>
          <cell r="B2745">
            <v>4093.22</v>
          </cell>
          <cell r="C2745">
            <v>3696.11</v>
          </cell>
          <cell r="D2745">
            <v>2151.33</v>
          </cell>
        </row>
        <row r="2746">
          <cell r="A2746">
            <v>42668</v>
          </cell>
          <cell r="B2746">
            <v>4077.8</v>
          </cell>
          <cell r="C2746">
            <v>3682.15</v>
          </cell>
          <cell r="D2746">
            <v>2143.16</v>
          </cell>
        </row>
        <row r="2747">
          <cell r="A2747">
            <v>42669</v>
          </cell>
          <cell r="B2747">
            <v>4070.76</v>
          </cell>
          <cell r="C2747">
            <v>3675.77</v>
          </cell>
          <cell r="D2747">
            <v>2139.4299999999998</v>
          </cell>
        </row>
        <row r="2748">
          <cell r="A2748">
            <v>42670</v>
          </cell>
          <cell r="B2748">
            <v>4058.75</v>
          </cell>
          <cell r="C2748">
            <v>3664.88</v>
          </cell>
          <cell r="D2748">
            <v>2133.04</v>
          </cell>
        </row>
        <row r="2749">
          <cell r="A2749">
            <v>42671</v>
          </cell>
          <cell r="B2749">
            <v>4046.36</v>
          </cell>
          <cell r="C2749">
            <v>3653.64</v>
          </cell>
          <cell r="D2749">
            <v>2126.41</v>
          </cell>
        </row>
        <row r="2750">
          <cell r="A2750">
            <v>42674</v>
          </cell>
          <cell r="B2750">
            <v>4045.89</v>
          </cell>
          <cell r="C2750">
            <v>3653.21</v>
          </cell>
          <cell r="D2750">
            <v>2126.15</v>
          </cell>
        </row>
        <row r="2751">
          <cell r="A2751">
            <v>42675</v>
          </cell>
          <cell r="B2751">
            <v>4018.47</v>
          </cell>
          <cell r="C2751">
            <v>3628.44</v>
          </cell>
          <cell r="D2751">
            <v>2111.7199999999998</v>
          </cell>
        </row>
        <row r="2752">
          <cell r="A2752">
            <v>42676</v>
          </cell>
          <cell r="B2752">
            <v>3992.76</v>
          </cell>
          <cell r="C2752">
            <v>3605.09</v>
          </cell>
          <cell r="D2752">
            <v>2097.94</v>
          </cell>
        </row>
        <row r="2753">
          <cell r="A2753">
            <v>42677</v>
          </cell>
          <cell r="B2753">
            <v>3976.56</v>
          </cell>
          <cell r="C2753">
            <v>3590.06</v>
          </cell>
          <cell r="D2753">
            <v>2088.66</v>
          </cell>
        </row>
        <row r="2754">
          <cell r="A2754">
            <v>42678</v>
          </cell>
          <cell r="B2754">
            <v>3970.02</v>
          </cell>
          <cell r="C2754">
            <v>3584.13</v>
          </cell>
          <cell r="D2754">
            <v>2085.1799999999998</v>
          </cell>
        </row>
        <row r="2755">
          <cell r="A2755">
            <v>42681</v>
          </cell>
          <cell r="B2755">
            <v>4058.3</v>
          </cell>
          <cell r="C2755">
            <v>3663.82</v>
          </cell>
          <cell r="D2755">
            <v>2131.52</v>
          </cell>
        </row>
        <row r="2756">
          <cell r="A2756">
            <v>42682</v>
          </cell>
          <cell r="B2756">
            <v>4075.61</v>
          </cell>
          <cell r="C2756">
            <v>3678.9</v>
          </cell>
          <cell r="D2756">
            <v>2139.56</v>
          </cell>
        </row>
        <row r="2757">
          <cell r="A2757">
            <v>42683</v>
          </cell>
          <cell r="B2757">
            <v>4121.03</v>
          </cell>
          <cell r="C2757">
            <v>3719.83</v>
          </cell>
          <cell r="D2757">
            <v>2163.2600000000002</v>
          </cell>
        </row>
        <row r="2758">
          <cell r="A2758">
            <v>42684</v>
          </cell>
          <cell r="B2758">
            <v>4129.46</v>
          </cell>
          <cell r="C2758">
            <v>3727.33</v>
          </cell>
          <cell r="D2758">
            <v>2167.48</v>
          </cell>
        </row>
        <row r="2759">
          <cell r="A2759">
            <v>42685</v>
          </cell>
          <cell r="B2759">
            <v>4123.6899999999996</v>
          </cell>
          <cell r="C2759">
            <v>3722.12</v>
          </cell>
          <cell r="D2759">
            <v>2164.4499999999998</v>
          </cell>
        </row>
        <row r="2760">
          <cell r="A2760">
            <v>42688</v>
          </cell>
          <cell r="B2760">
            <v>4123.8100000000004</v>
          </cell>
          <cell r="C2760">
            <v>3722.07</v>
          </cell>
          <cell r="D2760">
            <v>2164.1999999999998</v>
          </cell>
        </row>
        <row r="2761">
          <cell r="A2761">
            <v>42689</v>
          </cell>
          <cell r="B2761">
            <v>4155.62</v>
          </cell>
          <cell r="C2761">
            <v>3750.52</v>
          </cell>
          <cell r="D2761">
            <v>2180.39</v>
          </cell>
        </row>
        <row r="2762">
          <cell r="A2762">
            <v>42690</v>
          </cell>
          <cell r="B2762">
            <v>4150.21</v>
          </cell>
          <cell r="C2762">
            <v>3745.32</v>
          </cell>
          <cell r="D2762">
            <v>2176.94</v>
          </cell>
        </row>
        <row r="2763">
          <cell r="A2763">
            <v>42691</v>
          </cell>
          <cell r="B2763">
            <v>4169.87</v>
          </cell>
          <cell r="C2763">
            <v>3762.99</v>
          </cell>
          <cell r="D2763">
            <v>2187.12</v>
          </cell>
        </row>
        <row r="2764">
          <cell r="A2764">
            <v>42692</v>
          </cell>
          <cell r="B2764">
            <v>4160.58</v>
          </cell>
          <cell r="C2764">
            <v>3754.43</v>
          </cell>
          <cell r="D2764">
            <v>2181.9</v>
          </cell>
        </row>
        <row r="2765">
          <cell r="A2765">
            <v>42695</v>
          </cell>
          <cell r="B2765">
            <v>4191.68</v>
          </cell>
          <cell r="C2765">
            <v>3782.49</v>
          </cell>
          <cell r="D2765">
            <v>2198.1799999999998</v>
          </cell>
        </row>
        <row r="2766">
          <cell r="A2766">
            <v>42696</v>
          </cell>
          <cell r="B2766">
            <v>4200.95</v>
          </cell>
          <cell r="C2766">
            <v>3790.79</v>
          </cell>
          <cell r="D2766">
            <v>2202.94</v>
          </cell>
        </row>
        <row r="2767">
          <cell r="A2767">
            <v>42697</v>
          </cell>
          <cell r="B2767">
            <v>4204.49</v>
          </cell>
          <cell r="C2767">
            <v>3793.95</v>
          </cell>
          <cell r="D2767">
            <v>2204.7199999999998</v>
          </cell>
        </row>
        <row r="2768">
          <cell r="A2768">
            <v>42699</v>
          </cell>
          <cell r="B2768">
            <v>4221.0200000000004</v>
          </cell>
          <cell r="C2768">
            <v>3808.85</v>
          </cell>
          <cell r="D2768">
            <v>2213.35</v>
          </cell>
        </row>
        <row r="2769">
          <cell r="A2769">
            <v>42702</v>
          </cell>
          <cell r="B2769">
            <v>4199.3900000000003</v>
          </cell>
          <cell r="C2769">
            <v>3789.18</v>
          </cell>
          <cell r="D2769">
            <v>2201.7199999999998</v>
          </cell>
        </row>
        <row r="2770">
          <cell r="A2770">
            <v>42703</v>
          </cell>
          <cell r="B2770">
            <v>4205.99</v>
          </cell>
          <cell r="C2770">
            <v>3794.86</v>
          </cell>
          <cell r="D2770">
            <v>2204.66</v>
          </cell>
        </row>
        <row r="2771">
          <cell r="A2771">
            <v>42704</v>
          </cell>
          <cell r="B2771">
            <v>4195.7299999999996</v>
          </cell>
          <cell r="C2771">
            <v>3785.37</v>
          </cell>
          <cell r="D2771">
            <v>2198.81</v>
          </cell>
        </row>
        <row r="2772">
          <cell r="A2772">
            <v>42705</v>
          </cell>
          <cell r="B2772">
            <v>4181.1499999999996</v>
          </cell>
          <cell r="C2772">
            <v>3772.17</v>
          </cell>
          <cell r="D2772">
            <v>2191.08</v>
          </cell>
        </row>
        <row r="2773">
          <cell r="A2773">
            <v>42706</v>
          </cell>
          <cell r="B2773">
            <v>4182.8100000000004</v>
          </cell>
          <cell r="C2773">
            <v>3773.67</v>
          </cell>
          <cell r="D2773">
            <v>2191.9499999999998</v>
          </cell>
        </row>
        <row r="2774">
          <cell r="A2774">
            <v>42709</v>
          </cell>
          <cell r="B2774">
            <v>4207.57</v>
          </cell>
          <cell r="C2774">
            <v>3795.89</v>
          </cell>
          <cell r="D2774">
            <v>2204.71</v>
          </cell>
        </row>
        <row r="2775">
          <cell r="A2775">
            <v>42710</v>
          </cell>
          <cell r="B2775">
            <v>4222.04</v>
          </cell>
          <cell r="C2775">
            <v>3808.91</v>
          </cell>
          <cell r="D2775">
            <v>2212.23</v>
          </cell>
        </row>
        <row r="2776">
          <cell r="A2776">
            <v>42711</v>
          </cell>
          <cell r="B2776">
            <v>4278.4399999999996</v>
          </cell>
          <cell r="C2776">
            <v>3859.57</v>
          </cell>
          <cell r="D2776">
            <v>2241.35</v>
          </cell>
        </row>
        <row r="2777">
          <cell r="A2777">
            <v>42712</v>
          </cell>
          <cell r="B2777">
            <v>4288.1000000000004</v>
          </cell>
          <cell r="C2777">
            <v>3868.17</v>
          </cell>
          <cell r="D2777">
            <v>2246.19</v>
          </cell>
        </row>
        <row r="2778">
          <cell r="A2778">
            <v>42713</v>
          </cell>
          <cell r="B2778">
            <v>4313.6099999999997</v>
          </cell>
          <cell r="C2778">
            <v>3891.17</v>
          </cell>
          <cell r="D2778">
            <v>2259.5300000000002</v>
          </cell>
        </row>
        <row r="2779">
          <cell r="A2779">
            <v>42716</v>
          </cell>
          <cell r="B2779">
            <v>4308.9399999999996</v>
          </cell>
          <cell r="C2779">
            <v>3886.9</v>
          </cell>
          <cell r="D2779">
            <v>2256.96</v>
          </cell>
        </row>
        <row r="2780">
          <cell r="A2780">
            <v>42717</v>
          </cell>
          <cell r="B2780">
            <v>4337.8599999999997</v>
          </cell>
          <cell r="C2780">
            <v>3912.78</v>
          </cell>
          <cell r="D2780">
            <v>2271.7199999999998</v>
          </cell>
        </row>
        <row r="2781">
          <cell r="A2781">
            <v>42718</v>
          </cell>
          <cell r="B2781">
            <v>4302.93</v>
          </cell>
          <cell r="C2781">
            <v>3881.2</v>
          </cell>
          <cell r="D2781">
            <v>2253.2800000000002</v>
          </cell>
        </row>
        <row r="2782">
          <cell r="A2782">
            <v>42719</v>
          </cell>
          <cell r="B2782">
            <v>4319.84</v>
          </cell>
          <cell r="C2782">
            <v>3896.4</v>
          </cell>
          <cell r="D2782">
            <v>2262.0300000000002</v>
          </cell>
        </row>
        <row r="2783">
          <cell r="A2783">
            <v>42720</v>
          </cell>
          <cell r="B2783">
            <v>4312.3999999999996</v>
          </cell>
          <cell r="C2783">
            <v>3889.65</v>
          </cell>
          <cell r="D2783">
            <v>2258.0700000000002</v>
          </cell>
        </row>
        <row r="2784">
          <cell r="A2784">
            <v>42723</v>
          </cell>
          <cell r="B2784">
            <v>4321.0200000000004</v>
          </cell>
          <cell r="C2784">
            <v>3897.4</v>
          </cell>
          <cell r="D2784">
            <v>2262.5300000000002</v>
          </cell>
        </row>
        <row r="2785">
          <cell r="A2785">
            <v>42724</v>
          </cell>
          <cell r="B2785">
            <v>4337.3599999999997</v>
          </cell>
          <cell r="C2785">
            <v>3911.97</v>
          </cell>
          <cell r="D2785">
            <v>2270.7600000000002</v>
          </cell>
        </row>
        <row r="2786">
          <cell r="A2786">
            <v>42725</v>
          </cell>
          <cell r="B2786">
            <v>4326.8500000000004</v>
          </cell>
          <cell r="C2786">
            <v>3902.45</v>
          </cell>
          <cell r="D2786">
            <v>2265.1799999999998</v>
          </cell>
        </row>
        <row r="2787">
          <cell r="A2787">
            <v>42726</v>
          </cell>
          <cell r="B2787">
            <v>4319.33</v>
          </cell>
          <cell r="C2787">
            <v>3895.52</v>
          </cell>
          <cell r="D2787">
            <v>2260.96</v>
          </cell>
        </row>
        <row r="2788">
          <cell r="A2788">
            <v>42727</v>
          </cell>
          <cell r="B2788">
            <v>4325.17</v>
          </cell>
          <cell r="C2788">
            <v>3900.67</v>
          </cell>
          <cell r="D2788">
            <v>2263.79</v>
          </cell>
        </row>
        <row r="2789">
          <cell r="A2789">
            <v>42731</v>
          </cell>
          <cell r="B2789">
            <v>4334.93</v>
          </cell>
          <cell r="C2789">
            <v>3909.46</v>
          </cell>
          <cell r="D2789">
            <v>2268.88</v>
          </cell>
        </row>
        <row r="2790">
          <cell r="A2790">
            <v>42732</v>
          </cell>
          <cell r="B2790">
            <v>4299.45</v>
          </cell>
          <cell r="C2790">
            <v>3877.27</v>
          </cell>
          <cell r="D2790">
            <v>2249.92</v>
          </cell>
        </row>
        <row r="2791">
          <cell r="A2791">
            <v>42733</v>
          </cell>
          <cell r="B2791">
            <v>4298.3900000000003</v>
          </cell>
          <cell r="C2791">
            <v>3876.25</v>
          </cell>
          <cell r="D2791">
            <v>2249.2600000000002</v>
          </cell>
        </row>
        <row r="2792">
          <cell r="A2792">
            <v>42734</v>
          </cell>
          <cell r="B2792">
            <v>4278.66</v>
          </cell>
          <cell r="C2792">
            <v>3858.41</v>
          </cell>
          <cell r="D2792">
            <v>2238.83</v>
          </cell>
        </row>
        <row r="2793">
          <cell r="A2793">
            <v>42738</v>
          </cell>
          <cell r="B2793">
            <v>4315.08</v>
          </cell>
          <cell r="C2793">
            <v>3891.22</v>
          </cell>
          <cell r="D2793">
            <v>2257.83</v>
          </cell>
        </row>
        <row r="2794">
          <cell r="A2794">
            <v>42739</v>
          </cell>
          <cell r="B2794">
            <v>4340.75</v>
          </cell>
          <cell r="C2794">
            <v>3914.11</v>
          </cell>
          <cell r="D2794">
            <v>2270.75</v>
          </cell>
        </row>
        <row r="2795">
          <cell r="A2795">
            <v>42740</v>
          </cell>
          <cell r="B2795">
            <v>4337.45</v>
          </cell>
          <cell r="C2795">
            <v>3911.12</v>
          </cell>
          <cell r="D2795">
            <v>2269</v>
          </cell>
        </row>
        <row r="2796">
          <cell r="A2796">
            <v>42741</v>
          </cell>
          <cell r="B2796">
            <v>4354.05</v>
          </cell>
          <cell r="C2796">
            <v>3925.72</v>
          </cell>
          <cell r="D2796">
            <v>2276.98</v>
          </cell>
        </row>
        <row r="2797">
          <cell r="A2797">
            <v>42744</v>
          </cell>
          <cell r="B2797">
            <v>4338.62</v>
          </cell>
          <cell r="C2797">
            <v>3911.81</v>
          </cell>
          <cell r="D2797">
            <v>2268.9</v>
          </cell>
        </row>
        <row r="2798">
          <cell r="A2798">
            <v>42745</v>
          </cell>
          <cell r="B2798">
            <v>4338.6400000000003</v>
          </cell>
          <cell r="C2798">
            <v>3911.82</v>
          </cell>
          <cell r="D2798">
            <v>2268.9</v>
          </cell>
        </row>
        <row r="2799">
          <cell r="A2799">
            <v>42746</v>
          </cell>
          <cell r="B2799">
            <v>4351.32</v>
          </cell>
          <cell r="C2799">
            <v>3923.14</v>
          </cell>
          <cell r="D2799">
            <v>2275.3200000000002</v>
          </cell>
        </row>
        <row r="2800">
          <cell r="A2800">
            <v>42747</v>
          </cell>
          <cell r="B2800">
            <v>4342.09</v>
          </cell>
          <cell r="C2800">
            <v>3914.79</v>
          </cell>
          <cell r="D2800">
            <v>2270.44</v>
          </cell>
        </row>
        <row r="2801">
          <cell r="A2801">
            <v>42748</v>
          </cell>
          <cell r="B2801">
            <v>4350.1099999999997</v>
          </cell>
          <cell r="C2801">
            <v>3922.02</v>
          </cell>
          <cell r="D2801">
            <v>2274.64</v>
          </cell>
        </row>
        <row r="2802">
          <cell r="A2802">
            <v>42752</v>
          </cell>
          <cell r="B2802">
            <v>4337.2</v>
          </cell>
          <cell r="C2802">
            <v>3910.39</v>
          </cell>
          <cell r="D2802">
            <v>2267.89</v>
          </cell>
        </row>
        <row r="2803">
          <cell r="A2803">
            <v>42753</v>
          </cell>
          <cell r="B2803">
            <v>4345.57</v>
          </cell>
          <cell r="C2803">
            <v>3917.73</v>
          </cell>
          <cell r="D2803">
            <v>2271.89</v>
          </cell>
        </row>
        <row r="2804">
          <cell r="A2804">
            <v>42754</v>
          </cell>
          <cell r="B2804">
            <v>4329.96</v>
          </cell>
          <cell r="C2804">
            <v>3903.64</v>
          </cell>
          <cell r="D2804">
            <v>2263.69</v>
          </cell>
        </row>
        <row r="2805">
          <cell r="A2805">
            <v>42755</v>
          </cell>
          <cell r="B2805">
            <v>4344.67</v>
          </cell>
          <cell r="C2805">
            <v>3916.87</v>
          </cell>
          <cell r="D2805">
            <v>2271.31</v>
          </cell>
        </row>
        <row r="2806">
          <cell r="A2806">
            <v>42758</v>
          </cell>
          <cell r="B2806">
            <v>4333.1000000000004</v>
          </cell>
          <cell r="C2806">
            <v>3906.41</v>
          </cell>
          <cell r="D2806">
            <v>2265.1999999999998</v>
          </cell>
        </row>
        <row r="2807">
          <cell r="A2807">
            <v>42759</v>
          </cell>
          <cell r="B2807">
            <v>4361.5600000000004</v>
          </cell>
          <cell r="C2807">
            <v>3932.06</v>
          </cell>
          <cell r="D2807">
            <v>2280.0700000000002</v>
          </cell>
        </row>
        <row r="2808">
          <cell r="A2808">
            <v>42760</v>
          </cell>
          <cell r="B2808">
            <v>4396.57</v>
          </cell>
          <cell r="C2808">
            <v>3963.62</v>
          </cell>
          <cell r="D2808">
            <v>2298.37</v>
          </cell>
        </row>
        <row r="2809">
          <cell r="A2809">
            <v>42761</v>
          </cell>
          <cell r="B2809">
            <v>4393.43</v>
          </cell>
          <cell r="C2809">
            <v>3960.76</v>
          </cell>
          <cell r="D2809">
            <v>2296.6799999999998</v>
          </cell>
        </row>
        <row r="2810">
          <cell r="A2810">
            <v>42762</v>
          </cell>
          <cell r="B2810">
            <v>4389.8500000000004</v>
          </cell>
          <cell r="C2810">
            <v>3957.48</v>
          </cell>
          <cell r="D2810">
            <v>2294.69</v>
          </cell>
        </row>
        <row r="2811">
          <cell r="A2811">
            <v>42765</v>
          </cell>
          <cell r="B2811">
            <v>4363.67</v>
          </cell>
          <cell r="C2811">
            <v>3933.82</v>
          </cell>
          <cell r="D2811">
            <v>2280.9</v>
          </cell>
        </row>
        <row r="2812">
          <cell r="A2812">
            <v>42766</v>
          </cell>
          <cell r="B2812">
            <v>4359.8100000000004</v>
          </cell>
          <cell r="C2812">
            <v>3930.34</v>
          </cell>
          <cell r="D2812">
            <v>2278.87</v>
          </cell>
        </row>
        <row r="2813">
          <cell r="A2813">
            <v>42767</v>
          </cell>
          <cell r="B2813">
            <v>4362.1000000000004</v>
          </cell>
          <cell r="C2813">
            <v>3932.14</v>
          </cell>
          <cell r="D2813">
            <v>2279.5500000000002</v>
          </cell>
        </row>
        <row r="2814">
          <cell r="A2814">
            <v>42768</v>
          </cell>
          <cell r="B2814">
            <v>4364.8500000000004</v>
          </cell>
          <cell r="C2814">
            <v>3934.54</v>
          </cell>
          <cell r="D2814">
            <v>2280.85</v>
          </cell>
        </row>
        <row r="2815">
          <cell r="A2815">
            <v>42769</v>
          </cell>
          <cell r="B2815">
            <v>4396.95</v>
          </cell>
          <cell r="C2815">
            <v>3963.37</v>
          </cell>
          <cell r="D2815">
            <v>2297.42</v>
          </cell>
        </row>
        <row r="2816">
          <cell r="A2816">
            <v>42772</v>
          </cell>
          <cell r="B2816">
            <v>4387.67</v>
          </cell>
          <cell r="C2816">
            <v>3955</v>
          </cell>
          <cell r="D2816">
            <v>2292.56</v>
          </cell>
        </row>
        <row r="2817">
          <cell r="A2817">
            <v>42773</v>
          </cell>
          <cell r="B2817">
            <v>4388.87</v>
          </cell>
          <cell r="C2817">
            <v>3956.02</v>
          </cell>
          <cell r="D2817">
            <v>2293.08</v>
          </cell>
        </row>
        <row r="2818">
          <cell r="A2818">
            <v>42774</v>
          </cell>
          <cell r="B2818">
            <v>4393.3100000000004</v>
          </cell>
          <cell r="C2818">
            <v>3959.65</v>
          </cell>
          <cell r="D2818">
            <v>2294.67</v>
          </cell>
        </row>
        <row r="2819">
          <cell r="A2819">
            <v>42775</v>
          </cell>
          <cell r="B2819">
            <v>4419.3999999999996</v>
          </cell>
          <cell r="C2819">
            <v>3982.95</v>
          </cell>
          <cell r="D2819">
            <v>2307.87</v>
          </cell>
        </row>
        <row r="2820">
          <cell r="A2820">
            <v>42776</v>
          </cell>
          <cell r="B2820">
            <v>4435.42</v>
          </cell>
          <cell r="C2820">
            <v>3997.31</v>
          </cell>
          <cell r="D2820">
            <v>2316.1</v>
          </cell>
        </row>
        <row r="2821">
          <cell r="A2821">
            <v>42779</v>
          </cell>
          <cell r="B2821">
            <v>4459.83</v>
          </cell>
          <cell r="C2821">
            <v>4019</v>
          </cell>
          <cell r="D2821">
            <v>2328.25</v>
          </cell>
        </row>
        <row r="2822">
          <cell r="A2822">
            <v>42780</v>
          </cell>
          <cell r="B2822">
            <v>4478.9799999999996</v>
          </cell>
          <cell r="C2822">
            <v>4035.92</v>
          </cell>
          <cell r="D2822">
            <v>2337.58</v>
          </cell>
        </row>
        <row r="2823">
          <cell r="A2823">
            <v>42781</v>
          </cell>
          <cell r="B2823">
            <v>4501.99</v>
          </cell>
          <cell r="C2823">
            <v>4056.47</v>
          </cell>
          <cell r="D2823">
            <v>2349.25</v>
          </cell>
        </row>
        <row r="2824">
          <cell r="A2824">
            <v>42782</v>
          </cell>
          <cell r="B2824">
            <v>4498.5600000000004</v>
          </cell>
          <cell r="C2824">
            <v>4053.26</v>
          </cell>
          <cell r="D2824">
            <v>2347.2199999999998</v>
          </cell>
        </row>
        <row r="2825">
          <cell r="A2825">
            <v>42783</v>
          </cell>
          <cell r="B2825">
            <v>4506.2</v>
          </cell>
          <cell r="C2825">
            <v>4060.12</v>
          </cell>
          <cell r="D2825">
            <v>2351.16</v>
          </cell>
        </row>
        <row r="2826">
          <cell r="A2826">
            <v>42787</v>
          </cell>
          <cell r="B2826">
            <v>4533.46</v>
          </cell>
          <cell r="C2826">
            <v>4084.68</v>
          </cell>
          <cell r="D2826">
            <v>2365.38</v>
          </cell>
        </row>
        <row r="2827">
          <cell r="A2827">
            <v>42788</v>
          </cell>
          <cell r="B2827">
            <v>4528.97</v>
          </cell>
          <cell r="C2827">
            <v>4080.51</v>
          </cell>
          <cell r="D2827">
            <v>2362.8200000000002</v>
          </cell>
        </row>
        <row r="2828">
          <cell r="A2828">
            <v>42789</v>
          </cell>
          <cell r="B2828">
            <v>4531.3900000000003</v>
          </cell>
          <cell r="C2828">
            <v>4082.55</v>
          </cell>
          <cell r="D2828">
            <v>2363.81</v>
          </cell>
        </row>
        <row r="2829">
          <cell r="A2829">
            <v>42790</v>
          </cell>
          <cell r="B2829">
            <v>4539.25</v>
          </cell>
          <cell r="C2829">
            <v>4089.34</v>
          </cell>
          <cell r="D2829">
            <v>2367.34</v>
          </cell>
        </row>
        <row r="2830">
          <cell r="A2830">
            <v>42793</v>
          </cell>
          <cell r="B2830">
            <v>4544.51</v>
          </cell>
          <cell r="C2830">
            <v>4093.91</v>
          </cell>
          <cell r="D2830">
            <v>2369.75</v>
          </cell>
        </row>
        <row r="2831">
          <cell r="A2831">
            <v>42794</v>
          </cell>
          <cell r="B2831">
            <v>4532.93</v>
          </cell>
          <cell r="C2831">
            <v>4083.43</v>
          </cell>
          <cell r="D2831">
            <v>2363.64</v>
          </cell>
        </row>
        <row r="2832">
          <cell r="A2832">
            <v>42795</v>
          </cell>
          <cell r="B2832">
            <v>4595.7299999999996</v>
          </cell>
          <cell r="C2832">
            <v>4139.79</v>
          </cell>
          <cell r="D2832">
            <v>2395.96</v>
          </cell>
        </row>
        <row r="2833">
          <cell r="A2833">
            <v>42796</v>
          </cell>
          <cell r="B2833">
            <v>4569.17</v>
          </cell>
          <cell r="C2833">
            <v>4115.7700000000004</v>
          </cell>
          <cell r="D2833">
            <v>2381.92</v>
          </cell>
        </row>
        <row r="2834">
          <cell r="A2834">
            <v>42797</v>
          </cell>
          <cell r="B2834">
            <v>4571.6000000000004</v>
          </cell>
          <cell r="C2834">
            <v>4117.92</v>
          </cell>
          <cell r="D2834">
            <v>2383.12</v>
          </cell>
        </row>
        <row r="2835">
          <cell r="A2835">
            <v>42800</v>
          </cell>
          <cell r="B2835">
            <v>4556.72</v>
          </cell>
          <cell r="C2835">
            <v>4104.49</v>
          </cell>
          <cell r="D2835">
            <v>2375.31</v>
          </cell>
        </row>
        <row r="2836">
          <cell r="A2836">
            <v>42801</v>
          </cell>
          <cell r="B2836">
            <v>4543.75</v>
          </cell>
          <cell r="C2836">
            <v>4092.73</v>
          </cell>
          <cell r="D2836">
            <v>2368.39</v>
          </cell>
        </row>
        <row r="2837">
          <cell r="A2837">
            <v>42802</v>
          </cell>
          <cell r="B2837">
            <v>4534.68</v>
          </cell>
          <cell r="C2837">
            <v>4084.2</v>
          </cell>
          <cell r="D2837">
            <v>2362.98</v>
          </cell>
        </row>
        <row r="2838">
          <cell r="A2838">
            <v>42803</v>
          </cell>
          <cell r="B2838">
            <v>4538.3599999999997</v>
          </cell>
          <cell r="C2838">
            <v>4087.5</v>
          </cell>
          <cell r="D2838">
            <v>2364.87</v>
          </cell>
        </row>
        <row r="2839">
          <cell r="A2839">
            <v>42804</v>
          </cell>
          <cell r="B2839">
            <v>4553.28</v>
          </cell>
          <cell r="C2839">
            <v>4100.91</v>
          </cell>
          <cell r="D2839">
            <v>2372.6</v>
          </cell>
        </row>
        <row r="2840">
          <cell r="A2840">
            <v>42807</v>
          </cell>
          <cell r="B2840">
            <v>4556.4399999999996</v>
          </cell>
          <cell r="C2840">
            <v>4103.3599999999997</v>
          </cell>
          <cell r="D2840">
            <v>2373.4699999999998</v>
          </cell>
        </row>
        <row r="2841">
          <cell r="A2841">
            <v>42808</v>
          </cell>
          <cell r="B2841">
            <v>4541.26</v>
          </cell>
          <cell r="C2841">
            <v>4089.63</v>
          </cell>
          <cell r="D2841">
            <v>2365.4499999999998</v>
          </cell>
        </row>
        <row r="2842">
          <cell r="A2842">
            <v>42809</v>
          </cell>
          <cell r="B2842">
            <v>4579.4399999999996</v>
          </cell>
          <cell r="C2842">
            <v>4123.9799999999996</v>
          </cell>
          <cell r="D2842">
            <v>2385.2600000000002</v>
          </cell>
        </row>
        <row r="2843">
          <cell r="A2843">
            <v>42810</v>
          </cell>
          <cell r="B2843">
            <v>4572.16</v>
          </cell>
          <cell r="C2843">
            <v>4117.37</v>
          </cell>
          <cell r="D2843">
            <v>2381.38</v>
          </cell>
        </row>
        <row r="2844">
          <cell r="A2844">
            <v>42811</v>
          </cell>
          <cell r="B2844">
            <v>4566.17</v>
          </cell>
          <cell r="C2844">
            <v>4111.97</v>
          </cell>
          <cell r="D2844">
            <v>2378.25</v>
          </cell>
        </row>
        <row r="2845">
          <cell r="A2845">
            <v>42814</v>
          </cell>
          <cell r="B2845">
            <v>4557.12</v>
          </cell>
          <cell r="C2845">
            <v>4103.79</v>
          </cell>
          <cell r="D2845">
            <v>2373.4699999999998</v>
          </cell>
        </row>
        <row r="2846">
          <cell r="A2846">
            <v>42815</v>
          </cell>
          <cell r="B2846">
            <v>4500.9799999999996</v>
          </cell>
          <cell r="C2846">
            <v>4053.12</v>
          </cell>
          <cell r="D2846">
            <v>2344.02</v>
          </cell>
        </row>
        <row r="2847">
          <cell r="A2847">
            <v>42816</v>
          </cell>
          <cell r="B2847">
            <v>4509.6499999999996</v>
          </cell>
          <cell r="C2847">
            <v>4060.88</v>
          </cell>
          <cell r="D2847">
            <v>2348.4499999999998</v>
          </cell>
        </row>
        <row r="2848">
          <cell r="A2848">
            <v>42817</v>
          </cell>
          <cell r="B2848">
            <v>4504.92</v>
          </cell>
          <cell r="C2848">
            <v>4056.62</v>
          </cell>
          <cell r="D2848">
            <v>2345.96</v>
          </cell>
        </row>
        <row r="2849">
          <cell r="A2849">
            <v>42818</v>
          </cell>
          <cell r="B2849">
            <v>4501.1099999999997</v>
          </cell>
          <cell r="C2849">
            <v>4053.18</v>
          </cell>
          <cell r="D2849">
            <v>2343.98</v>
          </cell>
        </row>
        <row r="2850">
          <cell r="A2850">
            <v>42821</v>
          </cell>
          <cell r="B2850">
            <v>4496.53</v>
          </cell>
          <cell r="C2850">
            <v>4049.06</v>
          </cell>
          <cell r="D2850">
            <v>2341.59</v>
          </cell>
        </row>
        <row r="2851">
          <cell r="A2851">
            <v>42822</v>
          </cell>
          <cell r="B2851">
            <v>4529.17</v>
          </cell>
          <cell r="C2851">
            <v>4078.44</v>
          </cell>
          <cell r="D2851">
            <v>2358.5700000000002</v>
          </cell>
        </row>
        <row r="2852">
          <cell r="A2852">
            <v>42823</v>
          </cell>
          <cell r="B2852">
            <v>4535.01</v>
          </cell>
          <cell r="C2852">
            <v>4083.45</v>
          </cell>
          <cell r="D2852">
            <v>2361.13</v>
          </cell>
        </row>
        <row r="2853">
          <cell r="A2853">
            <v>42824</v>
          </cell>
          <cell r="B2853">
            <v>4548.46</v>
          </cell>
          <cell r="C2853">
            <v>4095.52</v>
          </cell>
          <cell r="D2853">
            <v>2368.06</v>
          </cell>
        </row>
        <row r="2854">
          <cell r="A2854">
            <v>42825</v>
          </cell>
          <cell r="B2854">
            <v>4538.21</v>
          </cell>
          <cell r="C2854">
            <v>4086.29</v>
          </cell>
          <cell r="D2854">
            <v>2362.7199999999998</v>
          </cell>
        </row>
        <row r="2855">
          <cell r="A2855">
            <v>42828</v>
          </cell>
          <cell r="B2855">
            <v>4530.9799999999996</v>
          </cell>
          <cell r="C2855">
            <v>4079.71</v>
          </cell>
          <cell r="D2855">
            <v>2358.84</v>
          </cell>
        </row>
        <row r="2856">
          <cell r="A2856">
            <v>42829</v>
          </cell>
          <cell r="B2856">
            <v>4534.25</v>
          </cell>
          <cell r="C2856">
            <v>4082.46</v>
          </cell>
          <cell r="D2856">
            <v>2360.16</v>
          </cell>
        </row>
        <row r="2857">
          <cell r="A2857">
            <v>42830</v>
          </cell>
          <cell r="B2857">
            <v>4520.8599999999997</v>
          </cell>
          <cell r="C2857">
            <v>4070.28</v>
          </cell>
          <cell r="D2857">
            <v>2352.9499999999998</v>
          </cell>
        </row>
        <row r="2858">
          <cell r="A2858">
            <v>42831</v>
          </cell>
          <cell r="B2858">
            <v>4530.93</v>
          </cell>
          <cell r="C2858">
            <v>4078.98</v>
          </cell>
          <cell r="D2858">
            <v>2357.4899999999998</v>
          </cell>
        </row>
        <row r="2859">
          <cell r="A2859">
            <v>42832</v>
          </cell>
          <cell r="B2859">
            <v>4527.2</v>
          </cell>
          <cell r="C2859">
            <v>4075.63</v>
          </cell>
          <cell r="D2859">
            <v>2355.54</v>
          </cell>
        </row>
        <row r="2860">
          <cell r="A2860">
            <v>42835</v>
          </cell>
          <cell r="B2860">
            <v>4530.57</v>
          </cell>
          <cell r="C2860">
            <v>4078.59</v>
          </cell>
          <cell r="D2860">
            <v>2357.16</v>
          </cell>
        </row>
        <row r="2861">
          <cell r="A2861">
            <v>42836</v>
          </cell>
          <cell r="B2861">
            <v>4524.71</v>
          </cell>
          <cell r="C2861">
            <v>4073.14</v>
          </cell>
          <cell r="D2861">
            <v>2353.7800000000002</v>
          </cell>
        </row>
        <row r="2862">
          <cell r="A2862">
            <v>42837</v>
          </cell>
          <cell r="B2862">
            <v>4507.76</v>
          </cell>
          <cell r="C2862">
            <v>4057.87</v>
          </cell>
          <cell r="D2862">
            <v>2344.9299999999998</v>
          </cell>
        </row>
        <row r="2863">
          <cell r="A2863">
            <v>42838</v>
          </cell>
          <cell r="B2863">
            <v>4477.07</v>
          </cell>
          <cell r="C2863">
            <v>4030.23</v>
          </cell>
          <cell r="D2863">
            <v>2328.9499999999998</v>
          </cell>
        </row>
        <row r="2864">
          <cell r="A2864">
            <v>42842</v>
          </cell>
          <cell r="B2864">
            <v>4515.6499999999996</v>
          </cell>
          <cell r="C2864">
            <v>4064.96</v>
          </cell>
          <cell r="D2864">
            <v>2349.0100000000002</v>
          </cell>
        </row>
        <row r="2865">
          <cell r="A2865">
            <v>42843</v>
          </cell>
          <cell r="B2865">
            <v>4502.66</v>
          </cell>
          <cell r="C2865">
            <v>4053.23</v>
          </cell>
          <cell r="D2865">
            <v>2342.19</v>
          </cell>
        </row>
        <row r="2866">
          <cell r="A2866">
            <v>42844</v>
          </cell>
          <cell r="B2866">
            <v>4495.5600000000004</v>
          </cell>
          <cell r="C2866">
            <v>4046.67</v>
          </cell>
          <cell r="D2866">
            <v>2338.17</v>
          </cell>
        </row>
        <row r="2867">
          <cell r="A2867">
            <v>42845</v>
          </cell>
          <cell r="B2867">
            <v>4529.6499999999996</v>
          </cell>
          <cell r="C2867">
            <v>4077.32</v>
          </cell>
          <cell r="D2867">
            <v>2355.84</v>
          </cell>
        </row>
        <row r="2868">
          <cell r="A2868">
            <v>42846</v>
          </cell>
          <cell r="B2868">
            <v>4515.8999999999996</v>
          </cell>
          <cell r="C2868">
            <v>4064.95</v>
          </cell>
          <cell r="D2868">
            <v>2348.69</v>
          </cell>
        </row>
        <row r="2869">
          <cell r="A2869">
            <v>42849</v>
          </cell>
          <cell r="B2869">
            <v>4564.93</v>
          </cell>
          <cell r="C2869">
            <v>4109.0600000000004</v>
          </cell>
          <cell r="D2869">
            <v>2374.15</v>
          </cell>
        </row>
        <row r="2870">
          <cell r="A2870">
            <v>42850</v>
          </cell>
          <cell r="B2870">
            <v>4592.74</v>
          </cell>
          <cell r="C2870">
            <v>4134.1000000000004</v>
          </cell>
          <cell r="D2870">
            <v>2388.61</v>
          </cell>
        </row>
        <row r="2871">
          <cell r="A2871">
            <v>42851</v>
          </cell>
          <cell r="B2871">
            <v>4590.5600000000004</v>
          </cell>
          <cell r="C2871">
            <v>4132.12</v>
          </cell>
          <cell r="D2871">
            <v>2387.4499999999998</v>
          </cell>
        </row>
        <row r="2872">
          <cell r="A2872">
            <v>42852</v>
          </cell>
          <cell r="B2872">
            <v>4593.57</v>
          </cell>
          <cell r="C2872">
            <v>4134.7</v>
          </cell>
          <cell r="D2872">
            <v>2388.77</v>
          </cell>
        </row>
        <row r="2873">
          <cell r="A2873">
            <v>42853</v>
          </cell>
          <cell r="B2873">
            <v>4584.82</v>
          </cell>
          <cell r="C2873">
            <v>4126.8100000000004</v>
          </cell>
          <cell r="D2873">
            <v>2384.1999999999998</v>
          </cell>
        </row>
        <row r="2874">
          <cell r="A2874">
            <v>42856</v>
          </cell>
          <cell r="B2874">
            <v>4592.78</v>
          </cell>
          <cell r="C2874">
            <v>4133.97</v>
          </cell>
          <cell r="D2874">
            <v>2388.33</v>
          </cell>
        </row>
        <row r="2875">
          <cell r="A2875">
            <v>42857</v>
          </cell>
          <cell r="B2875">
            <v>4598.24</v>
          </cell>
          <cell r="C2875">
            <v>4138.8900000000003</v>
          </cell>
          <cell r="D2875">
            <v>2391.17</v>
          </cell>
        </row>
        <row r="2876">
          <cell r="A2876">
            <v>42858</v>
          </cell>
          <cell r="B2876">
            <v>4593.32</v>
          </cell>
          <cell r="C2876">
            <v>4134.21</v>
          </cell>
          <cell r="D2876">
            <v>2388.13</v>
          </cell>
        </row>
        <row r="2877">
          <cell r="A2877">
            <v>42859</v>
          </cell>
          <cell r="B2877">
            <v>4596.24</v>
          </cell>
          <cell r="C2877">
            <v>4136.7700000000004</v>
          </cell>
          <cell r="D2877">
            <v>2389.52</v>
          </cell>
        </row>
        <row r="2878">
          <cell r="A2878">
            <v>42860</v>
          </cell>
          <cell r="B2878">
            <v>4615.09</v>
          </cell>
          <cell r="C2878">
            <v>4153.72</v>
          </cell>
          <cell r="D2878">
            <v>2399.29</v>
          </cell>
        </row>
        <row r="2879">
          <cell r="A2879">
            <v>42863</v>
          </cell>
          <cell r="B2879">
            <v>4615.7299999999996</v>
          </cell>
          <cell r="C2879">
            <v>4154.17</v>
          </cell>
          <cell r="D2879">
            <v>2399.38</v>
          </cell>
        </row>
        <row r="2880">
          <cell r="A2880">
            <v>42864</v>
          </cell>
          <cell r="B2880">
            <v>4611.21</v>
          </cell>
          <cell r="C2880">
            <v>4150.04</v>
          </cell>
          <cell r="D2880">
            <v>2396.92</v>
          </cell>
        </row>
        <row r="2881">
          <cell r="A2881">
            <v>42865</v>
          </cell>
          <cell r="B2881">
            <v>4618.1899999999996</v>
          </cell>
          <cell r="C2881">
            <v>4155.8500000000004</v>
          </cell>
          <cell r="D2881">
            <v>2399.63</v>
          </cell>
        </row>
        <row r="2882">
          <cell r="A2882">
            <v>42866</v>
          </cell>
          <cell r="B2882">
            <v>4609.6899999999996</v>
          </cell>
          <cell r="C2882">
            <v>4147.8</v>
          </cell>
          <cell r="D2882">
            <v>2394.44</v>
          </cell>
        </row>
        <row r="2883">
          <cell r="A2883">
            <v>42867</v>
          </cell>
          <cell r="B2883">
            <v>4602.96</v>
          </cell>
          <cell r="C2883">
            <v>4141.72</v>
          </cell>
          <cell r="D2883">
            <v>2390.9</v>
          </cell>
        </row>
        <row r="2884">
          <cell r="A2884">
            <v>42870</v>
          </cell>
          <cell r="B2884">
            <v>4625.51</v>
          </cell>
          <cell r="C2884">
            <v>4161.8599999999997</v>
          </cell>
          <cell r="D2884">
            <v>2402.3200000000002</v>
          </cell>
        </row>
        <row r="2885">
          <cell r="A2885">
            <v>42871</v>
          </cell>
          <cell r="B2885">
            <v>4623.26</v>
          </cell>
          <cell r="C2885">
            <v>4159.59</v>
          </cell>
          <cell r="D2885">
            <v>2400.67</v>
          </cell>
        </row>
        <row r="2886">
          <cell r="A2886">
            <v>42872</v>
          </cell>
          <cell r="B2886">
            <v>4540.58</v>
          </cell>
          <cell r="C2886">
            <v>4084.83</v>
          </cell>
          <cell r="D2886">
            <v>2357.0300000000002</v>
          </cell>
        </row>
        <row r="2887">
          <cell r="A2887">
            <v>42873</v>
          </cell>
          <cell r="B2887">
            <v>4557.41</v>
          </cell>
          <cell r="C2887">
            <v>4099.9399999999996</v>
          </cell>
          <cell r="D2887">
            <v>2365.7199999999998</v>
          </cell>
        </row>
        <row r="2888">
          <cell r="A2888">
            <v>42874</v>
          </cell>
          <cell r="B2888">
            <v>4588.3500000000004</v>
          </cell>
          <cell r="C2888">
            <v>4127.75</v>
          </cell>
          <cell r="D2888">
            <v>2381.73</v>
          </cell>
        </row>
        <row r="2889">
          <cell r="A2889">
            <v>42877</v>
          </cell>
          <cell r="B2889">
            <v>4612.12</v>
          </cell>
          <cell r="C2889">
            <v>4149.1099999999997</v>
          </cell>
          <cell r="D2889">
            <v>2394.02</v>
          </cell>
        </row>
        <row r="2890">
          <cell r="A2890">
            <v>42878</v>
          </cell>
          <cell r="B2890">
            <v>4620.7</v>
          </cell>
          <cell r="C2890">
            <v>4156.8</v>
          </cell>
          <cell r="D2890">
            <v>2398.42</v>
          </cell>
        </row>
        <row r="2891">
          <cell r="A2891">
            <v>42879</v>
          </cell>
          <cell r="B2891">
            <v>4632.37</v>
          </cell>
          <cell r="C2891">
            <v>4167.26</v>
          </cell>
          <cell r="D2891">
            <v>2404.39</v>
          </cell>
        </row>
        <row r="2892">
          <cell r="A2892">
            <v>42880</v>
          </cell>
          <cell r="B2892">
            <v>4653.59</v>
          </cell>
          <cell r="C2892">
            <v>4186.17</v>
          </cell>
          <cell r="D2892">
            <v>2415.0700000000002</v>
          </cell>
        </row>
        <row r="2893">
          <cell r="A2893">
            <v>42881</v>
          </cell>
          <cell r="B2893">
            <v>4655.6499999999996</v>
          </cell>
          <cell r="C2893">
            <v>4187.8599999999997</v>
          </cell>
          <cell r="D2893">
            <v>2415.8200000000002</v>
          </cell>
        </row>
        <row r="2894">
          <cell r="A2894">
            <v>42885</v>
          </cell>
          <cell r="B2894">
            <v>4650.76</v>
          </cell>
          <cell r="C2894">
            <v>4183.26</v>
          </cell>
          <cell r="D2894">
            <v>2412.91</v>
          </cell>
        </row>
        <row r="2895">
          <cell r="A2895">
            <v>42886</v>
          </cell>
          <cell r="B2895">
            <v>4649.34</v>
          </cell>
          <cell r="C2895">
            <v>4181.79</v>
          </cell>
          <cell r="D2895">
            <v>2411.8000000000002</v>
          </cell>
        </row>
        <row r="2896">
          <cell r="A2896">
            <v>42887</v>
          </cell>
          <cell r="B2896">
            <v>4685.1099999999997</v>
          </cell>
          <cell r="C2896">
            <v>4213.8100000000004</v>
          </cell>
          <cell r="D2896">
            <v>2430.06</v>
          </cell>
        </row>
        <row r="2897">
          <cell r="A2897">
            <v>42888</v>
          </cell>
          <cell r="B2897">
            <v>4702.5600000000004</v>
          </cell>
          <cell r="C2897">
            <v>4229.4799999999996</v>
          </cell>
          <cell r="D2897">
            <v>2439.0700000000002</v>
          </cell>
        </row>
        <row r="2898">
          <cell r="A2898">
            <v>42891</v>
          </cell>
          <cell r="B2898">
            <v>4697</v>
          </cell>
          <cell r="C2898">
            <v>4224.4399999999996</v>
          </cell>
          <cell r="D2898">
            <v>2436.1</v>
          </cell>
        </row>
        <row r="2899">
          <cell r="A2899">
            <v>42892</v>
          </cell>
          <cell r="B2899">
            <v>4683.96</v>
          </cell>
          <cell r="C2899">
            <v>4212.71</v>
          </cell>
          <cell r="D2899">
            <v>2429.33</v>
          </cell>
        </row>
        <row r="2900">
          <cell r="A2900">
            <v>42893</v>
          </cell>
          <cell r="B2900">
            <v>4692.29</v>
          </cell>
          <cell r="C2900">
            <v>4219.93</v>
          </cell>
          <cell r="D2900">
            <v>2433.14</v>
          </cell>
        </row>
        <row r="2901">
          <cell r="A2901">
            <v>42894</v>
          </cell>
          <cell r="B2901">
            <v>4693.67</v>
          </cell>
          <cell r="C2901">
            <v>4221.1400000000003</v>
          </cell>
          <cell r="D2901">
            <v>2433.79</v>
          </cell>
        </row>
        <row r="2902">
          <cell r="A2902">
            <v>42895</v>
          </cell>
          <cell r="B2902">
            <v>4689.79</v>
          </cell>
          <cell r="C2902">
            <v>4217.6499999999996</v>
          </cell>
          <cell r="D2902">
            <v>2431.77</v>
          </cell>
        </row>
        <row r="2903">
          <cell r="A2903">
            <v>42898</v>
          </cell>
          <cell r="B2903">
            <v>4685.54</v>
          </cell>
          <cell r="C2903">
            <v>4213.7299999999996</v>
          </cell>
          <cell r="D2903">
            <v>2429.39</v>
          </cell>
        </row>
        <row r="2904">
          <cell r="A2904">
            <v>42899</v>
          </cell>
          <cell r="B2904">
            <v>4707.88</v>
          </cell>
          <cell r="C2904">
            <v>4233.5</v>
          </cell>
          <cell r="D2904">
            <v>2440.35</v>
          </cell>
        </row>
        <row r="2905">
          <cell r="A2905">
            <v>42900</v>
          </cell>
          <cell r="B2905">
            <v>4703.53</v>
          </cell>
          <cell r="C2905">
            <v>4229.5</v>
          </cell>
          <cell r="D2905">
            <v>2437.92</v>
          </cell>
        </row>
        <row r="2906">
          <cell r="A2906">
            <v>42901</v>
          </cell>
          <cell r="B2906">
            <v>4693.8599999999997</v>
          </cell>
          <cell r="C2906">
            <v>4220.57</v>
          </cell>
          <cell r="D2906">
            <v>2432.46</v>
          </cell>
        </row>
        <row r="2907">
          <cell r="A2907">
            <v>42902</v>
          </cell>
          <cell r="B2907">
            <v>4695.2299999999996</v>
          </cell>
          <cell r="C2907">
            <v>4221.79</v>
          </cell>
          <cell r="D2907">
            <v>2433.15</v>
          </cell>
        </row>
        <row r="2908">
          <cell r="A2908">
            <v>42905</v>
          </cell>
          <cell r="B2908">
            <v>4734.4799999999996</v>
          </cell>
          <cell r="C2908">
            <v>4257.07</v>
          </cell>
          <cell r="D2908">
            <v>2453.46</v>
          </cell>
        </row>
        <row r="2909">
          <cell r="A2909">
            <v>42906</v>
          </cell>
          <cell r="B2909">
            <v>4702.82</v>
          </cell>
          <cell r="C2909">
            <v>4228.59</v>
          </cell>
          <cell r="D2909">
            <v>2437.0300000000002</v>
          </cell>
        </row>
        <row r="2910">
          <cell r="A2910">
            <v>42907</v>
          </cell>
          <cell r="B2910">
            <v>4700.5</v>
          </cell>
          <cell r="C2910">
            <v>4226.3900000000003</v>
          </cell>
          <cell r="D2910">
            <v>2435.61</v>
          </cell>
        </row>
        <row r="2911">
          <cell r="A2911">
            <v>42908</v>
          </cell>
          <cell r="B2911">
            <v>4698.3999999999996</v>
          </cell>
          <cell r="C2911">
            <v>4224.49</v>
          </cell>
          <cell r="D2911">
            <v>2434.5</v>
          </cell>
        </row>
        <row r="2912">
          <cell r="A2912">
            <v>42909</v>
          </cell>
          <cell r="B2912">
            <v>4705.7299999999996</v>
          </cell>
          <cell r="C2912">
            <v>4231.08</v>
          </cell>
          <cell r="D2912">
            <v>2438.3000000000002</v>
          </cell>
        </row>
        <row r="2913">
          <cell r="A2913">
            <v>42912</v>
          </cell>
          <cell r="B2913">
            <v>4707.2700000000004</v>
          </cell>
          <cell r="C2913">
            <v>4232.45</v>
          </cell>
          <cell r="D2913">
            <v>2439.0700000000002</v>
          </cell>
        </row>
        <row r="2914">
          <cell r="A2914">
            <v>42913</v>
          </cell>
          <cell r="B2914">
            <v>4669.2700000000004</v>
          </cell>
          <cell r="C2914">
            <v>4198.28</v>
          </cell>
          <cell r="D2914">
            <v>2419.38</v>
          </cell>
        </row>
        <row r="2915">
          <cell r="A2915">
            <v>42914</v>
          </cell>
          <cell r="B2915">
            <v>4711.33</v>
          </cell>
          <cell r="C2915">
            <v>4235.8500000000004</v>
          </cell>
          <cell r="D2915">
            <v>2440.69</v>
          </cell>
        </row>
        <row r="2916">
          <cell r="A2916">
            <v>42915</v>
          </cell>
          <cell r="B2916">
            <v>4670.96</v>
          </cell>
          <cell r="C2916">
            <v>4199.51</v>
          </cell>
          <cell r="D2916">
            <v>2419.6999999999998</v>
          </cell>
        </row>
        <row r="2917">
          <cell r="A2917">
            <v>42916</v>
          </cell>
          <cell r="B2917">
            <v>4678.3599999999997</v>
          </cell>
          <cell r="C2917">
            <v>4206.1000000000004</v>
          </cell>
          <cell r="D2917">
            <v>2423.41</v>
          </cell>
        </row>
        <row r="2918">
          <cell r="A2918">
            <v>42919</v>
          </cell>
          <cell r="B2918">
            <v>4689.6099999999997</v>
          </cell>
          <cell r="C2918">
            <v>4216.1000000000004</v>
          </cell>
          <cell r="D2918">
            <v>2429.0100000000002</v>
          </cell>
        </row>
        <row r="2919">
          <cell r="A2919">
            <v>42921</v>
          </cell>
          <cell r="B2919">
            <v>4697.34</v>
          </cell>
          <cell r="C2919">
            <v>4222.8100000000004</v>
          </cell>
          <cell r="D2919">
            <v>2432.54</v>
          </cell>
        </row>
        <row r="2920">
          <cell r="A2920">
            <v>42922</v>
          </cell>
          <cell r="B2920">
            <v>4655.0200000000004</v>
          </cell>
          <cell r="C2920">
            <v>4184.3100000000004</v>
          </cell>
          <cell r="D2920">
            <v>2409.75</v>
          </cell>
        </row>
        <row r="2921">
          <cell r="A2921">
            <v>42923</v>
          </cell>
          <cell r="B2921">
            <v>4684.88</v>
          </cell>
          <cell r="C2921">
            <v>4211.13</v>
          </cell>
          <cell r="D2921">
            <v>2425.1799999999998</v>
          </cell>
        </row>
        <row r="2922">
          <cell r="A2922">
            <v>42926</v>
          </cell>
          <cell r="B2922">
            <v>4689.25</v>
          </cell>
          <cell r="C2922">
            <v>4215.05</v>
          </cell>
          <cell r="D2922">
            <v>2427.4299999999998</v>
          </cell>
        </row>
        <row r="2923">
          <cell r="A2923">
            <v>42927</v>
          </cell>
          <cell r="B2923">
            <v>4685.6400000000003</v>
          </cell>
          <cell r="C2923">
            <v>4211.79</v>
          </cell>
          <cell r="D2923">
            <v>2425.5300000000002</v>
          </cell>
        </row>
        <row r="2924">
          <cell r="A2924">
            <v>42928</v>
          </cell>
          <cell r="B2924">
            <v>4720.28</v>
          </cell>
          <cell r="C2924">
            <v>4242.82</v>
          </cell>
          <cell r="D2924">
            <v>2443.25</v>
          </cell>
        </row>
        <row r="2925">
          <cell r="A2925">
            <v>42929</v>
          </cell>
          <cell r="B2925">
            <v>4729.25</v>
          </cell>
          <cell r="C2925">
            <v>4250.8500000000004</v>
          </cell>
          <cell r="D2925">
            <v>2447.83</v>
          </cell>
        </row>
        <row r="2926">
          <cell r="A2926">
            <v>42930</v>
          </cell>
          <cell r="B2926">
            <v>4751.43</v>
          </cell>
          <cell r="C2926">
            <v>4270.76</v>
          </cell>
          <cell r="D2926">
            <v>2459.27</v>
          </cell>
        </row>
        <row r="2927">
          <cell r="A2927">
            <v>42933</v>
          </cell>
          <cell r="B2927">
            <v>4751.33</v>
          </cell>
          <cell r="C2927">
            <v>4270.63</v>
          </cell>
          <cell r="D2927">
            <v>2459.14</v>
          </cell>
        </row>
        <row r="2928">
          <cell r="A2928">
            <v>42934</v>
          </cell>
          <cell r="B2928">
            <v>4754.2700000000004</v>
          </cell>
          <cell r="C2928">
            <v>4273.25</v>
          </cell>
          <cell r="D2928">
            <v>2460.61</v>
          </cell>
        </row>
        <row r="2929">
          <cell r="A2929">
            <v>42935</v>
          </cell>
          <cell r="B2929">
            <v>4780.25</v>
          </cell>
          <cell r="C2929">
            <v>4296.4799999999996</v>
          </cell>
          <cell r="D2929">
            <v>2473.83</v>
          </cell>
        </row>
        <row r="2930">
          <cell r="A2930">
            <v>42936</v>
          </cell>
          <cell r="B2930">
            <v>4779.84</v>
          </cell>
          <cell r="C2930">
            <v>4296.0200000000004</v>
          </cell>
          <cell r="D2930">
            <v>2473.4499999999998</v>
          </cell>
        </row>
        <row r="2931">
          <cell r="A2931">
            <v>42937</v>
          </cell>
          <cell r="B2931">
            <v>4778.07</v>
          </cell>
          <cell r="C2931">
            <v>4294.4399999999996</v>
          </cell>
          <cell r="D2931">
            <v>2472.54</v>
          </cell>
        </row>
        <row r="2932">
          <cell r="A2932">
            <v>42940</v>
          </cell>
          <cell r="B2932">
            <v>4773.1000000000004</v>
          </cell>
          <cell r="C2932">
            <v>4289.9399999999996</v>
          </cell>
          <cell r="D2932">
            <v>2469.91</v>
          </cell>
        </row>
        <row r="2933">
          <cell r="A2933">
            <v>42941</v>
          </cell>
          <cell r="B2933">
            <v>4787.04</v>
          </cell>
          <cell r="C2933">
            <v>4302.47</v>
          </cell>
          <cell r="D2933">
            <v>2477.13</v>
          </cell>
        </row>
        <row r="2934">
          <cell r="A2934">
            <v>42942</v>
          </cell>
          <cell r="B2934">
            <v>4788.41</v>
          </cell>
          <cell r="C2934">
            <v>4303.7</v>
          </cell>
          <cell r="D2934">
            <v>2477.83</v>
          </cell>
        </row>
        <row r="2935">
          <cell r="A2935">
            <v>42943</v>
          </cell>
          <cell r="B2935">
            <v>4784.26</v>
          </cell>
          <cell r="C2935">
            <v>4299.83</v>
          </cell>
          <cell r="D2935">
            <v>2475.42</v>
          </cell>
        </row>
        <row r="2936">
          <cell r="A2936">
            <v>42944</v>
          </cell>
          <cell r="B2936">
            <v>4778.0200000000004</v>
          </cell>
          <cell r="C2936">
            <v>4294.17</v>
          </cell>
          <cell r="D2936">
            <v>2472.1</v>
          </cell>
        </row>
        <row r="2937">
          <cell r="A2937">
            <v>42947</v>
          </cell>
          <cell r="B2937">
            <v>4774.5600000000004</v>
          </cell>
          <cell r="C2937">
            <v>4291.0600000000004</v>
          </cell>
          <cell r="D2937">
            <v>2470.3000000000002</v>
          </cell>
        </row>
        <row r="2938">
          <cell r="A2938">
            <v>42948</v>
          </cell>
          <cell r="B2938">
            <v>4786.2700000000004</v>
          </cell>
          <cell r="C2938">
            <v>4301.58</v>
          </cell>
          <cell r="D2938">
            <v>2476.35</v>
          </cell>
        </row>
        <row r="2939">
          <cell r="A2939">
            <v>42949</v>
          </cell>
          <cell r="B2939">
            <v>4789.54</v>
          </cell>
          <cell r="C2939">
            <v>4304.2700000000004</v>
          </cell>
          <cell r="D2939">
            <v>2477.5700000000002</v>
          </cell>
        </row>
        <row r="2940">
          <cell r="A2940">
            <v>42950</v>
          </cell>
          <cell r="B2940">
            <v>4779.99</v>
          </cell>
          <cell r="C2940">
            <v>4295.4399999999996</v>
          </cell>
          <cell r="D2940">
            <v>2472.16</v>
          </cell>
        </row>
        <row r="2941">
          <cell r="A2941">
            <v>42951</v>
          </cell>
          <cell r="B2941">
            <v>4789.1099999999997</v>
          </cell>
          <cell r="C2941">
            <v>4303.62</v>
          </cell>
          <cell r="D2941">
            <v>2476.83</v>
          </cell>
        </row>
        <row r="2942">
          <cell r="A2942">
            <v>42954</v>
          </cell>
          <cell r="B2942">
            <v>4797.13</v>
          </cell>
          <cell r="C2942">
            <v>4310.79</v>
          </cell>
          <cell r="D2942">
            <v>2480.91</v>
          </cell>
        </row>
        <row r="2943">
          <cell r="A2943">
            <v>42955</v>
          </cell>
          <cell r="B2943">
            <v>4786.12</v>
          </cell>
          <cell r="C2943">
            <v>4300.74</v>
          </cell>
          <cell r="D2943">
            <v>2474.92</v>
          </cell>
        </row>
        <row r="2944">
          <cell r="A2944">
            <v>42956</v>
          </cell>
          <cell r="B2944">
            <v>4784.9399999999996</v>
          </cell>
          <cell r="C2944">
            <v>4299.53</v>
          </cell>
          <cell r="D2944">
            <v>2474.02</v>
          </cell>
        </row>
        <row r="2945">
          <cell r="A2945">
            <v>42957</v>
          </cell>
          <cell r="B2945">
            <v>4717.3999999999996</v>
          </cell>
          <cell r="C2945">
            <v>4238.38</v>
          </cell>
          <cell r="D2945">
            <v>2438.21</v>
          </cell>
        </row>
        <row r="2946">
          <cell r="A2946">
            <v>42958</v>
          </cell>
          <cell r="B2946">
            <v>4723.7299999999996</v>
          </cell>
          <cell r="C2946">
            <v>4243.9799999999996</v>
          </cell>
          <cell r="D2946">
            <v>2441.3200000000002</v>
          </cell>
        </row>
        <row r="2947">
          <cell r="A2947">
            <v>42961</v>
          </cell>
          <cell r="B2947">
            <v>4771.43</v>
          </cell>
          <cell r="C2947">
            <v>4286.76</v>
          </cell>
          <cell r="D2947">
            <v>2465.84</v>
          </cell>
        </row>
        <row r="2948">
          <cell r="A2948">
            <v>42962</v>
          </cell>
          <cell r="B2948">
            <v>4770.1499999999996</v>
          </cell>
          <cell r="C2948">
            <v>4285.32</v>
          </cell>
          <cell r="D2948">
            <v>2464.61</v>
          </cell>
        </row>
        <row r="2949">
          <cell r="A2949">
            <v>42963</v>
          </cell>
          <cell r="B2949">
            <v>4778.28</v>
          </cell>
          <cell r="C2949">
            <v>4292.26</v>
          </cell>
          <cell r="D2949">
            <v>2468.11</v>
          </cell>
        </row>
        <row r="2950">
          <cell r="A2950">
            <v>42964</v>
          </cell>
          <cell r="B2950">
            <v>4704.7299999999996</v>
          </cell>
          <cell r="C2950">
            <v>4226.13</v>
          </cell>
          <cell r="D2950">
            <v>2430.0100000000002</v>
          </cell>
        </row>
        <row r="2951">
          <cell r="A2951">
            <v>42965</v>
          </cell>
          <cell r="B2951">
            <v>4696.22</v>
          </cell>
          <cell r="C2951">
            <v>4218.46</v>
          </cell>
          <cell r="D2951">
            <v>2425.5500000000002</v>
          </cell>
        </row>
        <row r="2952">
          <cell r="A2952">
            <v>42968</v>
          </cell>
          <cell r="B2952">
            <v>4701.82</v>
          </cell>
          <cell r="C2952">
            <v>4223.4399999999996</v>
          </cell>
          <cell r="D2952">
            <v>2428.37</v>
          </cell>
        </row>
        <row r="2953">
          <cell r="A2953">
            <v>42969</v>
          </cell>
          <cell r="B2953">
            <v>4748.7299999999996</v>
          </cell>
          <cell r="C2953">
            <v>4265.54</v>
          </cell>
          <cell r="D2953">
            <v>2452.5100000000002</v>
          </cell>
        </row>
        <row r="2954">
          <cell r="A2954">
            <v>42970</v>
          </cell>
          <cell r="B2954">
            <v>4732.76</v>
          </cell>
          <cell r="C2954">
            <v>4251.08</v>
          </cell>
          <cell r="D2954">
            <v>2444.04</v>
          </cell>
        </row>
        <row r="2955">
          <cell r="A2955">
            <v>42971</v>
          </cell>
          <cell r="B2955">
            <v>4723.03</v>
          </cell>
          <cell r="C2955">
            <v>4242.3100000000004</v>
          </cell>
          <cell r="D2955">
            <v>2438.9699999999998</v>
          </cell>
        </row>
        <row r="2956">
          <cell r="A2956">
            <v>42972</v>
          </cell>
          <cell r="B2956">
            <v>4731.46</v>
          </cell>
          <cell r="C2956">
            <v>4249.74</v>
          </cell>
          <cell r="D2956">
            <v>2443.0500000000002</v>
          </cell>
        </row>
        <row r="2957">
          <cell r="A2957">
            <v>42975</v>
          </cell>
          <cell r="B2957">
            <v>4733.97</v>
          </cell>
          <cell r="C2957">
            <v>4251.9399999999996</v>
          </cell>
          <cell r="D2957">
            <v>2444.2399999999998</v>
          </cell>
        </row>
        <row r="2958">
          <cell r="A2958">
            <v>42976</v>
          </cell>
          <cell r="B2958">
            <v>4738.62</v>
          </cell>
          <cell r="C2958">
            <v>4255.9399999999996</v>
          </cell>
          <cell r="D2958">
            <v>2446.3000000000002</v>
          </cell>
        </row>
        <row r="2959">
          <cell r="A2959">
            <v>42977</v>
          </cell>
          <cell r="B2959">
            <v>4761.72</v>
          </cell>
          <cell r="C2959">
            <v>4276.3599999999997</v>
          </cell>
          <cell r="D2959">
            <v>2457.59</v>
          </cell>
        </row>
        <row r="2960">
          <cell r="A2960">
            <v>42978</v>
          </cell>
          <cell r="B2960">
            <v>4789.18</v>
          </cell>
          <cell r="C2960">
            <v>4300.96</v>
          </cell>
          <cell r="D2960">
            <v>2471.65</v>
          </cell>
        </row>
        <row r="2961">
          <cell r="A2961">
            <v>42979</v>
          </cell>
          <cell r="B2961">
            <v>4798.99</v>
          </cell>
          <cell r="C2961">
            <v>4309.68</v>
          </cell>
          <cell r="D2961">
            <v>2476.5500000000002</v>
          </cell>
        </row>
        <row r="2962">
          <cell r="A2962">
            <v>42983</v>
          </cell>
          <cell r="B2962">
            <v>4762.75</v>
          </cell>
          <cell r="C2962">
            <v>4277.1400000000003</v>
          </cell>
          <cell r="D2962">
            <v>2457.85</v>
          </cell>
        </row>
        <row r="2963">
          <cell r="A2963">
            <v>42984</v>
          </cell>
          <cell r="B2963">
            <v>4777.6899999999996</v>
          </cell>
          <cell r="C2963">
            <v>4290.55</v>
          </cell>
          <cell r="D2963">
            <v>2465.54</v>
          </cell>
        </row>
        <row r="2964">
          <cell r="A2964">
            <v>42985</v>
          </cell>
          <cell r="B2964">
            <v>4777.93</v>
          </cell>
          <cell r="C2964">
            <v>4290.47</v>
          </cell>
          <cell r="D2964">
            <v>2465.1</v>
          </cell>
        </row>
        <row r="2965">
          <cell r="A2965">
            <v>42986</v>
          </cell>
          <cell r="B2965">
            <v>4771.0200000000004</v>
          </cell>
          <cell r="C2965">
            <v>4284.21</v>
          </cell>
          <cell r="D2965">
            <v>2461.4299999999998</v>
          </cell>
        </row>
        <row r="2966">
          <cell r="A2966">
            <v>42989</v>
          </cell>
          <cell r="B2966">
            <v>4822.8</v>
          </cell>
          <cell r="C2966">
            <v>4330.68</v>
          </cell>
          <cell r="D2966">
            <v>2488.11</v>
          </cell>
        </row>
        <row r="2967">
          <cell r="A2967">
            <v>42990</v>
          </cell>
          <cell r="B2967">
            <v>4839.3100000000004</v>
          </cell>
          <cell r="C2967">
            <v>4345.4399999999996</v>
          </cell>
          <cell r="D2967">
            <v>2496.48</v>
          </cell>
        </row>
        <row r="2968">
          <cell r="A2968">
            <v>42991</v>
          </cell>
          <cell r="B2968">
            <v>4843.04</v>
          </cell>
          <cell r="C2968">
            <v>4348.7700000000004</v>
          </cell>
          <cell r="D2968">
            <v>2498.37</v>
          </cell>
        </row>
        <row r="2969">
          <cell r="A2969">
            <v>42992</v>
          </cell>
          <cell r="B2969">
            <v>4839.29</v>
          </cell>
          <cell r="C2969">
            <v>4344.97</v>
          </cell>
          <cell r="D2969">
            <v>2495.62</v>
          </cell>
        </row>
        <row r="2970">
          <cell r="A2970">
            <v>42993</v>
          </cell>
          <cell r="B2970">
            <v>4848.84</v>
          </cell>
          <cell r="C2970">
            <v>4353.38</v>
          </cell>
          <cell r="D2970">
            <v>2500.23</v>
          </cell>
        </row>
        <row r="2971">
          <cell r="A2971">
            <v>42996</v>
          </cell>
          <cell r="B2971">
            <v>4856.08</v>
          </cell>
          <cell r="C2971">
            <v>4359.83</v>
          </cell>
          <cell r="D2971">
            <v>2503.87</v>
          </cell>
        </row>
        <row r="2972">
          <cell r="A2972">
            <v>42997</v>
          </cell>
          <cell r="B2972">
            <v>4861.5200000000004</v>
          </cell>
          <cell r="C2972">
            <v>4364.7</v>
          </cell>
          <cell r="D2972">
            <v>2506.65</v>
          </cell>
        </row>
        <row r="2973">
          <cell r="A2973">
            <v>42998</v>
          </cell>
          <cell r="B2973">
            <v>4864.6099999999997</v>
          </cell>
          <cell r="C2973">
            <v>4367.47</v>
          </cell>
          <cell r="D2973">
            <v>2508.2399999999998</v>
          </cell>
        </row>
        <row r="2974">
          <cell r="A2974">
            <v>42999</v>
          </cell>
          <cell r="B2974">
            <v>4849.95</v>
          </cell>
          <cell r="C2974">
            <v>4354.28</v>
          </cell>
          <cell r="D2974">
            <v>2500.6</v>
          </cell>
        </row>
        <row r="2975">
          <cell r="A2975">
            <v>43000</v>
          </cell>
          <cell r="B2975">
            <v>4853.2</v>
          </cell>
          <cell r="C2975">
            <v>4357.16</v>
          </cell>
          <cell r="D2975">
            <v>2502.2199999999998</v>
          </cell>
        </row>
        <row r="2976">
          <cell r="A2976">
            <v>43003</v>
          </cell>
          <cell r="B2976">
            <v>4842.41</v>
          </cell>
          <cell r="C2976">
            <v>4347.4799999999996</v>
          </cell>
          <cell r="D2976">
            <v>2496.66</v>
          </cell>
        </row>
        <row r="2977">
          <cell r="A2977">
            <v>43004</v>
          </cell>
          <cell r="B2977">
            <v>4843.1400000000003</v>
          </cell>
          <cell r="C2977">
            <v>4348.03</v>
          </cell>
          <cell r="D2977">
            <v>2496.84</v>
          </cell>
        </row>
        <row r="2978">
          <cell r="A2978">
            <v>43005</v>
          </cell>
          <cell r="B2978">
            <v>4862.93</v>
          </cell>
          <cell r="C2978">
            <v>4365.8</v>
          </cell>
          <cell r="D2978">
            <v>2507.04</v>
          </cell>
        </row>
        <row r="2979">
          <cell r="A2979">
            <v>43006</v>
          </cell>
          <cell r="B2979">
            <v>4869.8100000000004</v>
          </cell>
          <cell r="C2979">
            <v>4371.7</v>
          </cell>
          <cell r="D2979">
            <v>2510.06</v>
          </cell>
        </row>
        <row r="2980">
          <cell r="A2980">
            <v>43007</v>
          </cell>
          <cell r="B2980">
            <v>4887.97</v>
          </cell>
          <cell r="C2980">
            <v>4387.97</v>
          </cell>
          <cell r="D2980">
            <v>2519.36</v>
          </cell>
        </row>
        <row r="2981">
          <cell r="A2981">
            <v>43010</v>
          </cell>
          <cell r="B2981">
            <v>4906.92</v>
          </cell>
          <cell r="C2981">
            <v>4404.97</v>
          </cell>
          <cell r="D2981">
            <v>2529.12</v>
          </cell>
        </row>
        <row r="2982">
          <cell r="A2982">
            <v>43011</v>
          </cell>
          <cell r="B2982">
            <v>4917.7299999999996</v>
          </cell>
          <cell r="C2982">
            <v>4414.62</v>
          </cell>
          <cell r="D2982">
            <v>2534.58</v>
          </cell>
        </row>
        <row r="2983">
          <cell r="A2983">
            <v>43012</v>
          </cell>
          <cell r="B2983">
            <v>4924.1899999999996</v>
          </cell>
          <cell r="C2983">
            <v>4420.33</v>
          </cell>
          <cell r="D2983">
            <v>2537.7399999999998</v>
          </cell>
        </row>
        <row r="2984">
          <cell r="A2984">
            <v>43013</v>
          </cell>
          <cell r="B2984">
            <v>4952.8500000000004</v>
          </cell>
          <cell r="C2984">
            <v>4445.82</v>
          </cell>
          <cell r="D2984">
            <v>2552.0700000000002</v>
          </cell>
        </row>
        <row r="2985">
          <cell r="A2985">
            <v>43014</v>
          </cell>
          <cell r="B2985">
            <v>4949.09</v>
          </cell>
          <cell r="C2985">
            <v>4442.04</v>
          </cell>
          <cell r="D2985">
            <v>2549.33</v>
          </cell>
        </row>
        <row r="2986">
          <cell r="A2986">
            <v>43017</v>
          </cell>
          <cell r="B2986">
            <v>4940.16</v>
          </cell>
          <cell r="C2986">
            <v>4434.0200000000004</v>
          </cell>
          <cell r="D2986">
            <v>2544.73</v>
          </cell>
        </row>
        <row r="2987">
          <cell r="A2987">
            <v>43018</v>
          </cell>
          <cell r="B2987">
            <v>4951.7700000000004</v>
          </cell>
          <cell r="C2987">
            <v>4444.3999999999996</v>
          </cell>
          <cell r="D2987">
            <v>2550.64</v>
          </cell>
        </row>
        <row r="2988">
          <cell r="A2988">
            <v>43019</v>
          </cell>
          <cell r="B2988">
            <v>4960.79</v>
          </cell>
          <cell r="C2988">
            <v>4452.47</v>
          </cell>
          <cell r="D2988">
            <v>2555.2399999999998</v>
          </cell>
        </row>
        <row r="2989">
          <cell r="A2989">
            <v>43020</v>
          </cell>
          <cell r="B2989">
            <v>4952.8500000000004</v>
          </cell>
          <cell r="C2989">
            <v>4445.24</v>
          </cell>
          <cell r="D2989">
            <v>2550.9299999999998</v>
          </cell>
        </row>
        <row r="2990">
          <cell r="A2990">
            <v>43021</v>
          </cell>
          <cell r="B2990">
            <v>4957.2700000000004</v>
          </cell>
          <cell r="C2990">
            <v>4449.18</v>
          </cell>
          <cell r="D2990">
            <v>2553.17</v>
          </cell>
        </row>
        <row r="2991">
          <cell r="A2991">
            <v>43024</v>
          </cell>
          <cell r="B2991">
            <v>4966.05</v>
          </cell>
          <cell r="C2991">
            <v>4457.03</v>
          </cell>
          <cell r="D2991">
            <v>2557.64</v>
          </cell>
        </row>
        <row r="2992">
          <cell r="A2992">
            <v>43025</v>
          </cell>
          <cell r="B2992">
            <v>4969.38</v>
          </cell>
          <cell r="C2992">
            <v>4460.03</v>
          </cell>
          <cell r="D2992">
            <v>2559.36</v>
          </cell>
        </row>
        <row r="2993">
          <cell r="A2993">
            <v>43026</v>
          </cell>
          <cell r="B2993">
            <v>4973.28</v>
          </cell>
          <cell r="C2993">
            <v>4463.47</v>
          </cell>
          <cell r="D2993">
            <v>2561.2600000000002</v>
          </cell>
        </row>
        <row r="2994">
          <cell r="A2994">
            <v>43027</v>
          </cell>
          <cell r="B2994">
            <v>4975.32</v>
          </cell>
          <cell r="C2994">
            <v>4465.1899999999996</v>
          </cell>
          <cell r="D2994">
            <v>2562.1</v>
          </cell>
        </row>
        <row r="2995">
          <cell r="A2995">
            <v>43028</v>
          </cell>
          <cell r="B2995">
            <v>5001.1099999999997</v>
          </cell>
          <cell r="C2995">
            <v>4488.25</v>
          </cell>
          <cell r="D2995">
            <v>2575.21</v>
          </cell>
        </row>
        <row r="2996">
          <cell r="A2996">
            <v>43031</v>
          </cell>
          <cell r="B2996">
            <v>4981.37</v>
          </cell>
          <cell r="C2996">
            <v>4470.49</v>
          </cell>
          <cell r="D2996">
            <v>2564.98</v>
          </cell>
        </row>
        <row r="2997">
          <cell r="A2997">
            <v>43032</v>
          </cell>
          <cell r="B2997">
            <v>4989.5600000000004</v>
          </cell>
          <cell r="C2997">
            <v>4477.8100000000004</v>
          </cell>
          <cell r="D2997">
            <v>2569.13</v>
          </cell>
        </row>
        <row r="2998">
          <cell r="A2998">
            <v>43033</v>
          </cell>
          <cell r="B2998">
            <v>4966.29</v>
          </cell>
          <cell r="C2998">
            <v>4456.93</v>
          </cell>
          <cell r="D2998">
            <v>2557.15</v>
          </cell>
        </row>
        <row r="2999">
          <cell r="A2999">
            <v>43034</v>
          </cell>
          <cell r="B2999">
            <v>4972.6000000000004</v>
          </cell>
          <cell r="C2999">
            <v>4462.59</v>
          </cell>
          <cell r="D2999">
            <v>2560.4</v>
          </cell>
        </row>
        <row r="3000">
          <cell r="A3000">
            <v>43035</v>
          </cell>
          <cell r="B3000">
            <v>5012.75</v>
          </cell>
          <cell r="C3000">
            <v>4498.62</v>
          </cell>
          <cell r="D3000">
            <v>2581.0700000000002</v>
          </cell>
        </row>
        <row r="3001">
          <cell r="A3001">
            <v>43038</v>
          </cell>
          <cell r="B3001">
            <v>4997.1499999999996</v>
          </cell>
          <cell r="C3001">
            <v>4484.51</v>
          </cell>
          <cell r="D3001">
            <v>2572.83</v>
          </cell>
        </row>
        <row r="3002">
          <cell r="A3002">
            <v>43039</v>
          </cell>
          <cell r="B3002">
            <v>5002.03</v>
          </cell>
          <cell r="C3002">
            <v>4488.8500000000004</v>
          </cell>
          <cell r="D3002">
            <v>2575.2600000000002</v>
          </cell>
        </row>
        <row r="3003">
          <cell r="A3003">
            <v>43040</v>
          </cell>
          <cell r="B3003">
            <v>5009.99</v>
          </cell>
          <cell r="C3003">
            <v>4495.99</v>
          </cell>
          <cell r="D3003">
            <v>2579.36</v>
          </cell>
        </row>
        <row r="3004">
          <cell r="A3004">
            <v>43041</v>
          </cell>
          <cell r="B3004">
            <v>5011.4799999999996</v>
          </cell>
          <cell r="C3004">
            <v>4497.1899999999996</v>
          </cell>
          <cell r="D3004">
            <v>2579.85</v>
          </cell>
        </row>
        <row r="3005">
          <cell r="A3005">
            <v>43042</v>
          </cell>
          <cell r="B3005">
            <v>5027.49</v>
          </cell>
          <cell r="C3005">
            <v>4511.42</v>
          </cell>
          <cell r="D3005">
            <v>2587.84</v>
          </cell>
        </row>
        <row r="3006">
          <cell r="A3006">
            <v>43045</v>
          </cell>
          <cell r="B3006">
            <v>5034.3</v>
          </cell>
          <cell r="C3006">
            <v>4517.42</v>
          </cell>
          <cell r="D3006">
            <v>2591.13</v>
          </cell>
        </row>
        <row r="3007">
          <cell r="A3007">
            <v>43046</v>
          </cell>
          <cell r="B3007">
            <v>5033.38</v>
          </cell>
          <cell r="C3007">
            <v>4516.59</v>
          </cell>
          <cell r="D3007">
            <v>2590.64</v>
          </cell>
        </row>
        <row r="3008">
          <cell r="A3008">
            <v>43047</v>
          </cell>
          <cell r="B3008">
            <v>5040.74</v>
          </cell>
          <cell r="C3008">
            <v>4523.16</v>
          </cell>
          <cell r="D3008">
            <v>2594.38</v>
          </cell>
        </row>
        <row r="3009">
          <cell r="A3009">
            <v>43048</v>
          </cell>
          <cell r="B3009">
            <v>5023.01</v>
          </cell>
          <cell r="C3009">
            <v>4506.92</v>
          </cell>
          <cell r="D3009">
            <v>2584.62</v>
          </cell>
        </row>
        <row r="3010">
          <cell r="A3010">
            <v>43049</v>
          </cell>
          <cell r="B3010">
            <v>5020.3100000000004</v>
          </cell>
          <cell r="C3010">
            <v>4504.01</v>
          </cell>
          <cell r="D3010">
            <v>2582.3000000000002</v>
          </cell>
        </row>
        <row r="3011">
          <cell r="A3011">
            <v>43052</v>
          </cell>
          <cell r="B3011">
            <v>5025.3599999999997</v>
          </cell>
          <cell r="C3011">
            <v>4508.5200000000004</v>
          </cell>
          <cell r="D3011">
            <v>2584.84</v>
          </cell>
        </row>
        <row r="3012">
          <cell r="A3012">
            <v>43053</v>
          </cell>
          <cell r="B3012">
            <v>5014.53</v>
          </cell>
          <cell r="C3012">
            <v>4498.59</v>
          </cell>
          <cell r="D3012">
            <v>2578.87</v>
          </cell>
        </row>
        <row r="3013">
          <cell r="A3013">
            <v>43054</v>
          </cell>
          <cell r="B3013">
            <v>4987.96</v>
          </cell>
          <cell r="C3013">
            <v>4474.45</v>
          </cell>
          <cell r="D3013">
            <v>2564.62</v>
          </cell>
        </row>
        <row r="3014">
          <cell r="A3014">
            <v>43055</v>
          </cell>
          <cell r="B3014">
            <v>5030.4799999999996</v>
          </cell>
          <cell r="C3014">
            <v>4512.1499999999996</v>
          </cell>
          <cell r="D3014">
            <v>2585.64</v>
          </cell>
        </row>
        <row r="3015">
          <cell r="A3015">
            <v>43056</v>
          </cell>
          <cell r="B3015">
            <v>5017.45</v>
          </cell>
          <cell r="C3015">
            <v>4500.42</v>
          </cell>
          <cell r="D3015">
            <v>2578.85</v>
          </cell>
        </row>
        <row r="3016">
          <cell r="A3016">
            <v>43059</v>
          </cell>
          <cell r="B3016">
            <v>5024.01</v>
          </cell>
          <cell r="C3016">
            <v>4506.26</v>
          </cell>
          <cell r="D3016">
            <v>2582.14</v>
          </cell>
        </row>
        <row r="3017">
          <cell r="A3017">
            <v>43060</v>
          </cell>
          <cell r="B3017">
            <v>5056.95</v>
          </cell>
          <cell r="C3017">
            <v>4535.78</v>
          </cell>
          <cell r="D3017">
            <v>2599.0300000000002</v>
          </cell>
        </row>
        <row r="3018">
          <cell r="A3018">
            <v>43061</v>
          </cell>
          <cell r="B3018">
            <v>5053.6000000000004</v>
          </cell>
          <cell r="C3018">
            <v>4532.66</v>
          </cell>
          <cell r="D3018">
            <v>2597.08</v>
          </cell>
        </row>
        <row r="3019">
          <cell r="A3019">
            <v>43063</v>
          </cell>
          <cell r="B3019">
            <v>5064.2299999999996</v>
          </cell>
          <cell r="C3019">
            <v>4542.13</v>
          </cell>
          <cell r="D3019">
            <v>2602.42</v>
          </cell>
        </row>
        <row r="3020">
          <cell r="A3020">
            <v>43066</v>
          </cell>
          <cell r="B3020">
            <v>5062.8500000000004</v>
          </cell>
          <cell r="C3020">
            <v>4540.7299999999996</v>
          </cell>
          <cell r="D3020">
            <v>2601.42</v>
          </cell>
        </row>
        <row r="3021">
          <cell r="A3021">
            <v>43067</v>
          </cell>
          <cell r="B3021">
            <v>5112.91</v>
          </cell>
          <cell r="C3021">
            <v>4585.58</v>
          </cell>
          <cell r="D3021">
            <v>2627.04</v>
          </cell>
        </row>
        <row r="3022">
          <cell r="A3022">
            <v>43068</v>
          </cell>
          <cell r="B3022">
            <v>5111.68</v>
          </cell>
          <cell r="C3022">
            <v>4584.3</v>
          </cell>
          <cell r="D3022">
            <v>2626.07</v>
          </cell>
        </row>
        <row r="3023">
          <cell r="A3023">
            <v>43069</v>
          </cell>
          <cell r="B3023">
            <v>5155.4399999999996</v>
          </cell>
          <cell r="C3023">
            <v>4623.04</v>
          </cell>
          <cell r="D3023">
            <v>2647.58</v>
          </cell>
        </row>
        <row r="3024">
          <cell r="A3024">
            <v>43070</v>
          </cell>
          <cell r="B3024">
            <v>5145.21</v>
          </cell>
          <cell r="C3024">
            <v>4613.8</v>
          </cell>
          <cell r="D3024">
            <v>2642.22</v>
          </cell>
        </row>
        <row r="3025">
          <cell r="A3025">
            <v>43073</v>
          </cell>
          <cell r="B3025">
            <v>5139.91</v>
          </cell>
          <cell r="C3025">
            <v>4609.0200000000004</v>
          </cell>
          <cell r="D3025">
            <v>2639.44</v>
          </cell>
        </row>
        <row r="3026">
          <cell r="A3026">
            <v>43074</v>
          </cell>
          <cell r="B3026">
            <v>5120.92</v>
          </cell>
          <cell r="C3026">
            <v>4591.93</v>
          </cell>
          <cell r="D3026">
            <v>2629.57</v>
          </cell>
        </row>
        <row r="3027">
          <cell r="A3027">
            <v>43075</v>
          </cell>
          <cell r="B3027">
            <v>5120.46</v>
          </cell>
          <cell r="C3027">
            <v>4591.49</v>
          </cell>
          <cell r="D3027">
            <v>2629.27</v>
          </cell>
        </row>
        <row r="3028">
          <cell r="A3028">
            <v>43076</v>
          </cell>
          <cell r="B3028">
            <v>5136.37</v>
          </cell>
          <cell r="C3028">
            <v>4605.51</v>
          </cell>
          <cell r="D3028">
            <v>2636.98</v>
          </cell>
        </row>
        <row r="3029">
          <cell r="A3029">
            <v>43077</v>
          </cell>
          <cell r="B3029">
            <v>5165.1899999999996</v>
          </cell>
          <cell r="C3029">
            <v>4631.21</v>
          </cell>
          <cell r="D3029">
            <v>2651.5</v>
          </cell>
        </row>
        <row r="3030">
          <cell r="A3030">
            <v>43080</v>
          </cell>
          <cell r="B3030">
            <v>5181.75</v>
          </cell>
          <cell r="C3030">
            <v>4646.05</v>
          </cell>
          <cell r="D3030">
            <v>2659.99</v>
          </cell>
        </row>
        <row r="3031">
          <cell r="A3031">
            <v>43081</v>
          </cell>
          <cell r="B3031">
            <v>5189.96</v>
          </cell>
          <cell r="C3031">
            <v>4653.3599999999997</v>
          </cell>
          <cell r="D3031">
            <v>2664.11</v>
          </cell>
        </row>
        <row r="3032">
          <cell r="A3032">
            <v>43082</v>
          </cell>
          <cell r="B3032">
            <v>5187.68</v>
          </cell>
          <cell r="C3032">
            <v>4651.2700000000004</v>
          </cell>
          <cell r="D3032">
            <v>2662.85</v>
          </cell>
        </row>
        <row r="3033">
          <cell r="A3033">
            <v>43083</v>
          </cell>
          <cell r="B3033">
            <v>5167.45</v>
          </cell>
          <cell r="C3033">
            <v>4632.8900000000003</v>
          </cell>
          <cell r="D3033">
            <v>2652.01</v>
          </cell>
        </row>
        <row r="3034">
          <cell r="A3034">
            <v>43084</v>
          </cell>
          <cell r="B3034">
            <v>5214.1000000000004</v>
          </cell>
          <cell r="C3034">
            <v>4674.6499999999996</v>
          </cell>
          <cell r="D3034">
            <v>2675.81</v>
          </cell>
        </row>
        <row r="3035">
          <cell r="A3035">
            <v>43087</v>
          </cell>
          <cell r="B3035">
            <v>5242.28</v>
          </cell>
          <cell r="C3035">
            <v>4699.8500000000004</v>
          </cell>
          <cell r="D3035">
            <v>2690.16</v>
          </cell>
        </row>
        <row r="3036">
          <cell r="A3036">
            <v>43088</v>
          </cell>
          <cell r="B3036">
            <v>5225.43</v>
          </cell>
          <cell r="C3036">
            <v>4684.72</v>
          </cell>
          <cell r="D3036">
            <v>2681.47</v>
          </cell>
        </row>
        <row r="3037">
          <cell r="A3037">
            <v>43089</v>
          </cell>
          <cell r="B3037">
            <v>5221.79</v>
          </cell>
          <cell r="C3037">
            <v>4681.2700000000004</v>
          </cell>
          <cell r="D3037">
            <v>2679.25</v>
          </cell>
        </row>
        <row r="3038">
          <cell r="A3038">
            <v>43090</v>
          </cell>
          <cell r="B3038">
            <v>5232.16</v>
          </cell>
          <cell r="C3038">
            <v>4690.57</v>
          </cell>
          <cell r="D3038">
            <v>2684.57</v>
          </cell>
        </row>
        <row r="3039">
          <cell r="A3039">
            <v>43091</v>
          </cell>
          <cell r="B3039">
            <v>5229.79</v>
          </cell>
          <cell r="C3039">
            <v>4688.4399999999996</v>
          </cell>
          <cell r="D3039">
            <v>2683.34</v>
          </cell>
        </row>
        <row r="3040">
          <cell r="A3040">
            <v>43095</v>
          </cell>
          <cell r="B3040">
            <v>5224.51</v>
          </cell>
          <cell r="C3040">
            <v>4683.6400000000003</v>
          </cell>
          <cell r="D3040">
            <v>2680.5</v>
          </cell>
        </row>
        <row r="3041">
          <cell r="A3041">
            <v>43096</v>
          </cell>
          <cell r="B3041">
            <v>5229.01</v>
          </cell>
          <cell r="C3041">
            <v>4687.57</v>
          </cell>
          <cell r="D3041">
            <v>2682.62</v>
          </cell>
        </row>
        <row r="3042">
          <cell r="A3042">
            <v>43097</v>
          </cell>
          <cell r="B3042">
            <v>5239.59</v>
          </cell>
          <cell r="C3042">
            <v>4696.79</v>
          </cell>
          <cell r="D3042">
            <v>2687.54</v>
          </cell>
        </row>
        <row r="3043">
          <cell r="A3043">
            <v>43098</v>
          </cell>
          <cell r="B3043">
            <v>5212.76</v>
          </cell>
          <cell r="C3043">
            <v>4672.6499999999996</v>
          </cell>
          <cell r="D3043">
            <v>2673.61</v>
          </cell>
        </row>
        <row r="3044">
          <cell r="A3044">
            <v>43102</v>
          </cell>
          <cell r="B3044">
            <v>5256.28</v>
          </cell>
          <cell r="C3044">
            <v>4711.6000000000004</v>
          </cell>
          <cell r="D3044">
            <v>2695.81</v>
          </cell>
        </row>
        <row r="3045">
          <cell r="A3045">
            <v>43103</v>
          </cell>
          <cell r="B3045">
            <v>5289.92</v>
          </cell>
          <cell r="C3045">
            <v>4741.75</v>
          </cell>
          <cell r="D3045">
            <v>2713.06</v>
          </cell>
        </row>
        <row r="3046">
          <cell r="A3046">
            <v>43104</v>
          </cell>
          <cell r="B3046">
            <v>5312.33</v>
          </cell>
          <cell r="C3046">
            <v>4761.55</v>
          </cell>
          <cell r="D3046">
            <v>2723.99</v>
          </cell>
        </row>
        <row r="3047">
          <cell r="A3047">
            <v>43105</v>
          </cell>
          <cell r="B3047">
            <v>5349.69</v>
          </cell>
          <cell r="C3047">
            <v>4795.03</v>
          </cell>
          <cell r="D3047">
            <v>2743.15</v>
          </cell>
        </row>
        <row r="3048">
          <cell r="A3048">
            <v>43108</v>
          </cell>
          <cell r="B3048">
            <v>5358.68</v>
          </cell>
          <cell r="C3048">
            <v>4803.0600000000004</v>
          </cell>
          <cell r="D3048">
            <v>2747.71</v>
          </cell>
        </row>
        <row r="3049">
          <cell r="A3049">
            <v>43109</v>
          </cell>
          <cell r="B3049">
            <v>5367.26</v>
          </cell>
          <cell r="C3049">
            <v>4810.32</v>
          </cell>
          <cell r="D3049">
            <v>2751.29</v>
          </cell>
        </row>
        <row r="3050">
          <cell r="A3050">
            <v>43110</v>
          </cell>
          <cell r="B3050">
            <v>5361.33</v>
          </cell>
          <cell r="C3050">
            <v>4804.99</v>
          </cell>
          <cell r="D3050">
            <v>2748.23</v>
          </cell>
        </row>
        <row r="3051">
          <cell r="A3051">
            <v>43111</v>
          </cell>
          <cell r="B3051">
            <v>5399.46</v>
          </cell>
          <cell r="C3051">
            <v>4839.0600000000004</v>
          </cell>
          <cell r="D3051">
            <v>2767.56</v>
          </cell>
        </row>
        <row r="3052">
          <cell r="A3052">
            <v>43112</v>
          </cell>
          <cell r="B3052">
            <v>5435.92</v>
          </cell>
          <cell r="C3052">
            <v>4871.7299999999996</v>
          </cell>
          <cell r="D3052">
            <v>2786.24</v>
          </cell>
        </row>
        <row r="3053">
          <cell r="A3053">
            <v>43116</v>
          </cell>
          <cell r="B3053">
            <v>5416.86</v>
          </cell>
          <cell r="C3053">
            <v>4854.62</v>
          </cell>
          <cell r="D3053">
            <v>2776.42</v>
          </cell>
        </row>
        <row r="3054">
          <cell r="A3054">
            <v>43117</v>
          </cell>
          <cell r="B3054">
            <v>5467.85</v>
          </cell>
          <cell r="C3054">
            <v>4900.32</v>
          </cell>
          <cell r="D3054">
            <v>2802.56</v>
          </cell>
        </row>
        <row r="3055">
          <cell r="A3055">
            <v>43118</v>
          </cell>
          <cell r="B3055">
            <v>5459.5</v>
          </cell>
          <cell r="C3055">
            <v>4892.7</v>
          </cell>
          <cell r="D3055">
            <v>2798.03</v>
          </cell>
        </row>
        <row r="3056">
          <cell r="A3056">
            <v>43119</v>
          </cell>
          <cell r="B3056">
            <v>5483.57</v>
          </cell>
          <cell r="C3056">
            <v>4914.25</v>
          </cell>
          <cell r="D3056">
            <v>2810.3</v>
          </cell>
        </row>
        <row r="3057">
          <cell r="A3057">
            <v>43122</v>
          </cell>
          <cell r="B3057">
            <v>5527.89</v>
          </cell>
          <cell r="C3057">
            <v>4953.9399999999996</v>
          </cell>
          <cell r="D3057">
            <v>2832.97</v>
          </cell>
        </row>
        <row r="3058">
          <cell r="A3058">
            <v>43123</v>
          </cell>
          <cell r="B3058">
            <v>5540.13</v>
          </cell>
          <cell r="C3058">
            <v>4964.8500000000004</v>
          </cell>
          <cell r="D3058">
            <v>2839.13</v>
          </cell>
        </row>
        <row r="3059">
          <cell r="A3059">
            <v>43124</v>
          </cell>
          <cell r="B3059">
            <v>5537.03</v>
          </cell>
          <cell r="C3059">
            <v>4962.07</v>
          </cell>
          <cell r="D3059">
            <v>2837.54</v>
          </cell>
        </row>
        <row r="3060">
          <cell r="A3060">
            <v>43125</v>
          </cell>
          <cell r="B3060">
            <v>5540.38</v>
          </cell>
          <cell r="C3060">
            <v>4965.07</v>
          </cell>
          <cell r="D3060">
            <v>2839.25</v>
          </cell>
        </row>
        <row r="3061">
          <cell r="A3061">
            <v>43126</v>
          </cell>
          <cell r="B3061">
            <v>5606.08</v>
          </cell>
          <cell r="C3061">
            <v>5023.92</v>
          </cell>
          <cell r="D3061">
            <v>2872.87</v>
          </cell>
        </row>
        <row r="3062">
          <cell r="A3062">
            <v>43129</v>
          </cell>
          <cell r="B3062">
            <v>5568.67</v>
          </cell>
          <cell r="C3062">
            <v>4990.3100000000004</v>
          </cell>
          <cell r="D3062">
            <v>2853.53</v>
          </cell>
        </row>
        <row r="3063">
          <cell r="A3063">
            <v>43130</v>
          </cell>
          <cell r="B3063">
            <v>5508.36</v>
          </cell>
          <cell r="C3063">
            <v>4936.16</v>
          </cell>
          <cell r="D3063">
            <v>2822.43</v>
          </cell>
        </row>
        <row r="3064">
          <cell r="A3064">
            <v>43131</v>
          </cell>
          <cell r="B3064">
            <v>5511.21</v>
          </cell>
          <cell r="C3064">
            <v>4938.67</v>
          </cell>
          <cell r="D3064">
            <v>2823.81</v>
          </cell>
        </row>
        <row r="3065">
          <cell r="A3065">
            <v>43132</v>
          </cell>
          <cell r="B3065">
            <v>5508.7</v>
          </cell>
          <cell r="C3065">
            <v>4936.13</v>
          </cell>
          <cell r="D3065">
            <v>2821.98</v>
          </cell>
        </row>
        <row r="3066">
          <cell r="A3066">
            <v>43133</v>
          </cell>
          <cell r="B3066">
            <v>5392.21</v>
          </cell>
          <cell r="C3066">
            <v>4831.66</v>
          </cell>
          <cell r="D3066">
            <v>2762.13</v>
          </cell>
        </row>
        <row r="3067">
          <cell r="A3067">
            <v>43136</v>
          </cell>
          <cell r="B3067">
            <v>5171.26</v>
          </cell>
          <cell r="C3067">
            <v>4633.68</v>
          </cell>
          <cell r="D3067">
            <v>2648.94</v>
          </cell>
        </row>
        <row r="3068">
          <cell r="A3068">
            <v>43137</v>
          </cell>
          <cell r="B3068">
            <v>5262.02</v>
          </cell>
          <cell r="C3068">
            <v>4714.8500000000004</v>
          </cell>
          <cell r="D3068">
            <v>2695.14</v>
          </cell>
        </row>
        <row r="3069">
          <cell r="A3069">
            <v>43138</v>
          </cell>
          <cell r="B3069">
            <v>5235.84</v>
          </cell>
          <cell r="C3069">
            <v>4691.3500000000004</v>
          </cell>
          <cell r="D3069">
            <v>2681.66</v>
          </cell>
        </row>
        <row r="3070">
          <cell r="A3070">
            <v>43139</v>
          </cell>
          <cell r="B3070">
            <v>5040.0600000000004</v>
          </cell>
          <cell r="C3070">
            <v>4515.7299999999996</v>
          </cell>
          <cell r="D3070">
            <v>2581</v>
          </cell>
        </row>
        <row r="3071">
          <cell r="A3071">
            <v>43140</v>
          </cell>
          <cell r="B3071">
            <v>5116.99</v>
          </cell>
          <cell r="C3071">
            <v>4584.21</v>
          </cell>
          <cell r="D3071">
            <v>2619.5500000000002</v>
          </cell>
        </row>
        <row r="3072">
          <cell r="A3072">
            <v>43143</v>
          </cell>
          <cell r="B3072">
            <v>5188.37</v>
          </cell>
          <cell r="C3072">
            <v>4648.1099999999997</v>
          </cell>
          <cell r="D3072">
            <v>2656</v>
          </cell>
        </row>
        <row r="3073">
          <cell r="A3073">
            <v>43144</v>
          </cell>
          <cell r="B3073">
            <v>5202.22</v>
          </cell>
          <cell r="C3073">
            <v>4660.4399999999996</v>
          </cell>
          <cell r="D3073">
            <v>2662.94</v>
          </cell>
        </row>
        <row r="3074">
          <cell r="A3074">
            <v>43145</v>
          </cell>
          <cell r="B3074">
            <v>5273.43</v>
          </cell>
          <cell r="C3074">
            <v>4723.83</v>
          </cell>
          <cell r="D3074">
            <v>2698.63</v>
          </cell>
        </row>
        <row r="3075">
          <cell r="A3075">
            <v>43146</v>
          </cell>
          <cell r="B3075">
            <v>5338.35</v>
          </cell>
          <cell r="C3075">
            <v>4781.6499999999996</v>
          </cell>
          <cell r="D3075">
            <v>2731.2</v>
          </cell>
        </row>
        <row r="3076">
          <cell r="A3076">
            <v>43147</v>
          </cell>
          <cell r="B3076">
            <v>5340.82</v>
          </cell>
          <cell r="C3076">
            <v>4783.7299999999996</v>
          </cell>
          <cell r="D3076">
            <v>2732.22</v>
          </cell>
        </row>
        <row r="3077">
          <cell r="A3077">
            <v>43151</v>
          </cell>
          <cell r="B3077">
            <v>5309.99</v>
          </cell>
          <cell r="C3077">
            <v>4756.0200000000004</v>
          </cell>
          <cell r="D3077">
            <v>2716.26</v>
          </cell>
        </row>
        <row r="3078">
          <cell r="A3078">
            <v>43152</v>
          </cell>
          <cell r="B3078">
            <v>5280.91</v>
          </cell>
          <cell r="C3078">
            <v>4729.9399999999996</v>
          </cell>
          <cell r="D3078">
            <v>2701.33</v>
          </cell>
        </row>
        <row r="3079">
          <cell r="A3079">
            <v>43153</v>
          </cell>
          <cell r="B3079">
            <v>5286.5</v>
          </cell>
          <cell r="C3079">
            <v>4734.83</v>
          </cell>
          <cell r="D3079">
            <v>2703.96</v>
          </cell>
        </row>
        <row r="3080">
          <cell r="A3080">
            <v>43154</v>
          </cell>
          <cell r="B3080">
            <v>5371.56</v>
          </cell>
          <cell r="C3080">
            <v>4810.93</v>
          </cell>
          <cell r="D3080">
            <v>2747.3</v>
          </cell>
        </row>
        <row r="3081">
          <cell r="A3081">
            <v>43157</v>
          </cell>
          <cell r="B3081">
            <v>5435.38</v>
          </cell>
          <cell r="C3081">
            <v>4867.8999999999996</v>
          </cell>
          <cell r="D3081">
            <v>2779.6</v>
          </cell>
        </row>
        <row r="3082">
          <cell r="A3082">
            <v>43158</v>
          </cell>
          <cell r="B3082">
            <v>5367.09</v>
          </cell>
          <cell r="C3082">
            <v>4806.53</v>
          </cell>
          <cell r="D3082">
            <v>2744.28</v>
          </cell>
        </row>
        <row r="3083">
          <cell r="A3083">
            <v>43159</v>
          </cell>
          <cell r="B3083">
            <v>5308.09</v>
          </cell>
          <cell r="C3083">
            <v>4753.55</v>
          </cell>
          <cell r="D3083">
            <v>2713.83</v>
          </cell>
        </row>
        <row r="3084">
          <cell r="A3084">
            <v>43160</v>
          </cell>
          <cell r="B3084">
            <v>5238.18</v>
          </cell>
          <cell r="C3084">
            <v>4690.7299999999996</v>
          </cell>
          <cell r="D3084">
            <v>2677.67</v>
          </cell>
        </row>
        <row r="3085">
          <cell r="A3085">
            <v>43161</v>
          </cell>
          <cell r="B3085">
            <v>5265.24</v>
          </cell>
          <cell r="C3085">
            <v>4714.82</v>
          </cell>
          <cell r="D3085">
            <v>2691.25</v>
          </cell>
        </row>
        <row r="3086">
          <cell r="A3086">
            <v>43164</v>
          </cell>
          <cell r="B3086">
            <v>5323.36</v>
          </cell>
          <cell r="C3086">
            <v>4766.8599999999997</v>
          </cell>
          <cell r="D3086">
            <v>2720.94</v>
          </cell>
        </row>
        <row r="3087">
          <cell r="A3087">
            <v>43165</v>
          </cell>
          <cell r="B3087">
            <v>5337.69</v>
          </cell>
          <cell r="C3087">
            <v>4779.6099999999997</v>
          </cell>
          <cell r="D3087">
            <v>2728.12</v>
          </cell>
        </row>
        <row r="3088">
          <cell r="A3088">
            <v>43166</v>
          </cell>
          <cell r="B3088">
            <v>5335.47</v>
          </cell>
          <cell r="C3088">
            <v>4777.53</v>
          </cell>
          <cell r="D3088">
            <v>2726.8</v>
          </cell>
        </row>
        <row r="3089">
          <cell r="A3089">
            <v>43167</v>
          </cell>
          <cell r="B3089">
            <v>5360.73</v>
          </cell>
          <cell r="C3089">
            <v>4799.76</v>
          </cell>
          <cell r="D3089">
            <v>2738.97</v>
          </cell>
        </row>
        <row r="3090">
          <cell r="A3090">
            <v>43168</v>
          </cell>
          <cell r="B3090">
            <v>5454.03</v>
          </cell>
          <cell r="C3090">
            <v>4883.25</v>
          </cell>
          <cell r="D3090">
            <v>2786.57</v>
          </cell>
        </row>
        <row r="3091">
          <cell r="A3091">
            <v>43171</v>
          </cell>
          <cell r="B3091">
            <v>5447.1</v>
          </cell>
          <cell r="C3091">
            <v>4877.05</v>
          </cell>
          <cell r="D3091">
            <v>2783.02</v>
          </cell>
        </row>
        <row r="3092">
          <cell r="A3092">
            <v>43172</v>
          </cell>
          <cell r="B3092">
            <v>5412.75</v>
          </cell>
          <cell r="C3092">
            <v>4846.21</v>
          </cell>
          <cell r="D3092">
            <v>2765.31</v>
          </cell>
        </row>
        <row r="3093">
          <cell r="A3093">
            <v>43173</v>
          </cell>
          <cell r="B3093">
            <v>5383.27</v>
          </cell>
          <cell r="C3093">
            <v>4819.41</v>
          </cell>
          <cell r="D3093">
            <v>2749.48</v>
          </cell>
        </row>
        <row r="3094">
          <cell r="A3094">
            <v>43174</v>
          </cell>
          <cell r="B3094">
            <v>5379.39</v>
          </cell>
          <cell r="C3094">
            <v>4815.8500000000004</v>
          </cell>
          <cell r="D3094">
            <v>2747.33</v>
          </cell>
        </row>
        <row r="3095">
          <cell r="A3095">
            <v>43175</v>
          </cell>
          <cell r="B3095">
            <v>5388.74</v>
          </cell>
          <cell r="C3095">
            <v>4824.17</v>
          </cell>
          <cell r="D3095">
            <v>2752.01</v>
          </cell>
        </row>
        <row r="3096">
          <cell r="A3096">
            <v>43178</v>
          </cell>
          <cell r="B3096">
            <v>5312.23</v>
          </cell>
          <cell r="C3096">
            <v>4755.67</v>
          </cell>
          <cell r="D3096">
            <v>2712.92</v>
          </cell>
        </row>
        <row r="3097">
          <cell r="A3097">
            <v>43179</v>
          </cell>
          <cell r="B3097">
            <v>5320.2</v>
          </cell>
          <cell r="C3097">
            <v>4762.78</v>
          </cell>
          <cell r="D3097">
            <v>2716.94</v>
          </cell>
        </row>
        <row r="3098">
          <cell r="A3098">
            <v>43180</v>
          </cell>
          <cell r="B3098">
            <v>5310.96</v>
          </cell>
          <cell r="C3098">
            <v>4754.3500000000004</v>
          </cell>
          <cell r="D3098">
            <v>2711.93</v>
          </cell>
        </row>
        <row r="3099">
          <cell r="A3099">
            <v>43181</v>
          </cell>
          <cell r="B3099">
            <v>5177.5200000000004</v>
          </cell>
          <cell r="C3099">
            <v>4634.8500000000004</v>
          </cell>
          <cell r="D3099">
            <v>2643.69</v>
          </cell>
        </row>
        <row r="3100">
          <cell r="A3100">
            <v>43182</v>
          </cell>
          <cell r="B3100">
            <v>5069.03</v>
          </cell>
          <cell r="C3100">
            <v>4537.7</v>
          </cell>
          <cell r="D3100">
            <v>2588.2600000000002</v>
          </cell>
        </row>
        <row r="3101">
          <cell r="A3101">
            <v>43185</v>
          </cell>
          <cell r="B3101">
            <v>5206.6899999999996</v>
          </cell>
          <cell r="C3101">
            <v>4660.9399999999996</v>
          </cell>
          <cell r="D3101">
            <v>2658.55</v>
          </cell>
        </row>
        <row r="3102">
          <cell r="A3102">
            <v>43186</v>
          </cell>
          <cell r="B3102">
            <v>5116.75</v>
          </cell>
          <cell r="C3102">
            <v>4580.42</v>
          </cell>
          <cell r="D3102">
            <v>2612.62</v>
          </cell>
        </row>
        <row r="3103">
          <cell r="A3103">
            <v>43187</v>
          </cell>
          <cell r="B3103">
            <v>5102.6899999999996</v>
          </cell>
          <cell r="C3103">
            <v>4567.6000000000004</v>
          </cell>
          <cell r="D3103">
            <v>2605</v>
          </cell>
        </row>
        <row r="3104">
          <cell r="A3104">
            <v>43188</v>
          </cell>
          <cell r="B3104">
            <v>5173.1899999999996</v>
          </cell>
          <cell r="C3104">
            <v>4630.6400000000003</v>
          </cell>
          <cell r="D3104">
            <v>2640.87</v>
          </cell>
        </row>
        <row r="3105">
          <cell r="A3105">
            <v>43192</v>
          </cell>
          <cell r="B3105">
            <v>5057.6899999999996</v>
          </cell>
          <cell r="C3105">
            <v>4527.24</v>
          </cell>
          <cell r="D3105">
            <v>2581.88</v>
          </cell>
        </row>
        <row r="3106">
          <cell r="A3106">
            <v>43193</v>
          </cell>
          <cell r="B3106">
            <v>5121.7</v>
          </cell>
          <cell r="C3106">
            <v>4584.4799999999996</v>
          </cell>
          <cell r="D3106">
            <v>2614.4499999999998</v>
          </cell>
        </row>
        <row r="3107">
          <cell r="A3107">
            <v>43194</v>
          </cell>
          <cell r="B3107">
            <v>5181.3100000000004</v>
          </cell>
          <cell r="C3107">
            <v>4637.74</v>
          </cell>
          <cell r="D3107">
            <v>2644.69</v>
          </cell>
        </row>
        <row r="3108">
          <cell r="A3108">
            <v>43195</v>
          </cell>
          <cell r="B3108">
            <v>5217.62</v>
          </cell>
          <cell r="C3108">
            <v>4670.04</v>
          </cell>
          <cell r="D3108">
            <v>2662.84</v>
          </cell>
        </row>
        <row r="3109">
          <cell r="A3109">
            <v>43196</v>
          </cell>
          <cell r="B3109">
            <v>5103.3500000000004</v>
          </cell>
          <cell r="C3109">
            <v>4567.74</v>
          </cell>
          <cell r="D3109">
            <v>2604.4699999999998</v>
          </cell>
        </row>
        <row r="3110">
          <cell r="A3110">
            <v>43199</v>
          </cell>
          <cell r="B3110">
            <v>5121.8999999999996</v>
          </cell>
          <cell r="C3110">
            <v>4583.93</v>
          </cell>
          <cell r="D3110">
            <v>2613.16</v>
          </cell>
        </row>
        <row r="3111">
          <cell r="A3111">
            <v>43200</v>
          </cell>
          <cell r="B3111">
            <v>5207.7299999999996</v>
          </cell>
          <cell r="C3111">
            <v>4660.7</v>
          </cell>
          <cell r="D3111">
            <v>2656.87</v>
          </cell>
        </row>
        <row r="3112">
          <cell r="A3112">
            <v>43201</v>
          </cell>
          <cell r="B3112">
            <v>5179.1899999999996</v>
          </cell>
          <cell r="C3112">
            <v>4635.1000000000004</v>
          </cell>
          <cell r="D3112">
            <v>2642.19</v>
          </cell>
        </row>
        <row r="3113">
          <cell r="A3113">
            <v>43202</v>
          </cell>
          <cell r="B3113">
            <v>5222.55</v>
          </cell>
          <cell r="C3113">
            <v>4673.7299999999996</v>
          </cell>
          <cell r="D3113">
            <v>2663.99</v>
          </cell>
        </row>
        <row r="3114">
          <cell r="A3114">
            <v>43203</v>
          </cell>
          <cell r="B3114">
            <v>5207.57</v>
          </cell>
          <cell r="C3114">
            <v>4660.3</v>
          </cell>
          <cell r="D3114">
            <v>2656.3</v>
          </cell>
        </row>
        <row r="3115">
          <cell r="A3115">
            <v>43206</v>
          </cell>
          <cell r="B3115">
            <v>5249.94</v>
          </cell>
          <cell r="C3115">
            <v>4698.18</v>
          </cell>
          <cell r="D3115">
            <v>2677.84</v>
          </cell>
        </row>
        <row r="3116">
          <cell r="A3116">
            <v>43207</v>
          </cell>
          <cell r="B3116">
            <v>5305.9</v>
          </cell>
          <cell r="C3116">
            <v>4748.26</v>
          </cell>
          <cell r="D3116">
            <v>2706.39</v>
          </cell>
        </row>
        <row r="3117">
          <cell r="A3117">
            <v>43208</v>
          </cell>
          <cell r="B3117">
            <v>5310.32</v>
          </cell>
          <cell r="C3117">
            <v>4752.22</v>
          </cell>
          <cell r="D3117">
            <v>2708.64</v>
          </cell>
        </row>
        <row r="3118">
          <cell r="A3118">
            <v>43209</v>
          </cell>
          <cell r="B3118">
            <v>5280.57</v>
          </cell>
          <cell r="C3118">
            <v>4725.41</v>
          </cell>
          <cell r="D3118">
            <v>2693.13</v>
          </cell>
        </row>
        <row r="3119">
          <cell r="A3119">
            <v>43210</v>
          </cell>
          <cell r="B3119">
            <v>5235.75</v>
          </cell>
          <cell r="C3119">
            <v>4685.24</v>
          </cell>
          <cell r="D3119">
            <v>2670.14</v>
          </cell>
        </row>
        <row r="3120">
          <cell r="A3120">
            <v>43213</v>
          </cell>
          <cell r="B3120">
            <v>5236.04</v>
          </cell>
          <cell r="C3120">
            <v>4685.5</v>
          </cell>
          <cell r="D3120">
            <v>2670.29</v>
          </cell>
        </row>
        <row r="3121">
          <cell r="A3121">
            <v>43214</v>
          </cell>
          <cell r="B3121">
            <v>5166.1000000000004</v>
          </cell>
          <cell r="C3121">
            <v>4622.88</v>
          </cell>
          <cell r="D3121">
            <v>2634.56</v>
          </cell>
        </row>
        <row r="3122">
          <cell r="A3122">
            <v>43215</v>
          </cell>
          <cell r="B3122">
            <v>5175.59</v>
          </cell>
          <cell r="C3122">
            <v>4631.37</v>
          </cell>
          <cell r="D3122">
            <v>2639.4</v>
          </cell>
        </row>
        <row r="3123">
          <cell r="A3123">
            <v>43216</v>
          </cell>
          <cell r="B3123">
            <v>5229.6099999999997</v>
          </cell>
          <cell r="C3123">
            <v>4679.71</v>
          </cell>
          <cell r="D3123">
            <v>2666.94</v>
          </cell>
        </row>
        <row r="3124">
          <cell r="A3124">
            <v>43217</v>
          </cell>
          <cell r="B3124">
            <v>5235.7299999999996</v>
          </cell>
          <cell r="C3124">
            <v>4685.1099999999997</v>
          </cell>
          <cell r="D3124">
            <v>2669.91</v>
          </cell>
        </row>
        <row r="3125">
          <cell r="A3125">
            <v>43220</v>
          </cell>
          <cell r="B3125">
            <v>5193.04</v>
          </cell>
          <cell r="C3125">
            <v>4646.8599999999997</v>
          </cell>
          <cell r="D3125">
            <v>2648.05</v>
          </cell>
        </row>
        <row r="3126">
          <cell r="A3126">
            <v>43221</v>
          </cell>
          <cell r="B3126">
            <v>5206.3100000000004</v>
          </cell>
          <cell r="C3126">
            <v>4658.72</v>
          </cell>
          <cell r="D3126">
            <v>2654.8</v>
          </cell>
        </row>
        <row r="3127">
          <cell r="A3127">
            <v>43222</v>
          </cell>
          <cell r="B3127">
            <v>5168.79</v>
          </cell>
          <cell r="C3127">
            <v>4625.1499999999996</v>
          </cell>
          <cell r="D3127">
            <v>2635.67</v>
          </cell>
        </row>
        <row r="3128">
          <cell r="A3128">
            <v>43223</v>
          </cell>
          <cell r="B3128">
            <v>5157.7</v>
          </cell>
          <cell r="C3128">
            <v>4615.07</v>
          </cell>
          <cell r="D3128">
            <v>2629.73</v>
          </cell>
        </row>
        <row r="3129">
          <cell r="A3129">
            <v>43224</v>
          </cell>
          <cell r="B3129">
            <v>5224.71</v>
          </cell>
          <cell r="C3129">
            <v>4674.79</v>
          </cell>
          <cell r="D3129">
            <v>2663.42</v>
          </cell>
        </row>
        <row r="3130">
          <cell r="A3130">
            <v>43227</v>
          </cell>
          <cell r="B3130">
            <v>5242.87</v>
          </cell>
          <cell r="C3130">
            <v>4691.01</v>
          </cell>
          <cell r="D3130">
            <v>2672.63</v>
          </cell>
        </row>
        <row r="3131">
          <cell r="A3131">
            <v>43228</v>
          </cell>
          <cell r="B3131">
            <v>5241.53</v>
          </cell>
          <cell r="C3131">
            <v>4689.8</v>
          </cell>
          <cell r="D3131">
            <v>2671.92</v>
          </cell>
        </row>
        <row r="3132">
          <cell r="A3132">
            <v>43229</v>
          </cell>
          <cell r="B3132">
            <v>5292.9</v>
          </cell>
          <cell r="C3132">
            <v>4735.59</v>
          </cell>
          <cell r="D3132">
            <v>2697.79</v>
          </cell>
        </row>
        <row r="3133">
          <cell r="A3133">
            <v>43230</v>
          </cell>
          <cell r="B3133">
            <v>5343.7</v>
          </cell>
          <cell r="C3133">
            <v>4780.7299999999996</v>
          </cell>
          <cell r="D3133">
            <v>2723.07</v>
          </cell>
        </row>
        <row r="3134">
          <cell r="A3134">
            <v>43231</v>
          </cell>
          <cell r="B3134">
            <v>5354.69</v>
          </cell>
          <cell r="C3134">
            <v>4790.05</v>
          </cell>
          <cell r="D3134">
            <v>2727.72</v>
          </cell>
        </row>
        <row r="3135">
          <cell r="A3135">
            <v>43234</v>
          </cell>
          <cell r="B3135">
            <v>5359.66</v>
          </cell>
          <cell r="C3135">
            <v>4794.4399999999996</v>
          </cell>
          <cell r="D3135">
            <v>2730.13</v>
          </cell>
        </row>
        <row r="3136">
          <cell r="A3136">
            <v>43235</v>
          </cell>
          <cell r="B3136">
            <v>5323.23</v>
          </cell>
          <cell r="C3136">
            <v>4761.78</v>
          </cell>
          <cell r="D3136">
            <v>2711.45</v>
          </cell>
        </row>
        <row r="3137">
          <cell r="A3137">
            <v>43236</v>
          </cell>
          <cell r="B3137">
            <v>5346.33</v>
          </cell>
          <cell r="C3137">
            <v>4782.05</v>
          </cell>
          <cell r="D3137">
            <v>2722.46</v>
          </cell>
        </row>
        <row r="3138">
          <cell r="A3138">
            <v>43237</v>
          </cell>
          <cell r="B3138">
            <v>5343.29</v>
          </cell>
          <cell r="C3138">
            <v>4778.92</v>
          </cell>
          <cell r="D3138">
            <v>2720.13</v>
          </cell>
        </row>
        <row r="3139">
          <cell r="A3139">
            <v>43238</v>
          </cell>
          <cell r="B3139">
            <v>5329.66</v>
          </cell>
          <cell r="C3139">
            <v>4766.62</v>
          </cell>
          <cell r="D3139">
            <v>2712.97</v>
          </cell>
        </row>
        <row r="3140">
          <cell r="A3140">
            <v>43241</v>
          </cell>
          <cell r="B3140">
            <v>5369.19</v>
          </cell>
          <cell r="C3140">
            <v>4801.92</v>
          </cell>
          <cell r="D3140">
            <v>2733.01</v>
          </cell>
        </row>
        <row r="3141">
          <cell r="A3141">
            <v>43242</v>
          </cell>
          <cell r="B3141">
            <v>5352.45</v>
          </cell>
          <cell r="C3141">
            <v>4786.93</v>
          </cell>
          <cell r="D3141">
            <v>2724.44</v>
          </cell>
        </row>
        <row r="3142">
          <cell r="A3142">
            <v>43243</v>
          </cell>
          <cell r="B3142">
            <v>5369.99</v>
          </cell>
          <cell r="C3142">
            <v>4802.57</v>
          </cell>
          <cell r="D3142">
            <v>2733.29</v>
          </cell>
        </row>
        <row r="3143">
          <cell r="A3143">
            <v>43244</v>
          </cell>
          <cell r="B3143">
            <v>5359.32</v>
          </cell>
          <cell r="C3143">
            <v>4792.9799999999996</v>
          </cell>
          <cell r="D3143">
            <v>2727.76</v>
          </cell>
        </row>
        <row r="3144">
          <cell r="A3144">
            <v>43245</v>
          </cell>
          <cell r="B3144">
            <v>5347.31</v>
          </cell>
          <cell r="C3144">
            <v>4782.07</v>
          </cell>
          <cell r="D3144">
            <v>2721.33</v>
          </cell>
        </row>
        <row r="3145">
          <cell r="A3145">
            <v>43249</v>
          </cell>
          <cell r="B3145">
            <v>5285.7</v>
          </cell>
          <cell r="C3145">
            <v>4726.91</v>
          </cell>
          <cell r="D3145">
            <v>2689.86</v>
          </cell>
        </row>
        <row r="3146">
          <cell r="A3146">
            <v>43250</v>
          </cell>
          <cell r="B3146">
            <v>5353.76</v>
          </cell>
          <cell r="C3146">
            <v>4787.5200000000004</v>
          </cell>
          <cell r="D3146">
            <v>2724.01</v>
          </cell>
        </row>
        <row r="3147">
          <cell r="A3147">
            <v>43251</v>
          </cell>
          <cell r="B3147">
            <v>5318.1</v>
          </cell>
          <cell r="C3147">
            <v>4755.32</v>
          </cell>
          <cell r="D3147">
            <v>2705.27</v>
          </cell>
        </row>
        <row r="3148">
          <cell r="A3148">
            <v>43252</v>
          </cell>
          <cell r="B3148">
            <v>5376.29</v>
          </cell>
          <cell r="C3148">
            <v>4807.21</v>
          </cell>
          <cell r="D3148">
            <v>2734.62</v>
          </cell>
        </row>
        <row r="3149">
          <cell r="A3149">
            <v>43255</v>
          </cell>
          <cell r="B3149">
            <v>5400.5</v>
          </cell>
          <cell r="C3149">
            <v>4828.83</v>
          </cell>
          <cell r="D3149">
            <v>2746.87</v>
          </cell>
        </row>
        <row r="3150">
          <cell r="A3150">
            <v>43256</v>
          </cell>
          <cell r="B3150">
            <v>5404.62</v>
          </cell>
          <cell r="C3150">
            <v>4832.42</v>
          </cell>
          <cell r="D3150">
            <v>2748.8</v>
          </cell>
        </row>
        <row r="3151">
          <cell r="A3151">
            <v>43257</v>
          </cell>
          <cell r="B3151">
            <v>5451.09</v>
          </cell>
          <cell r="C3151">
            <v>4873.93</v>
          </cell>
          <cell r="D3151">
            <v>2772.35</v>
          </cell>
        </row>
        <row r="3152">
          <cell r="A3152">
            <v>43258</v>
          </cell>
          <cell r="B3152">
            <v>5448.18</v>
          </cell>
          <cell r="C3152">
            <v>4871.0600000000004</v>
          </cell>
          <cell r="D3152">
            <v>2770.37</v>
          </cell>
        </row>
        <row r="3153">
          <cell r="A3153">
            <v>43259</v>
          </cell>
          <cell r="B3153">
            <v>5465.42</v>
          </cell>
          <cell r="C3153">
            <v>4886.42</v>
          </cell>
          <cell r="D3153">
            <v>2779.03</v>
          </cell>
        </row>
        <row r="3154">
          <cell r="A3154">
            <v>43262</v>
          </cell>
          <cell r="B3154">
            <v>5471.29</v>
          </cell>
          <cell r="C3154">
            <v>4891.67</v>
          </cell>
          <cell r="D3154">
            <v>2782</v>
          </cell>
        </row>
        <row r="3155">
          <cell r="A3155">
            <v>43263</v>
          </cell>
          <cell r="B3155">
            <v>5481.07</v>
          </cell>
          <cell r="C3155">
            <v>4900.34</v>
          </cell>
          <cell r="D3155">
            <v>2786.85</v>
          </cell>
        </row>
        <row r="3156">
          <cell r="A3156">
            <v>43264</v>
          </cell>
          <cell r="B3156">
            <v>5459.21</v>
          </cell>
          <cell r="C3156">
            <v>4880.74</v>
          </cell>
          <cell r="D3156">
            <v>2775.63</v>
          </cell>
        </row>
        <row r="3157">
          <cell r="A3157">
            <v>43265</v>
          </cell>
          <cell r="B3157">
            <v>5474.37</v>
          </cell>
          <cell r="C3157">
            <v>4893.8500000000004</v>
          </cell>
          <cell r="D3157">
            <v>2782.49</v>
          </cell>
        </row>
        <row r="3158">
          <cell r="A3158">
            <v>43266</v>
          </cell>
          <cell r="B3158">
            <v>5469.37</v>
          </cell>
          <cell r="C3158">
            <v>4889.2299999999996</v>
          </cell>
          <cell r="D3158">
            <v>2779.66</v>
          </cell>
        </row>
        <row r="3159">
          <cell r="A3159">
            <v>43269</v>
          </cell>
          <cell r="B3159">
            <v>5457.83</v>
          </cell>
          <cell r="C3159">
            <v>4878.88</v>
          </cell>
          <cell r="D3159">
            <v>2773.75</v>
          </cell>
        </row>
        <row r="3160">
          <cell r="A3160">
            <v>43270</v>
          </cell>
          <cell r="B3160">
            <v>5436.13</v>
          </cell>
          <cell r="C3160">
            <v>4859.42</v>
          </cell>
          <cell r="D3160">
            <v>2762.59</v>
          </cell>
        </row>
        <row r="3161">
          <cell r="A3161">
            <v>43271</v>
          </cell>
          <cell r="B3161">
            <v>5445.43</v>
          </cell>
          <cell r="C3161">
            <v>4867.7299999999996</v>
          </cell>
          <cell r="D3161">
            <v>2767.32</v>
          </cell>
        </row>
        <row r="3162">
          <cell r="A3162">
            <v>43272</v>
          </cell>
          <cell r="B3162">
            <v>5411.4</v>
          </cell>
          <cell r="C3162">
            <v>4837.17</v>
          </cell>
          <cell r="D3162">
            <v>2749.76</v>
          </cell>
        </row>
        <row r="3163">
          <cell r="A3163">
            <v>43273</v>
          </cell>
          <cell r="B3163">
            <v>5421.63</v>
          </cell>
          <cell r="C3163">
            <v>4846.2700000000004</v>
          </cell>
          <cell r="D3163">
            <v>2754.88</v>
          </cell>
        </row>
        <row r="3164">
          <cell r="A3164">
            <v>43276</v>
          </cell>
          <cell r="B3164">
            <v>5347.23</v>
          </cell>
          <cell r="C3164">
            <v>4779.7700000000004</v>
          </cell>
          <cell r="D3164">
            <v>2717.07</v>
          </cell>
        </row>
        <row r="3165">
          <cell r="A3165">
            <v>43277</v>
          </cell>
          <cell r="B3165">
            <v>5359.01</v>
          </cell>
          <cell r="C3165">
            <v>4790.3</v>
          </cell>
          <cell r="D3165">
            <v>2723.06</v>
          </cell>
        </row>
        <row r="3166">
          <cell r="A3166">
            <v>43278</v>
          </cell>
          <cell r="B3166">
            <v>5312.89</v>
          </cell>
          <cell r="C3166">
            <v>4749.08</v>
          </cell>
          <cell r="D3166">
            <v>2699.63</v>
          </cell>
        </row>
        <row r="3167">
          <cell r="A3167">
            <v>43279</v>
          </cell>
          <cell r="B3167">
            <v>5346.44</v>
          </cell>
          <cell r="C3167">
            <v>4778.87</v>
          </cell>
          <cell r="D3167">
            <v>2716.31</v>
          </cell>
        </row>
        <row r="3168">
          <cell r="A3168">
            <v>43280</v>
          </cell>
          <cell r="B3168">
            <v>5350.83</v>
          </cell>
          <cell r="C3168">
            <v>4782.71</v>
          </cell>
          <cell r="D3168">
            <v>2718.37</v>
          </cell>
        </row>
        <row r="3169">
          <cell r="A3169">
            <v>43283</v>
          </cell>
          <cell r="B3169">
            <v>5367.49</v>
          </cell>
          <cell r="C3169">
            <v>4797.54</v>
          </cell>
          <cell r="D3169">
            <v>2726.71</v>
          </cell>
        </row>
        <row r="3170">
          <cell r="A3170">
            <v>43284</v>
          </cell>
          <cell r="B3170">
            <v>5340.93</v>
          </cell>
          <cell r="C3170">
            <v>4773.8</v>
          </cell>
          <cell r="D3170">
            <v>2713.22</v>
          </cell>
        </row>
        <row r="3171">
          <cell r="A3171">
            <v>43286</v>
          </cell>
          <cell r="B3171">
            <v>5388.28</v>
          </cell>
          <cell r="C3171">
            <v>4815.7700000000004</v>
          </cell>
          <cell r="D3171">
            <v>2736.61</v>
          </cell>
        </row>
        <row r="3172">
          <cell r="A3172">
            <v>43287</v>
          </cell>
          <cell r="B3172">
            <v>5434.36</v>
          </cell>
          <cell r="C3172">
            <v>4856.8500000000004</v>
          </cell>
          <cell r="D3172">
            <v>2759.82</v>
          </cell>
        </row>
        <row r="3173">
          <cell r="A3173">
            <v>43290</v>
          </cell>
          <cell r="B3173">
            <v>5483.89</v>
          </cell>
          <cell r="C3173">
            <v>4900.6899999999996</v>
          </cell>
          <cell r="D3173">
            <v>2784.17</v>
          </cell>
        </row>
        <row r="3174">
          <cell r="A3174">
            <v>43291</v>
          </cell>
          <cell r="B3174">
            <v>5503.05</v>
          </cell>
          <cell r="C3174">
            <v>4917.78</v>
          </cell>
          <cell r="D3174">
            <v>2793.84</v>
          </cell>
        </row>
        <row r="3175">
          <cell r="A3175">
            <v>43292</v>
          </cell>
          <cell r="B3175">
            <v>5464.01</v>
          </cell>
          <cell r="C3175">
            <v>4882.8900000000003</v>
          </cell>
          <cell r="D3175">
            <v>2774.02</v>
          </cell>
        </row>
        <row r="3176">
          <cell r="A3176">
            <v>43293</v>
          </cell>
          <cell r="B3176">
            <v>5512.36</v>
          </cell>
          <cell r="C3176">
            <v>4925.95</v>
          </cell>
          <cell r="D3176">
            <v>2798.29</v>
          </cell>
        </row>
        <row r="3177">
          <cell r="A3177">
            <v>43294</v>
          </cell>
          <cell r="B3177">
            <v>5518.33</v>
          </cell>
          <cell r="C3177">
            <v>4931.29</v>
          </cell>
          <cell r="D3177">
            <v>2801.31</v>
          </cell>
        </row>
        <row r="3178">
          <cell r="A3178">
            <v>43297</v>
          </cell>
          <cell r="B3178">
            <v>5512.92</v>
          </cell>
          <cell r="C3178">
            <v>4926.38</v>
          </cell>
          <cell r="D3178">
            <v>2798.43</v>
          </cell>
        </row>
        <row r="3179">
          <cell r="A3179">
            <v>43298</v>
          </cell>
          <cell r="B3179">
            <v>5534.91</v>
          </cell>
          <cell r="C3179">
            <v>4946.01</v>
          </cell>
          <cell r="D3179">
            <v>2809.55</v>
          </cell>
        </row>
        <row r="3180">
          <cell r="A3180">
            <v>43299</v>
          </cell>
          <cell r="B3180">
            <v>5546.86</v>
          </cell>
          <cell r="C3180">
            <v>4956.6899999999996</v>
          </cell>
          <cell r="D3180">
            <v>2815.62</v>
          </cell>
        </row>
        <row r="3181">
          <cell r="A3181">
            <v>43300</v>
          </cell>
          <cell r="B3181">
            <v>5525.51</v>
          </cell>
          <cell r="C3181">
            <v>4937.46</v>
          </cell>
          <cell r="D3181">
            <v>2804.49</v>
          </cell>
        </row>
        <row r="3182">
          <cell r="A3182">
            <v>43301</v>
          </cell>
          <cell r="B3182">
            <v>5520.5</v>
          </cell>
          <cell r="C3182">
            <v>4932.92</v>
          </cell>
          <cell r="D3182">
            <v>2801.83</v>
          </cell>
        </row>
        <row r="3183">
          <cell r="A3183">
            <v>43304</v>
          </cell>
          <cell r="B3183">
            <v>5530.66</v>
          </cell>
          <cell r="C3183">
            <v>4941.99</v>
          </cell>
          <cell r="D3183">
            <v>2806.98</v>
          </cell>
        </row>
        <row r="3184">
          <cell r="A3184">
            <v>43305</v>
          </cell>
          <cell r="B3184">
            <v>5557.37</v>
          </cell>
          <cell r="C3184">
            <v>4965.79</v>
          </cell>
          <cell r="D3184">
            <v>2820.4</v>
          </cell>
        </row>
        <row r="3185">
          <cell r="A3185">
            <v>43306</v>
          </cell>
          <cell r="B3185">
            <v>5607.99</v>
          </cell>
          <cell r="C3185">
            <v>5011.01</v>
          </cell>
          <cell r="D3185">
            <v>2846.07</v>
          </cell>
        </row>
        <row r="3186">
          <cell r="A3186">
            <v>43307</v>
          </cell>
          <cell r="B3186">
            <v>5590.99</v>
          </cell>
          <cell r="C3186">
            <v>4995.82</v>
          </cell>
          <cell r="D3186">
            <v>2837.44</v>
          </cell>
        </row>
        <row r="3187">
          <cell r="A3187">
            <v>43308</v>
          </cell>
          <cell r="B3187">
            <v>5554.31</v>
          </cell>
          <cell r="C3187">
            <v>4963.04</v>
          </cell>
          <cell r="D3187">
            <v>2818.82</v>
          </cell>
        </row>
        <row r="3188">
          <cell r="A3188">
            <v>43311</v>
          </cell>
          <cell r="B3188">
            <v>5522.81</v>
          </cell>
          <cell r="C3188">
            <v>4934.7700000000004</v>
          </cell>
          <cell r="D3188">
            <v>2802.6</v>
          </cell>
        </row>
        <row r="3189">
          <cell r="A3189">
            <v>43312</v>
          </cell>
          <cell r="B3189">
            <v>5549.96</v>
          </cell>
          <cell r="C3189">
            <v>4958.9799999999996</v>
          </cell>
          <cell r="D3189">
            <v>2816.29</v>
          </cell>
        </row>
        <row r="3190">
          <cell r="A3190">
            <v>43313</v>
          </cell>
          <cell r="B3190">
            <v>5544.19</v>
          </cell>
          <cell r="C3190">
            <v>4953.83</v>
          </cell>
          <cell r="D3190">
            <v>2813.36</v>
          </cell>
        </row>
        <row r="3191">
          <cell r="A3191">
            <v>43314</v>
          </cell>
          <cell r="B3191">
            <v>5572.08</v>
          </cell>
          <cell r="C3191">
            <v>4978.59</v>
          </cell>
          <cell r="D3191">
            <v>2827.22</v>
          </cell>
        </row>
        <row r="3192">
          <cell r="A3192">
            <v>43315</v>
          </cell>
          <cell r="B3192">
            <v>5598.71</v>
          </cell>
          <cell r="C3192">
            <v>5002.1899999999996</v>
          </cell>
          <cell r="D3192">
            <v>2840.35</v>
          </cell>
        </row>
        <row r="3193">
          <cell r="A3193">
            <v>43318</v>
          </cell>
          <cell r="B3193">
            <v>5619.05</v>
          </cell>
          <cell r="C3193">
            <v>5020.21</v>
          </cell>
          <cell r="D3193">
            <v>2850.4</v>
          </cell>
        </row>
        <row r="3194">
          <cell r="A3194">
            <v>43319</v>
          </cell>
          <cell r="B3194">
            <v>5634.98</v>
          </cell>
          <cell r="C3194">
            <v>5034.43</v>
          </cell>
          <cell r="D3194">
            <v>2858.45</v>
          </cell>
        </row>
        <row r="3195">
          <cell r="A3195">
            <v>43320</v>
          </cell>
          <cell r="B3195">
            <v>5633.67</v>
          </cell>
          <cell r="C3195">
            <v>5033.22</v>
          </cell>
          <cell r="D3195">
            <v>2857.7</v>
          </cell>
        </row>
        <row r="3196">
          <cell r="A3196">
            <v>43321</v>
          </cell>
          <cell r="B3196">
            <v>5627</v>
          </cell>
          <cell r="C3196">
            <v>5026.87</v>
          </cell>
          <cell r="D3196">
            <v>2853.58</v>
          </cell>
        </row>
        <row r="3197">
          <cell r="A3197">
            <v>43322</v>
          </cell>
          <cell r="B3197">
            <v>5588.66</v>
          </cell>
          <cell r="C3197">
            <v>4992.16</v>
          </cell>
          <cell r="D3197">
            <v>2833.28</v>
          </cell>
        </row>
        <row r="3198">
          <cell r="A3198">
            <v>43325</v>
          </cell>
          <cell r="B3198">
            <v>5566.36</v>
          </cell>
          <cell r="C3198">
            <v>4972.22</v>
          </cell>
          <cell r="D3198">
            <v>2821.93</v>
          </cell>
        </row>
        <row r="3199">
          <cell r="A3199">
            <v>43326</v>
          </cell>
          <cell r="B3199">
            <v>5602.41</v>
          </cell>
          <cell r="C3199">
            <v>5004.29</v>
          </cell>
          <cell r="D3199">
            <v>2839.96</v>
          </cell>
        </row>
        <row r="3200">
          <cell r="A3200">
            <v>43327</v>
          </cell>
          <cell r="B3200">
            <v>5560.85</v>
          </cell>
          <cell r="C3200">
            <v>4966.8999999999996</v>
          </cell>
          <cell r="D3200">
            <v>2818.37</v>
          </cell>
        </row>
        <row r="3201">
          <cell r="A3201">
            <v>43328</v>
          </cell>
          <cell r="B3201">
            <v>5606.56</v>
          </cell>
          <cell r="C3201">
            <v>5007.2700000000004</v>
          </cell>
          <cell r="D3201">
            <v>2840.69</v>
          </cell>
        </row>
        <row r="3202">
          <cell r="A3202">
            <v>43329</v>
          </cell>
          <cell r="B3202">
            <v>5625.66</v>
          </cell>
          <cell r="C3202">
            <v>5024.2</v>
          </cell>
          <cell r="D3202">
            <v>2850.13</v>
          </cell>
        </row>
        <row r="3203">
          <cell r="A3203">
            <v>43332</v>
          </cell>
          <cell r="B3203">
            <v>5639.53</v>
          </cell>
          <cell r="C3203">
            <v>5036.54</v>
          </cell>
          <cell r="D3203">
            <v>2857.05</v>
          </cell>
        </row>
        <row r="3204">
          <cell r="A3204">
            <v>43333</v>
          </cell>
          <cell r="B3204">
            <v>5651.39</v>
          </cell>
          <cell r="C3204">
            <v>5047.08</v>
          </cell>
          <cell r="D3204">
            <v>2862.96</v>
          </cell>
        </row>
        <row r="3205">
          <cell r="A3205">
            <v>43334</v>
          </cell>
          <cell r="B3205">
            <v>5649.31</v>
          </cell>
          <cell r="C3205">
            <v>5045.17</v>
          </cell>
          <cell r="D3205">
            <v>2861.82</v>
          </cell>
        </row>
        <row r="3206">
          <cell r="A3206">
            <v>43335</v>
          </cell>
          <cell r="B3206">
            <v>5640.1</v>
          </cell>
          <cell r="C3206">
            <v>5036.8500000000004</v>
          </cell>
          <cell r="D3206">
            <v>2856.98</v>
          </cell>
        </row>
        <row r="3207">
          <cell r="A3207">
            <v>43336</v>
          </cell>
          <cell r="B3207">
            <v>5675.12</v>
          </cell>
          <cell r="C3207">
            <v>5068.1099999999997</v>
          </cell>
          <cell r="D3207">
            <v>2874.69</v>
          </cell>
        </row>
        <row r="3208">
          <cell r="A3208">
            <v>43339</v>
          </cell>
          <cell r="B3208">
            <v>5719.3</v>
          </cell>
          <cell r="C3208">
            <v>5107.3900000000003</v>
          </cell>
          <cell r="D3208">
            <v>2896.74</v>
          </cell>
        </row>
        <row r="3209">
          <cell r="A3209">
            <v>43340</v>
          </cell>
          <cell r="B3209">
            <v>5720.89</v>
          </cell>
          <cell r="C3209">
            <v>5108.8</v>
          </cell>
          <cell r="D3209">
            <v>2897.52</v>
          </cell>
        </row>
        <row r="3210">
          <cell r="A3210">
            <v>43341</v>
          </cell>
          <cell r="B3210">
            <v>5754</v>
          </cell>
          <cell r="C3210">
            <v>5138.24</v>
          </cell>
          <cell r="D3210">
            <v>2914.04</v>
          </cell>
        </row>
        <row r="3211">
          <cell r="A3211">
            <v>43342</v>
          </cell>
          <cell r="B3211">
            <v>5729.45</v>
          </cell>
          <cell r="C3211">
            <v>5116.0600000000004</v>
          </cell>
          <cell r="D3211">
            <v>2901.13</v>
          </cell>
        </row>
        <row r="3212">
          <cell r="A3212">
            <v>43343</v>
          </cell>
          <cell r="B3212">
            <v>5730.8</v>
          </cell>
          <cell r="C3212">
            <v>5117.1099999999997</v>
          </cell>
          <cell r="D3212">
            <v>2901.52</v>
          </cell>
        </row>
        <row r="3213">
          <cell r="A3213">
            <v>43347</v>
          </cell>
          <cell r="B3213">
            <v>5721.86</v>
          </cell>
          <cell r="C3213">
            <v>5108.9799999999996</v>
          </cell>
          <cell r="D3213">
            <v>2896.72</v>
          </cell>
        </row>
        <row r="3214">
          <cell r="A3214">
            <v>43348</v>
          </cell>
          <cell r="B3214">
            <v>5705.86</v>
          </cell>
          <cell r="C3214">
            <v>5094.6899999999996</v>
          </cell>
          <cell r="D3214">
            <v>2888.6</v>
          </cell>
        </row>
        <row r="3215">
          <cell r="A3215">
            <v>43349</v>
          </cell>
          <cell r="B3215">
            <v>5686.7</v>
          </cell>
          <cell r="C3215">
            <v>5077.13</v>
          </cell>
          <cell r="D3215">
            <v>2878.05</v>
          </cell>
        </row>
        <row r="3216">
          <cell r="A3216">
            <v>43350</v>
          </cell>
          <cell r="B3216">
            <v>5674.58</v>
          </cell>
          <cell r="C3216">
            <v>5066.1899999999996</v>
          </cell>
          <cell r="D3216">
            <v>2871.68</v>
          </cell>
        </row>
        <row r="3217">
          <cell r="A3217">
            <v>43353</v>
          </cell>
          <cell r="B3217">
            <v>5685.34</v>
          </cell>
          <cell r="C3217">
            <v>5075.79</v>
          </cell>
          <cell r="D3217">
            <v>2877.13</v>
          </cell>
        </row>
        <row r="3218">
          <cell r="A3218">
            <v>43354</v>
          </cell>
          <cell r="B3218">
            <v>5706.99</v>
          </cell>
          <cell r="C3218">
            <v>5095.0200000000004</v>
          </cell>
          <cell r="D3218">
            <v>2887.89</v>
          </cell>
        </row>
        <row r="3219">
          <cell r="A3219">
            <v>43355</v>
          </cell>
          <cell r="B3219">
            <v>5709.08</v>
          </cell>
          <cell r="C3219">
            <v>5096.87</v>
          </cell>
          <cell r="D3219">
            <v>2888.92</v>
          </cell>
        </row>
        <row r="3220">
          <cell r="A3220">
            <v>43356</v>
          </cell>
          <cell r="B3220">
            <v>5740.75</v>
          </cell>
          <cell r="C3220">
            <v>5124.74</v>
          </cell>
          <cell r="D3220">
            <v>2904.18</v>
          </cell>
        </row>
        <row r="3221">
          <cell r="A3221">
            <v>43357</v>
          </cell>
          <cell r="B3221">
            <v>5743.19</v>
          </cell>
          <cell r="C3221">
            <v>5126.68</v>
          </cell>
          <cell r="D3221">
            <v>2904.98</v>
          </cell>
        </row>
        <row r="3222">
          <cell r="A3222">
            <v>43360</v>
          </cell>
          <cell r="B3222">
            <v>5711.29</v>
          </cell>
          <cell r="C3222">
            <v>5098.1899999999996</v>
          </cell>
          <cell r="D3222">
            <v>2888.8</v>
          </cell>
        </row>
        <row r="3223">
          <cell r="A3223">
            <v>43361</v>
          </cell>
          <cell r="B3223">
            <v>5742.18</v>
          </cell>
          <cell r="C3223">
            <v>5125.7</v>
          </cell>
          <cell r="D3223">
            <v>2904.31</v>
          </cell>
        </row>
        <row r="3224">
          <cell r="A3224">
            <v>43362</v>
          </cell>
          <cell r="B3224">
            <v>5749.39</v>
          </cell>
          <cell r="C3224">
            <v>5132.13</v>
          </cell>
          <cell r="D3224">
            <v>2907.95</v>
          </cell>
        </row>
        <row r="3225">
          <cell r="A3225">
            <v>43363</v>
          </cell>
          <cell r="B3225">
            <v>5794.72</v>
          </cell>
          <cell r="C3225">
            <v>5172.53</v>
          </cell>
          <cell r="D3225">
            <v>2930.75</v>
          </cell>
        </row>
        <row r="3226">
          <cell r="A3226">
            <v>43364</v>
          </cell>
          <cell r="B3226">
            <v>5792.72</v>
          </cell>
          <cell r="C3226">
            <v>5170.7</v>
          </cell>
          <cell r="D3226">
            <v>2929.67</v>
          </cell>
        </row>
        <row r="3227">
          <cell r="A3227">
            <v>43367</v>
          </cell>
          <cell r="B3227">
            <v>5772.36</v>
          </cell>
          <cell r="C3227">
            <v>5152.54</v>
          </cell>
          <cell r="D3227">
            <v>2919.37</v>
          </cell>
        </row>
        <row r="3228">
          <cell r="A3228">
            <v>43368</v>
          </cell>
          <cell r="B3228">
            <v>5765.25</v>
          </cell>
          <cell r="C3228">
            <v>5146.07</v>
          </cell>
          <cell r="D3228">
            <v>2915.56</v>
          </cell>
        </row>
        <row r="3229">
          <cell r="A3229">
            <v>43369</v>
          </cell>
          <cell r="B3229">
            <v>5746.27</v>
          </cell>
          <cell r="C3229">
            <v>5129.13</v>
          </cell>
          <cell r="D3229">
            <v>2905.97</v>
          </cell>
        </row>
        <row r="3230">
          <cell r="A3230">
            <v>43370</v>
          </cell>
          <cell r="B3230">
            <v>5763.22</v>
          </cell>
          <cell r="C3230">
            <v>5143.9799999999996</v>
          </cell>
          <cell r="D3230">
            <v>2914</v>
          </cell>
        </row>
        <row r="3231">
          <cell r="A3231">
            <v>43371</v>
          </cell>
          <cell r="B3231">
            <v>5763.42</v>
          </cell>
          <cell r="C3231">
            <v>5144.09</v>
          </cell>
          <cell r="D3231">
            <v>2913.98</v>
          </cell>
        </row>
        <row r="3232">
          <cell r="A3232">
            <v>43374</v>
          </cell>
          <cell r="B3232">
            <v>5784.45</v>
          </cell>
          <cell r="C3232">
            <v>5162.8500000000004</v>
          </cell>
          <cell r="D3232">
            <v>2924.59</v>
          </cell>
        </row>
        <row r="3233">
          <cell r="A3233">
            <v>43375</v>
          </cell>
          <cell r="B3233">
            <v>5782.37</v>
          </cell>
          <cell r="C3233">
            <v>5160.9399999999996</v>
          </cell>
          <cell r="D3233">
            <v>2923.43</v>
          </cell>
        </row>
        <row r="3234">
          <cell r="A3234">
            <v>43376</v>
          </cell>
          <cell r="B3234">
            <v>5786.48</v>
          </cell>
          <cell r="C3234">
            <v>5164.6099999999997</v>
          </cell>
          <cell r="D3234">
            <v>2925.51</v>
          </cell>
        </row>
        <row r="3235">
          <cell r="A3235">
            <v>43377</v>
          </cell>
          <cell r="B3235">
            <v>5740.56</v>
          </cell>
          <cell r="C3235">
            <v>5123.26</v>
          </cell>
          <cell r="D3235">
            <v>2901.61</v>
          </cell>
        </row>
        <row r="3236">
          <cell r="A3236">
            <v>43378</v>
          </cell>
          <cell r="B3236">
            <v>5708.9</v>
          </cell>
          <cell r="C3236">
            <v>5094.9799999999996</v>
          </cell>
          <cell r="D3236">
            <v>2885.57</v>
          </cell>
        </row>
        <row r="3237">
          <cell r="A3237">
            <v>43381</v>
          </cell>
          <cell r="B3237">
            <v>5706.66</v>
          </cell>
          <cell r="C3237">
            <v>5092.9799999999996</v>
          </cell>
          <cell r="D3237">
            <v>2884.43</v>
          </cell>
        </row>
        <row r="3238">
          <cell r="A3238">
            <v>43382</v>
          </cell>
          <cell r="B3238">
            <v>5700.23</v>
          </cell>
          <cell r="C3238">
            <v>5086.8</v>
          </cell>
          <cell r="D3238">
            <v>2880.34</v>
          </cell>
        </row>
        <row r="3239">
          <cell r="A3239">
            <v>43383</v>
          </cell>
          <cell r="B3239">
            <v>5512.94</v>
          </cell>
          <cell r="C3239">
            <v>4919.6499999999996</v>
          </cell>
          <cell r="D3239">
            <v>2785.68</v>
          </cell>
        </row>
        <row r="3240">
          <cell r="A3240">
            <v>43384</v>
          </cell>
          <cell r="B3240">
            <v>5399.54</v>
          </cell>
          <cell r="C3240">
            <v>4818.45</v>
          </cell>
          <cell r="D3240">
            <v>2728.37</v>
          </cell>
        </row>
        <row r="3241">
          <cell r="A3241">
            <v>43385</v>
          </cell>
          <cell r="B3241">
            <v>5476.83</v>
          </cell>
          <cell r="C3241">
            <v>4887.26</v>
          </cell>
          <cell r="D3241">
            <v>2767.13</v>
          </cell>
        </row>
        <row r="3242">
          <cell r="A3242">
            <v>43388</v>
          </cell>
          <cell r="B3242">
            <v>5444.61</v>
          </cell>
          <cell r="C3242">
            <v>4858.4799999999996</v>
          </cell>
          <cell r="D3242">
            <v>2750.79</v>
          </cell>
        </row>
        <row r="3243">
          <cell r="A3243">
            <v>43389</v>
          </cell>
          <cell r="B3243">
            <v>5561.8</v>
          </cell>
          <cell r="C3243">
            <v>4963.01</v>
          </cell>
          <cell r="D3243">
            <v>2809.92</v>
          </cell>
        </row>
        <row r="3244">
          <cell r="A3244">
            <v>43390</v>
          </cell>
          <cell r="B3244">
            <v>5560.62</v>
          </cell>
          <cell r="C3244">
            <v>4961.8999999999996</v>
          </cell>
          <cell r="D3244">
            <v>2809.21</v>
          </cell>
        </row>
        <row r="3245">
          <cell r="A3245">
            <v>43391</v>
          </cell>
          <cell r="B3245">
            <v>5481.13</v>
          </cell>
          <cell r="C3245">
            <v>4890.83</v>
          </cell>
          <cell r="D3245">
            <v>2768.78</v>
          </cell>
        </row>
        <row r="3246">
          <cell r="A3246">
            <v>43392</v>
          </cell>
          <cell r="B3246">
            <v>5479.3</v>
          </cell>
          <cell r="C3246">
            <v>4889.1499999999996</v>
          </cell>
          <cell r="D3246">
            <v>2767.78</v>
          </cell>
        </row>
        <row r="3247">
          <cell r="A3247">
            <v>43395</v>
          </cell>
          <cell r="B3247">
            <v>5455.88</v>
          </cell>
          <cell r="C3247">
            <v>4868.22</v>
          </cell>
          <cell r="D3247">
            <v>2755.88</v>
          </cell>
        </row>
        <row r="3248">
          <cell r="A3248">
            <v>43396</v>
          </cell>
          <cell r="B3248">
            <v>5426.08</v>
          </cell>
          <cell r="C3248">
            <v>4841.5600000000004</v>
          </cell>
          <cell r="D3248">
            <v>2740.69</v>
          </cell>
        </row>
        <row r="3249">
          <cell r="A3249">
            <v>43397</v>
          </cell>
          <cell r="B3249">
            <v>5258.61</v>
          </cell>
          <cell r="C3249">
            <v>4692.13</v>
          </cell>
          <cell r="D3249">
            <v>2656.1</v>
          </cell>
        </row>
        <row r="3250">
          <cell r="A3250">
            <v>43398</v>
          </cell>
          <cell r="B3250">
            <v>5356.54</v>
          </cell>
          <cell r="C3250">
            <v>4779.51</v>
          </cell>
          <cell r="D3250">
            <v>2705.57</v>
          </cell>
        </row>
        <row r="3251">
          <cell r="A3251">
            <v>43399</v>
          </cell>
          <cell r="B3251">
            <v>5263.74</v>
          </cell>
          <cell r="C3251">
            <v>4696.7</v>
          </cell>
          <cell r="D3251">
            <v>2658.69</v>
          </cell>
        </row>
        <row r="3252">
          <cell r="A3252">
            <v>43402</v>
          </cell>
          <cell r="B3252">
            <v>5229.28</v>
          </cell>
          <cell r="C3252">
            <v>4665.93</v>
          </cell>
          <cell r="D3252">
            <v>2641.25</v>
          </cell>
        </row>
        <row r="3253">
          <cell r="A3253">
            <v>43403</v>
          </cell>
          <cell r="B3253">
            <v>5311.67</v>
          </cell>
          <cell r="C3253">
            <v>4739.33</v>
          </cell>
          <cell r="D3253">
            <v>2682.63</v>
          </cell>
        </row>
        <row r="3254">
          <cell r="A3254">
            <v>43404</v>
          </cell>
          <cell r="B3254">
            <v>5369.49</v>
          </cell>
          <cell r="C3254">
            <v>4790.87</v>
          </cell>
          <cell r="D3254">
            <v>2711.74</v>
          </cell>
        </row>
        <row r="3255">
          <cell r="A3255">
            <v>43405</v>
          </cell>
          <cell r="B3255">
            <v>5426.33</v>
          </cell>
          <cell r="C3255">
            <v>4841.54</v>
          </cell>
          <cell r="D3255">
            <v>2740.37</v>
          </cell>
        </row>
        <row r="3256">
          <cell r="A3256">
            <v>43406</v>
          </cell>
          <cell r="B3256">
            <v>5392.53</v>
          </cell>
          <cell r="C3256">
            <v>4811.26</v>
          </cell>
          <cell r="D3256">
            <v>2723.06</v>
          </cell>
        </row>
        <row r="3257">
          <cell r="A3257">
            <v>43409</v>
          </cell>
          <cell r="B3257">
            <v>5422.88</v>
          </cell>
          <cell r="C3257">
            <v>4838.3</v>
          </cell>
          <cell r="D3257">
            <v>2738.31</v>
          </cell>
        </row>
        <row r="3258">
          <cell r="A3258">
            <v>43410</v>
          </cell>
          <cell r="B3258">
            <v>5457.25</v>
          </cell>
          <cell r="C3258">
            <v>4868.8500000000004</v>
          </cell>
          <cell r="D3258">
            <v>2755.45</v>
          </cell>
        </row>
        <row r="3259">
          <cell r="A3259">
            <v>43411</v>
          </cell>
          <cell r="B3259">
            <v>5573.06</v>
          </cell>
          <cell r="C3259">
            <v>4972.1499999999996</v>
          </cell>
          <cell r="D3259">
            <v>2813.89</v>
          </cell>
        </row>
        <row r="3260">
          <cell r="A3260">
            <v>43412</v>
          </cell>
          <cell r="B3260">
            <v>5562</v>
          </cell>
          <cell r="C3260">
            <v>4961.5</v>
          </cell>
          <cell r="D3260">
            <v>2806.83</v>
          </cell>
        </row>
        <row r="3261">
          <cell r="A3261">
            <v>43413</v>
          </cell>
          <cell r="B3261">
            <v>5511.79</v>
          </cell>
          <cell r="C3261">
            <v>4916.45</v>
          </cell>
          <cell r="D3261">
            <v>2781.01</v>
          </cell>
        </row>
        <row r="3262">
          <cell r="A3262">
            <v>43416</v>
          </cell>
          <cell r="B3262">
            <v>5403.19</v>
          </cell>
          <cell r="C3262">
            <v>4819.59</v>
          </cell>
          <cell r="D3262">
            <v>2726.22</v>
          </cell>
        </row>
        <row r="3263">
          <cell r="A3263">
            <v>43417</v>
          </cell>
          <cell r="B3263">
            <v>5395.37</v>
          </cell>
          <cell r="C3263">
            <v>4812.57</v>
          </cell>
          <cell r="D3263">
            <v>2722.18</v>
          </cell>
        </row>
        <row r="3264">
          <cell r="A3264">
            <v>43418</v>
          </cell>
          <cell r="B3264">
            <v>5355.94</v>
          </cell>
          <cell r="C3264">
            <v>4777.0200000000004</v>
          </cell>
          <cell r="D3264">
            <v>2701.58</v>
          </cell>
        </row>
        <row r="3265">
          <cell r="A3265">
            <v>43419</v>
          </cell>
          <cell r="B3265">
            <v>5414.43</v>
          </cell>
          <cell r="C3265">
            <v>4828.72</v>
          </cell>
          <cell r="D3265">
            <v>2730.2</v>
          </cell>
        </row>
        <row r="3266">
          <cell r="A3266">
            <v>43420</v>
          </cell>
          <cell r="B3266">
            <v>5426.86</v>
          </cell>
          <cell r="C3266">
            <v>4839.7</v>
          </cell>
          <cell r="D3266">
            <v>2736.27</v>
          </cell>
        </row>
        <row r="3267">
          <cell r="A3267">
            <v>43423</v>
          </cell>
          <cell r="B3267">
            <v>5336.7</v>
          </cell>
          <cell r="C3267">
            <v>4759.25</v>
          </cell>
          <cell r="D3267">
            <v>2690.73</v>
          </cell>
        </row>
        <row r="3268">
          <cell r="A3268">
            <v>43424</v>
          </cell>
          <cell r="B3268">
            <v>5240.2299999999996</v>
          </cell>
          <cell r="C3268">
            <v>4673.1099999999997</v>
          </cell>
          <cell r="D3268">
            <v>2641.89</v>
          </cell>
        </row>
        <row r="3269">
          <cell r="A3269">
            <v>43425</v>
          </cell>
          <cell r="B3269">
            <v>5256.61</v>
          </cell>
          <cell r="C3269">
            <v>4687.6099999999997</v>
          </cell>
          <cell r="D3269">
            <v>2649.93</v>
          </cell>
        </row>
        <row r="3270">
          <cell r="A3270">
            <v>43427</v>
          </cell>
          <cell r="B3270">
            <v>5222.43</v>
          </cell>
          <cell r="C3270">
            <v>4657.05</v>
          </cell>
          <cell r="D3270">
            <v>2632.56</v>
          </cell>
        </row>
        <row r="3271">
          <cell r="A3271">
            <v>43430</v>
          </cell>
          <cell r="B3271">
            <v>5304.17</v>
          </cell>
          <cell r="C3271">
            <v>4729.7700000000004</v>
          </cell>
          <cell r="D3271">
            <v>2673.45</v>
          </cell>
        </row>
        <row r="3272">
          <cell r="A3272">
            <v>43431</v>
          </cell>
          <cell r="B3272">
            <v>5321.52</v>
          </cell>
          <cell r="C3272">
            <v>4745.2299999999996</v>
          </cell>
          <cell r="D3272">
            <v>2682.17</v>
          </cell>
        </row>
        <row r="3273">
          <cell r="A3273">
            <v>43432</v>
          </cell>
          <cell r="B3273">
            <v>5444.12</v>
          </cell>
          <cell r="C3273">
            <v>4854.46</v>
          </cell>
          <cell r="D3273">
            <v>2743.79</v>
          </cell>
        </row>
        <row r="3274">
          <cell r="A3274">
            <v>43433</v>
          </cell>
          <cell r="B3274">
            <v>5433.49</v>
          </cell>
          <cell r="C3274">
            <v>4844.63</v>
          </cell>
          <cell r="D3274">
            <v>2737.76</v>
          </cell>
        </row>
        <row r="3275">
          <cell r="A3275">
            <v>43434</v>
          </cell>
          <cell r="B3275">
            <v>5478.91</v>
          </cell>
          <cell r="C3275">
            <v>4884.88</v>
          </cell>
          <cell r="D3275">
            <v>2760.17</v>
          </cell>
        </row>
        <row r="3276">
          <cell r="A3276">
            <v>43437</v>
          </cell>
          <cell r="B3276">
            <v>5538.86</v>
          </cell>
          <cell r="C3276">
            <v>4938.32</v>
          </cell>
          <cell r="D3276">
            <v>2790.37</v>
          </cell>
        </row>
        <row r="3277">
          <cell r="A3277">
            <v>43438</v>
          </cell>
          <cell r="B3277">
            <v>5359.91</v>
          </cell>
          <cell r="C3277">
            <v>4778.6899999999996</v>
          </cell>
          <cell r="D3277">
            <v>2700.06</v>
          </cell>
        </row>
        <row r="3278">
          <cell r="A3278">
            <v>43440</v>
          </cell>
          <cell r="B3278">
            <v>5353.43</v>
          </cell>
          <cell r="C3278">
            <v>4772.46</v>
          </cell>
          <cell r="D3278">
            <v>2695.95</v>
          </cell>
        </row>
        <row r="3279">
          <cell r="A3279">
            <v>43441</v>
          </cell>
          <cell r="B3279">
            <v>5229.4399999999996</v>
          </cell>
          <cell r="C3279">
            <v>4661.7</v>
          </cell>
          <cell r="D3279">
            <v>2633.08</v>
          </cell>
        </row>
        <row r="3280">
          <cell r="A3280">
            <v>43444</v>
          </cell>
          <cell r="B3280">
            <v>5238.7</v>
          </cell>
          <cell r="C3280">
            <v>4669.95</v>
          </cell>
          <cell r="D3280">
            <v>2637.72</v>
          </cell>
        </row>
        <row r="3281">
          <cell r="A3281">
            <v>43445</v>
          </cell>
          <cell r="B3281">
            <v>5237.1000000000004</v>
          </cell>
          <cell r="C3281">
            <v>4668.45</v>
          </cell>
          <cell r="D3281">
            <v>2636.78</v>
          </cell>
        </row>
        <row r="3282">
          <cell r="A3282">
            <v>43446</v>
          </cell>
          <cell r="B3282">
            <v>5265.53</v>
          </cell>
          <cell r="C3282">
            <v>4693.78</v>
          </cell>
          <cell r="D3282">
            <v>2651.07</v>
          </cell>
        </row>
        <row r="3283">
          <cell r="A3283">
            <v>43447</v>
          </cell>
          <cell r="B3283">
            <v>5265.46</v>
          </cell>
          <cell r="C3283">
            <v>4693.45</v>
          </cell>
          <cell r="D3283">
            <v>2650.54</v>
          </cell>
        </row>
        <row r="3284">
          <cell r="A3284">
            <v>43448</v>
          </cell>
          <cell r="B3284">
            <v>5165.6000000000004</v>
          </cell>
          <cell r="C3284">
            <v>4604.2700000000004</v>
          </cell>
          <cell r="D3284">
            <v>2599.9499999999998</v>
          </cell>
        </row>
        <row r="3285">
          <cell r="A3285">
            <v>43451</v>
          </cell>
          <cell r="B3285">
            <v>5058.58</v>
          </cell>
          <cell r="C3285">
            <v>4508.8</v>
          </cell>
          <cell r="D3285">
            <v>2545.94</v>
          </cell>
        </row>
        <row r="3286">
          <cell r="A3286">
            <v>43452</v>
          </cell>
          <cell r="B3286">
            <v>5059.34</v>
          </cell>
          <cell r="C3286">
            <v>4509.3999999999996</v>
          </cell>
          <cell r="D3286">
            <v>2546.16</v>
          </cell>
        </row>
        <row r="3287">
          <cell r="A3287">
            <v>43453</v>
          </cell>
          <cell r="B3287">
            <v>4981.92</v>
          </cell>
          <cell r="C3287">
            <v>4440.26</v>
          </cell>
          <cell r="D3287">
            <v>2506.96</v>
          </cell>
        </row>
        <row r="3288">
          <cell r="A3288">
            <v>43454</v>
          </cell>
          <cell r="B3288">
            <v>4903.46</v>
          </cell>
          <cell r="C3288">
            <v>4370.3</v>
          </cell>
          <cell r="D3288">
            <v>2467.42</v>
          </cell>
        </row>
        <row r="3289">
          <cell r="A3289">
            <v>43455</v>
          </cell>
          <cell r="B3289">
            <v>4802.51</v>
          </cell>
          <cell r="C3289">
            <v>4280.33</v>
          </cell>
          <cell r="D3289">
            <v>2416.62</v>
          </cell>
        </row>
        <row r="3290">
          <cell r="A3290">
            <v>43458</v>
          </cell>
          <cell r="B3290">
            <v>4672.66</v>
          </cell>
          <cell r="C3290">
            <v>4164.5</v>
          </cell>
          <cell r="D3290">
            <v>2351.1</v>
          </cell>
        </row>
        <row r="3291">
          <cell r="A3291">
            <v>43460</v>
          </cell>
          <cell r="B3291">
            <v>4904.49</v>
          </cell>
          <cell r="C3291">
            <v>4371.1000000000004</v>
          </cell>
          <cell r="D3291">
            <v>2467.6999999999998</v>
          </cell>
        </row>
        <row r="3292">
          <cell r="A3292">
            <v>43461</v>
          </cell>
          <cell r="B3292">
            <v>4946.9399999999996</v>
          </cell>
          <cell r="C3292">
            <v>4408.8</v>
          </cell>
          <cell r="D3292">
            <v>2488.83</v>
          </cell>
        </row>
        <row r="3293">
          <cell r="A3293">
            <v>43462</v>
          </cell>
          <cell r="B3293">
            <v>4941.6099999999997</v>
          </cell>
          <cell r="C3293">
            <v>4403.83</v>
          </cell>
          <cell r="D3293">
            <v>2485.7399999999998</v>
          </cell>
        </row>
        <row r="3294">
          <cell r="A3294">
            <v>43465</v>
          </cell>
          <cell r="B3294">
            <v>4984.22</v>
          </cell>
          <cell r="C3294">
            <v>4441.63</v>
          </cell>
          <cell r="D3294">
            <v>2506.85</v>
          </cell>
        </row>
        <row r="3295">
          <cell r="A3295">
            <v>43467</v>
          </cell>
          <cell r="B3295">
            <v>4990.5600000000004</v>
          </cell>
          <cell r="C3295">
            <v>4447.28</v>
          </cell>
          <cell r="D3295">
            <v>2510.0300000000002</v>
          </cell>
        </row>
        <row r="3296">
          <cell r="A3296">
            <v>43468</v>
          </cell>
          <cell r="B3296">
            <v>4868.3</v>
          </cell>
          <cell r="C3296">
            <v>4337.99</v>
          </cell>
          <cell r="D3296">
            <v>2447.89</v>
          </cell>
        </row>
        <row r="3297">
          <cell r="A3297">
            <v>43469</v>
          </cell>
          <cell r="B3297">
            <v>5035.45</v>
          </cell>
          <cell r="C3297">
            <v>4486.93</v>
          </cell>
          <cell r="D3297">
            <v>2531.94</v>
          </cell>
        </row>
        <row r="3298">
          <cell r="A3298">
            <v>43472</v>
          </cell>
          <cell r="B3298">
            <v>5070.76</v>
          </cell>
          <cell r="C3298">
            <v>4518.3900000000003</v>
          </cell>
          <cell r="D3298">
            <v>2549.69</v>
          </cell>
        </row>
        <row r="3299">
          <cell r="A3299">
            <v>43473</v>
          </cell>
          <cell r="B3299">
            <v>5120.04</v>
          </cell>
          <cell r="C3299">
            <v>4562.2700000000004</v>
          </cell>
          <cell r="D3299">
            <v>2574.41</v>
          </cell>
        </row>
        <row r="3300">
          <cell r="A3300">
            <v>43474</v>
          </cell>
          <cell r="B3300">
            <v>5142.66</v>
          </cell>
          <cell r="C3300">
            <v>4581.99</v>
          </cell>
          <cell r="D3300">
            <v>2584.96</v>
          </cell>
        </row>
        <row r="3301">
          <cell r="A3301">
            <v>43475</v>
          </cell>
          <cell r="B3301">
            <v>5165.8900000000003</v>
          </cell>
          <cell r="C3301">
            <v>4602.6899999999996</v>
          </cell>
          <cell r="D3301">
            <v>2596.64</v>
          </cell>
        </row>
        <row r="3302">
          <cell r="A3302">
            <v>43476</v>
          </cell>
          <cell r="B3302">
            <v>5165.1499999999996</v>
          </cell>
          <cell r="C3302">
            <v>4602.0200000000004</v>
          </cell>
          <cell r="D3302">
            <v>2596.2600000000002</v>
          </cell>
        </row>
        <row r="3303">
          <cell r="A3303">
            <v>43479</v>
          </cell>
          <cell r="B3303">
            <v>5138.58</v>
          </cell>
          <cell r="C3303">
            <v>4578.2</v>
          </cell>
          <cell r="D3303">
            <v>2582.61</v>
          </cell>
        </row>
        <row r="3304">
          <cell r="A3304">
            <v>43480</v>
          </cell>
          <cell r="B3304">
            <v>5193.78</v>
          </cell>
          <cell r="C3304">
            <v>4627.3500000000004</v>
          </cell>
          <cell r="D3304">
            <v>2610.3000000000002</v>
          </cell>
        </row>
        <row r="3305">
          <cell r="A3305">
            <v>43481</v>
          </cell>
          <cell r="B3305">
            <v>5205.45</v>
          </cell>
          <cell r="C3305">
            <v>4637.71</v>
          </cell>
          <cell r="D3305">
            <v>2616.1</v>
          </cell>
        </row>
        <row r="3306">
          <cell r="A3306">
            <v>43482</v>
          </cell>
          <cell r="B3306">
            <v>5245.48</v>
          </cell>
          <cell r="C3306">
            <v>4673.24</v>
          </cell>
          <cell r="D3306">
            <v>2635.96</v>
          </cell>
        </row>
        <row r="3307">
          <cell r="A3307">
            <v>43483</v>
          </cell>
          <cell r="B3307">
            <v>5314.78</v>
          </cell>
          <cell r="C3307">
            <v>4734.9399999999996</v>
          </cell>
          <cell r="D3307">
            <v>2670.71</v>
          </cell>
        </row>
        <row r="3308">
          <cell r="A3308">
            <v>43487</v>
          </cell>
          <cell r="B3308">
            <v>5239.75</v>
          </cell>
          <cell r="C3308">
            <v>4668.04</v>
          </cell>
          <cell r="D3308">
            <v>2632.9</v>
          </cell>
        </row>
        <row r="3309">
          <cell r="A3309">
            <v>43488</v>
          </cell>
          <cell r="B3309">
            <v>5251.29</v>
          </cell>
          <cell r="C3309">
            <v>4678.32</v>
          </cell>
          <cell r="D3309">
            <v>2638.7</v>
          </cell>
        </row>
        <row r="3310">
          <cell r="A3310">
            <v>43489</v>
          </cell>
          <cell r="B3310">
            <v>5258.69</v>
          </cell>
          <cell r="C3310">
            <v>4684.8599999999997</v>
          </cell>
          <cell r="D3310">
            <v>2642.33</v>
          </cell>
        </row>
        <row r="3311">
          <cell r="A3311">
            <v>43490</v>
          </cell>
          <cell r="B3311">
            <v>5303.51</v>
          </cell>
          <cell r="C3311">
            <v>4724.74</v>
          </cell>
          <cell r="D3311">
            <v>2664.76</v>
          </cell>
        </row>
        <row r="3312">
          <cell r="A3312">
            <v>43493</v>
          </cell>
          <cell r="B3312">
            <v>5261.88</v>
          </cell>
          <cell r="C3312">
            <v>4687.66</v>
          </cell>
          <cell r="D3312">
            <v>2643.85</v>
          </cell>
        </row>
        <row r="3313">
          <cell r="A3313">
            <v>43494</v>
          </cell>
          <cell r="B3313">
            <v>5254.31</v>
          </cell>
          <cell r="C3313">
            <v>4680.8999999999996</v>
          </cell>
          <cell r="D3313">
            <v>2640</v>
          </cell>
        </row>
        <row r="3314">
          <cell r="A3314">
            <v>43495</v>
          </cell>
          <cell r="B3314">
            <v>5336.6</v>
          </cell>
          <cell r="C3314">
            <v>4754.05</v>
          </cell>
          <cell r="D3314">
            <v>2681.05</v>
          </cell>
        </row>
        <row r="3315">
          <cell r="A3315">
            <v>43496</v>
          </cell>
          <cell r="B3315">
            <v>5383.63</v>
          </cell>
          <cell r="C3315">
            <v>4795.6400000000003</v>
          </cell>
          <cell r="D3315">
            <v>2704.1</v>
          </cell>
        </row>
        <row r="3316">
          <cell r="A3316">
            <v>43497</v>
          </cell>
          <cell r="B3316">
            <v>5389.19</v>
          </cell>
          <cell r="C3316">
            <v>4800.3999999999996</v>
          </cell>
          <cell r="D3316">
            <v>2706.53</v>
          </cell>
        </row>
        <row r="3317">
          <cell r="A3317">
            <v>43500</v>
          </cell>
          <cell r="B3317">
            <v>5425.8</v>
          </cell>
          <cell r="C3317">
            <v>4832.9799999999996</v>
          </cell>
          <cell r="D3317">
            <v>2724.87</v>
          </cell>
        </row>
        <row r="3318">
          <cell r="A3318">
            <v>43501</v>
          </cell>
          <cell r="B3318">
            <v>5451.4</v>
          </cell>
          <cell r="C3318">
            <v>4855.7700000000004</v>
          </cell>
          <cell r="D3318">
            <v>2737.7</v>
          </cell>
        </row>
        <row r="3319">
          <cell r="A3319">
            <v>43502</v>
          </cell>
          <cell r="B3319">
            <v>5439.8</v>
          </cell>
          <cell r="C3319">
            <v>4845.3</v>
          </cell>
          <cell r="D3319">
            <v>2731.61</v>
          </cell>
        </row>
        <row r="3320">
          <cell r="A3320">
            <v>43503</v>
          </cell>
          <cell r="B3320">
            <v>5389.69</v>
          </cell>
          <cell r="C3320">
            <v>4800.45</v>
          </cell>
          <cell r="D3320">
            <v>2706.05</v>
          </cell>
        </row>
        <row r="3321">
          <cell r="A3321">
            <v>43504</v>
          </cell>
          <cell r="B3321">
            <v>5395.12</v>
          </cell>
          <cell r="C3321">
            <v>4804.8100000000004</v>
          </cell>
          <cell r="D3321">
            <v>2707.88</v>
          </cell>
        </row>
        <row r="3322">
          <cell r="A3322">
            <v>43507</v>
          </cell>
          <cell r="B3322">
            <v>5399</v>
          </cell>
          <cell r="C3322">
            <v>4808.26</v>
          </cell>
          <cell r="D3322">
            <v>2709.8</v>
          </cell>
        </row>
        <row r="3323">
          <cell r="A3323">
            <v>43508</v>
          </cell>
          <cell r="B3323">
            <v>5468.98</v>
          </cell>
          <cell r="C3323">
            <v>4870.47</v>
          </cell>
          <cell r="D3323">
            <v>2744.73</v>
          </cell>
        </row>
        <row r="3324">
          <cell r="A3324">
            <v>43509</v>
          </cell>
          <cell r="B3324">
            <v>5485.97</v>
          </cell>
          <cell r="C3324">
            <v>4885.4799999999996</v>
          </cell>
          <cell r="D3324">
            <v>2753.03</v>
          </cell>
        </row>
        <row r="3325">
          <cell r="A3325">
            <v>43510</v>
          </cell>
          <cell r="B3325">
            <v>5473.33</v>
          </cell>
          <cell r="C3325">
            <v>4873.71</v>
          </cell>
          <cell r="D3325">
            <v>2745.73</v>
          </cell>
        </row>
        <row r="3326">
          <cell r="A3326">
            <v>43511</v>
          </cell>
          <cell r="B3326">
            <v>5533.27</v>
          </cell>
          <cell r="C3326">
            <v>4926.9799999999996</v>
          </cell>
          <cell r="D3326">
            <v>2775.6</v>
          </cell>
        </row>
        <row r="3327">
          <cell r="A3327">
            <v>43515</v>
          </cell>
          <cell r="B3327">
            <v>5541.98</v>
          </cell>
          <cell r="C3327">
            <v>4934.62</v>
          </cell>
          <cell r="D3327">
            <v>2779.76</v>
          </cell>
        </row>
        <row r="3328">
          <cell r="A3328">
            <v>43516</v>
          </cell>
          <cell r="B3328">
            <v>5552.9</v>
          </cell>
          <cell r="C3328">
            <v>4944.0600000000004</v>
          </cell>
          <cell r="D3328">
            <v>2784.7</v>
          </cell>
        </row>
        <row r="3329">
          <cell r="A3329">
            <v>43517</v>
          </cell>
          <cell r="B3329">
            <v>5533.8</v>
          </cell>
          <cell r="C3329">
            <v>4926.93</v>
          </cell>
          <cell r="D3329">
            <v>2774.88</v>
          </cell>
        </row>
        <row r="3330">
          <cell r="A3330">
            <v>43518</v>
          </cell>
          <cell r="B3330">
            <v>5569.45</v>
          </cell>
          <cell r="C3330">
            <v>4958.63</v>
          </cell>
          <cell r="D3330">
            <v>2792.67</v>
          </cell>
        </row>
        <row r="3331">
          <cell r="A3331">
            <v>43521</v>
          </cell>
          <cell r="B3331">
            <v>5577.09</v>
          </cell>
          <cell r="C3331">
            <v>4965.21</v>
          </cell>
          <cell r="D3331">
            <v>2796.11</v>
          </cell>
        </row>
        <row r="3332">
          <cell r="A3332">
            <v>43522</v>
          </cell>
          <cell r="B3332">
            <v>5572.74</v>
          </cell>
          <cell r="C3332">
            <v>4961.33</v>
          </cell>
          <cell r="D3332">
            <v>2793.9</v>
          </cell>
        </row>
        <row r="3333">
          <cell r="A3333">
            <v>43523</v>
          </cell>
          <cell r="B3333">
            <v>5570.57</v>
          </cell>
          <cell r="C3333">
            <v>4959.17</v>
          </cell>
          <cell r="D3333">
            <v>2792.38</v>
          </cell>
        </row>
        <row r="3334">
          <cell r="A3334">
            <v>43524</v>
          </cell>
          <cell r="B3334">
            <v>5556.49</v>
          </cell>
          <cell r="C3334">
            <v>4946.1899999999996</v>
          </cell>
          <cell r="D3334">
            <v>2784.49</v>
          </cell>
        </row>
        <row r="3335">
          <cell r="A3335">
            <v>43525</v>
          </cell>
          <cell r="B3335">
            <v>5595.11</v>
          </cell>
          <cell r="C3335">
            <v>4980.49</v>
          </cell>
          <cell r="D3335">
            <v>2803.69</v>
          </cell>
        </row>
        <row r="3336">
          <cell r="A3336">
            <v>43528</v>
          </cell>
          <cell r="B3336">
            <v>5573.53</v>
          </cell>
          <cell r="C3336">
            <v>4961.24</v>
          </cell>
          <cell r="D3336">
            <v>2792.81</v>
          </cell>
        </row>
        <row r="3337">
          <cell r="A3337">
            <v>43529</v>
          </cell>
          <cell r="B3337">
            <v>5567.4</v>
          </cell>
          <cell r="C3337">
            <v>4955.74</v>
          </cell>
          <cell r="D3337">
            <v>2789.65</v>
          </cell>
        </row>
        <row r="3338">
          <cell r="A3338">
            <v>43530</v>
          </cell>
          <cell r="B3338">
            <v>5531.34</v>
          </cell>
          <cell r="C3338">
            <v>4923.57</v>
          </cell>
          <cell r="D3338">
            <v>2771.45</v>
          </cell>
        </row>
        <row r="3339">
          <cell r="A3339">
            <v>43531</v>
          </cell>
          <cell r="B3339">
            <v>5487.56</v>
          </cell>
          <cell r="C3339">
            <v>4884.28</v>
          </cell>
          <cell r="D3339">
            <v>2748.93</v>
          </cell>
        </row>
        <row r="3340">
          <cell r="A3340">
            <v>43532</v>
          </cell>
          <cell r="B3340">
            <v>5476.39</v>
          </cell>
          <cell r="C3340">
            <v>4874.2</v>
          </cell>
          <cell r="D3340">
            <v>2743.07</v>
          </cell>
        </row>
        <row r="3341">
          <cell r="A3341">
            <v>43535</v>
          </cell>
          <cell r="B3341">
            <v>5556.77</v>
          </cell>
          <cell r="C3341">
            <v>4945.72</v>
          </cell>
          <cell r="D3341">
            <v>2783.3</v>
          </cell>
        </row>
        <row r="3342">
          <cell r="A3342">
            <v>43536</v>
          </cell>
          <cell r="B3342">
            <v>5573.44</v>
          </cell>
          <cell r="C3342">
            <v>4960.5</v>
          </cell>
          <cell r="D3342">
            <v>2791.52</v>
          </cell>
        </row>
        <row r="3343">
          <cell r="A3343">
            <v>43537</v>
          </cell>
          <cell r="B3343">
            <v>5612.56</v>
          </cell>
          <cell r="C3343">
            <v>4995.21</v>
          </cell>
          <cell r="D3343">
            <v>2810.92</v>
          </cell>
        </row>
        <row r="3344">
          <cell r="A3344">
            <v>43538</v>
          </cell>
          <cell r="B3344">
            <v>5609.59</v>
          </cell>
          <cell r="C3344">
            <v>4992.0600000000004</v>
          </cell>
          <cell r="D3344">
            <v>2808.48</v>
          </cell>
        </row>
        <row r="3345">
          <cell r="A3345">
            <v>43539</v>
          </cell>
          <cell r="B3345">
            <v>5637.77</v>
          </cell>
          <cell r="C3345">
            <v>5017.08</v>
          </cell>
          <cell r="D3345">
            <v>2822.48</v>
          </cell>
        </row>
        <row r="3346">
          <cell r="A3346">
            <v>43542</v>
          </cell>
          <cell r="B3346">
            <v>5658.73</v>
          </cell>
          <cell r="C3346">
            <v>5035.71</v>
          </cell>
          <cell r="D3346">
            <v>2832.94</v>
          </cell>
        </row>
        <row r="3347">
          <cell r="A3347">
            <v>43543</v>
          </cell>
          <cell r="B3347">
            <v>5658.15</v>
          </cell>
          <cell r="C3347">
            <v>5035.1499999999996</v>
          </cell>
          <cell r="D3347">
            <v>2832.57</v>
          </cell>
        </row>
        <row r="3348">
          <cell r="A3348">
            <v>43544</v>
          </cell>
          <cell r="B3348">
            <v>5641.74</v>
          </cell>
          <cell r="C3348">
            <v>5020.49</v>
          </cell>
          <cell r="D3348">
            <v>2824.23</v>
          </cell>
        </row>
        <row r="3349">
          <cell r="A3349">
            <v>43545</v>
          </cell>
          <cell r="B3349">
            <v>5703.28</v>
          </cell>
          <cell r="C3349">
            <v>5075.16</v>
          </cell>
          <cell r="D3349">
            <v>2854.88</v>
          </cell>
        </row>
        <row r="3350">
          <cell r="A3350">
            <v>43546</v>
          </cell>
          <cell r="B3350">
            <v>5595.5</v>
          </cell>
          <cell r="C3350">
            <v>4979.1400000000003</v>
          </cell>
          <cell r="D3350">
            <v>2800.71</v>
          </cell>
        </row>
        <row r="3351">
          <cell r="A3351">
            <v>43549</v>
          </cell>
          <cell r="B3351">
            <v>5591.23</v>
          </cell>
          <cell r="C3351">
            <v>4975.2299999999996</v>
          </cell>
          <cell r="D3351">
            <v>2798.36</v>
          </cell>
        </row>
        <row r="3352">
          <cell r="A3352">
            <v>43550</v>
          </cell>
          <cell r="B3352">
            <v>5631.39</v>
          </cell>
          <cell r="C3352">
            <v>5010.96</v>
          </cell>
          <cell r="D3352">
            <v>2818.46</v>
          </cell>
        </row>
        <row r="3353">
          <cell r="A3353">
            <v>43551</v>
          </cell>
          <cell r="B3353">
            <v>5605.32</v>
          </cell>
          <cell r="C3353">
            <v>4987.74</v>
          </cell>
          <cell r="D3353">
            <v>2805.37</v>
          </cell>
        </row>
        <row r="3354">
          <cell r="A3354">
            <v>43552</v>
          </cell>
          <cell r="B3354">
            <v>5626.32</v>
          </cell>
          <cell r="C3354">
            <v>5006.1899999999996</v>
          </cell>
          <cell r="D3354">
            <v>2815.44</v>
          </cell>
        </row>
        <row r="3355">
          <cell r="A3355">
            <v>43553</v>
          </cell>
          <cell r="B3355">
            <v>5664.46</v>
          </cell>
          <cell r="C3355">
            <v>5040.0600000000004</v>
          </cell>
          <cell r="D3355">
            <v>2834.4</v>
          </cell>
        </row>
        <row r="3356">
          <cell r="A3356">
            <v>43556</v>
          </cell>
          <cell r="B3356">
            <v>5730.04</v>
          </cell>
          <cell r="C3356">
            <v>5098.3999999999996</v>
          </cell>
          <cell r="D3356">
            <v>2867.19</v>
          </cell>
        </row>
        <row r="3357">
          <cell r="A3357">
            <v>43557</v>
          </cell>
          <cell r="B3357">
            <v>5730.35</v>
          </cell>
          <cell r="C3357">
            <v>5098.62</v>
          </cell>
          <cell r="D3357">
            <v>2867.24</v>
          </cell>
        </row>
        <row r="3358">
          <cell r="A3358">
            <v>43558</v>
          </cell>
          <cell r="B3358">
            <v>5742.67</v>
          </cell>
          <cell r="C3358">
            <v>5109.58</v>
          </cell>
          <cell r="D3358">
            <v>2873.4</v>
          </cell>
        </row>
        <row r="3359">
          <cell r="A3359">
            <v>43559</v>
          </cell>
          <cell r="B3359">
            <v>5755.96</v>
          </cell>
          <cell r="C3359">
            <v>5121.05</v>
          </cell>
          <cell r="D3359">
            <v>2879.39</v>
          </cell>
        </row>
        <row r="3360">
          <cell r="A3360">
            <v>43560</v>
          </cell>
          <cell r="B3360">
            <v>5782.7</v>
          </cell>
          <cell r="C3360">
            <v>5144.83</v>
          </cell>
          <cell r="D3360">
            <v>2892.74</v>
          </cell>
        </row>
        <row r="3361">
          <cell r="A3361">
            <v>43563</v>
          </cell>
          <cell r="B3361">
            <v>5788.86</v>
          </cell>
          <cell r="C3361">
            <v>5150.28</v>
          </cell>
          <cell r="D3361">
            <v>2895.77</v>
          </cell>
        </row>
        <row r="3362">
          <cell r="A3362">
            <v>43564</v>
          </cell>
          <cell r="B3362">
            <v>5755.49</v>
          </cell>
          <cell r="C3362">
            <v>5120.13</v>
          </cell>
          <cell r="D3362">
            <v>2878.2</v>
          </cell>
        </row>
        <row r="3363">
          <cell r="A3363">
            <v>43565</v>
          </cell>
          <cell r="B3363">
            <v>5775.99</v>
          </cell>
          <cell r="C3363">
            <v>5138.2299999999996</v>
          </cell>
          <cell r="D3363">
            <v>2888.21</v>
          </cell>
        </row>
        <row r="3364">
          <cell r="A3364">
            <v>43566</v>
          </cell>
          <cell r="B3364">
            <v>5776.28</v>
          </cell>
          <cell r="C3364">
            <v>5138.47</v>
          </cell>
          <cell r="D3364">
            <v>2888.32</v>
          </cell>
        </row>
        <row r="3365">
          <cell r="A3365">
            <v>43567</v>
          </cell>
          <cell r="B3365">
            <v>5815.04</v>
          </cell>
          <cell r="C3365">
            <v>5172.8</v>
          </cell>
          <cell r="D3365">
            <v>2907.41</v>
          </cell>
        </row>
        <row r="3366">
          <cell r="A3366">
            <v>43570</v>
          </cell>
          <cell r="B3366">
            <v>5811.51</v>
          </cell>
          <cell r="C3366">
            <v>5169.63</v>
          </cell>
          <cell r="D3366">
            <v>2905.58</v>
          </cell>
        </row>
        <row r="3367">
          <cell r="A3367">
            <v>43571</v>
          </cell>
          <cell r="B3367">
            <v>5814.46</v>
          </cell>
          <cell r="C3367">
            <v>5172.25</v>
          </cell>
          <cell r="D3367">
            <v>2907.06</v>
          </cell>
        </row>
        <row r="3368">
          <cell r="A3368">
            <v>43572</v>
          </cell>
          <cell r="B3368">
            <v>5801.83</v>
          </cell>
          <cell r="C3368">
            <v>5160.8599999999997</v>
          </cell>
          <cell r="D3368">
            <v>2900.45</v>
          </cell>
        </row>
        <row r="3369">
          <cell r="A3369">
            <v>43573</v>
          </cell>
          <cell r="B3369">
            <v>5811.13</v>
          </cell>
          <cell r="C3369">
            <v>5169.09</v>
          </cell>
          <cell r="D3369">
            <v>2905.03</v>
          </cell>
        </row>
        <row r="3370">
          <cell r="A3370">
            <v>43577</v>
          </cell>
          <cell r="B3370">
            <v>5817.16</v>
          </cell>
          <cell r="C3370">
            <v>5174.42</v>
          </cell>
          <cell r="D3370">
            <v>2907.97</v>
          </cell>
        </row>
        <row r="3371">
          <cell r="A3371">
            <v>43578</v>
          </cell>
          <cell r="B3371">
            <v>5868.88</v>
          </cell>
          <cell r="C3371">
            <v>5220.34</v>
          </cell>
          <cell r="D3371">
            <v>2933.68</v>
          </cell>
        </row>
        <row r="3372">
          <cell r="A3372">
            <v>43579</v>
          </cell>
          <cell r="B3372">
            <v>5856.03</v>
          </cell>
          <cell r="C3372">
            <v>5208.91</v>
          </cell>
          <cell r="D3372">
            <v>2927.25</v>
          </cell>
        </row>
        <row r="3373">
          <cell r="A3373">
            <v>43580</v>
          </cell>
          <cell r="B3373">
            <v>5853.87</v>
          </cell>
          <cell r="C3373">
            <v>5206.99</v>
          </cell>
          <cell r="D3373">
            <v>2926.17</v>
          </cell>
        </row>
        <row r="3374">
          <cell r="A3374">
            <v>43581</v>
          </cell>
          <cell r="B3374">
            <v>5881.48</v>
          </cell>
          <cell r="C3374">
            <v>5231.5</v>
          </cell>
          <cell r="D3374">
            <v>2939.88</v>
          </cell>
        </row>
        <row r="3375">
          <cell r="A3375">
            <v>43584</v>
          </cell>
          <cell r="B3375">
            <v>5888.05</v>
          </cell>
          <cell r="C3375">
            <v>5237.2700000000004</v>
          </cell>
          <cell r="D3375">
            <v>2943.03</v>
          </cell>
        </row>
        <row r="3376">
          <cell r="A3376">
            <v>43585</v>
          </cell>
          <cell r="B3376">
            <v>5893.81</v>
          </cell>
          <cell r="C3376">
            <v>5242.3599999999997</v>
          </cell>
          <cell r="D3376">
            <v>2945.83</v>
          </cell>
        </row>
        <row r="3377">
          <cell r="A3377">
            <v>43586</v>
          </cell>
          <cell r="B3377">
            <v>5849.65</v>
          </cell>
          <cell r="C3377">
            <v>5203.0600000000004</v>
          </cell>
          <cell r="D3377">
            <v>2923.73</v>
          </cell>
        </row>
        <row r="3378">
          <cell r="A3378">
            <v>43587</v>
          </cell>
          <cell r="B3378">
            <v>5837.46</v>
          </cell>
          <cell r="C3378">
            <v>5192.1499999999996</v>
          </cell>
          <cell r="D3378">
            <v>2917.52</v>
          </cell>
        </row>
        <row r="3379">
          <cell r="A3379">
            <v>43588</v>
          </cell>
          <cell r="B3379">
            <v>5894.3</v>
          </cell>
          <cell r="C3379">
            <v>5242.5600000000004</v>
          </cell>
          <cell r="D3379">
            <v>2945.64</v>
          </cell>
        </row>
        <row r="3380">
          <cell r="A3380">
            <v>43591</v>
          </cell>
          <cell r="B3380">
            <v>5868.45</v>
          </cell>
          <cell r="C3380">
            <v>5219.43</v>
          </cell>
          <cell r="D3380">
            <v>2932.47</v>
          </cell>
        </row>
        <row r="3381">
          <cell r="A3381">
            <v>43592</v>
          </cell>
          <cell r="B3381">
            <v>5771.59</v>
          </cell>
          <cell r="C3381">
            <v>5133.2700000000004</v>
          </cell>
          <cell r="D3381">
            <v>2884.05</v>
          </cell>
        </row>
        <row r="3382">
          <cell r="A3382">
            <v>43593</v>
          </cell>
          <cell r="B3382">
            <v>5762.48</v>
          </cell>
          <cell r="C3382">
            <v>5125.13</v>
          </cell>
          <cell r="D3382">
            <v>2879.42</v>
          </cell>
        </row>
        <row r="3383">
          <cell r="A3383">
            <v>43594</v>
          </cell>
          <cell r="B3383">
            <v>5747.08</v>
          </cell>
          <cell r="C3383">
            <v>5110.8900000000003</v>
          </cell>
          <cell r="D3383">
            <v>2870.72</v>
          </cell>
        </row>
        <row r="3384">
          <cell r="A3384">
            <v>43595</v>
          </cell>
          <cell r="B3384">
            <v>5770.44</v>
          </cell>
          <cell r="C3384">
            <v>5131.1400000000003</v>
          </cell>
          <cell r="D3384">
            <v>2881.4</v>
          </cell>
        </row>
        <row r="3385">
          <cell r="A3385">
            <v>43598</v>
          </cell>
          <cell r="B3385">
            <v>5631.41</v>
          </cell>
          <cell r="C3385">
            <v>5007.45</v>
          </cell>
          <cell r="D3385">
            <v>2811.87</v>
          </cell>
        </row>
        <row r="3386">
          <cell r="A3386">
            <v>43599</v>
          </cell>
          <cell r="B3386">
            <v>5677.2</v>
          </cell>
          <cell r="C3386">
            <v>5048</v>
          </cell>
          <cell r="D3386">
            <v>2834.41</v>
          </cell>
        </row>
        <row r="3387">
          <cell r="A3387">
            <v>43600</v>
          </cell>
          <cell r="B3387">
            <v>5711.49</v>
          </cell>
          <cell r="C3387">
            <v>5078.1899999999996</v>
          </cell>
          <cell r="D3387">
            <v>2850.96</v>
          </cell>
        </row>
        <row r="3388">
          <cell r="A3388">
            <v>43601</v>
          </cell>
          <cell r="B3388">
            <v>5763.95</v>
          </cell>
          <cell r="C3388">
            <v>5124.38</v>
          </cell>
          <cell r="D3388">
            <v>2876.32</v>
          </cell>
        </row>
        <row r="3389">
          <cell r="A3389">
            <v>43602</v>
          </cell>
          <cell r="B3389">
            <v>5730.89</v>
          </cell>
          <cell r="C3389">
            <v>5094.84</v>
          </cell>
          <cell r="D3389">
            <v>2859.53</v>
          </cell>
        </row>
        <row r="3390">
          <cell r="A3390">
            <v>43605</v>
          </cell>
          <cell r="B3390">
            <v>5692.3</v>
          </cell>
          <cell r="C3390">
            <v>5060.51</v>
          </cell>
          <cell r="D3390">
            <v>2840.23</v>
          </cell>
        </row>
        <row r="3391">
          <cell r="A3391">
            <v>43606</v>
          </cell>
          <cell r="B3391">
            <v>5740.81</v>
          </cell>
          <cell r="C3391">
            <v>5103.59</v>
          </cell>
          <cell r="D3391">
            <v>2864.36</v>
          </cell>
        </row>
        <row r="3392">
          <cell r="A3392">
            <v>43607</v>
          </cell>
          <cell r="B3392">
            <v>5724.71</v>
          </cell>
          <cell r="C3392">
            <v>5089.25</v>
          </cell>
          <cell r="D3392">
            <v>2856.27</v>
          </cell>
        </row>
        <row r="3393">
          <cell r="A3393">
            <v>43608</v>
          </cell>
          <cell r="B3393">
            <v>5657.1</v>
          </cell>
          <cell r="C3393">
            <v>5028.99</v>
          </cell>
          <cell r="D3393">
            <v>2822.24</v>
          </cell>
        </row>
        <row r="3394">
          <cell r="A3394">
            <v>43609</v>
          </cell>
          <cell r="B3394">
            <v>5665.6</v>
          </cell>
          <cell r="C3394">
            <v>5036.32</v>
          </cell>
          <cell r="D3394">
            <v>2826.06</v>
          </cell>
        </row>
        <row r="3395">
          <cell r="A3395">
            <v>43613</v>
          </cell>
          <cell r="B3395">
            <v>5618.18</v>
          </cell>
          <cell r="C3395">
            <v>4994.1499999999996</v>
          </cell>
          <cell r="D3395">
            <v>2802.39</v>
          </cell>
        </row>
        <row r="3396">
          <cell r="A3396">
            <v>43614</v>
          </cell>
          <cell r="B3396">
            <v>5579.51</v>
          </cell>
          <cell r="C3396">
            <v>4959.74</v>
          </cell>
          <cell r="D3396">
            <v>2783.02</v>
          </cell>
        </row>
        <row r="3397">
          <cell r="A3397">
            <v>43615</v>
          </cell>
          <cell r="B3397">
            <v>5591.97</v>
          </cell>
          <cell r="C3397">
            <v>4970.62</v>
          </cell>
          <cell r="D3397">
            <v>2788.86</v>
          </cell>
        </row>
        <row r="3398">
          <cell r="A3398">
            <v>43616</v>
          </cell>
          <cell r="B3398">
            <v>5519.27</v>
          </cell>
          <cell r="C3398">
            <v>4905.71</v>
          </cell>
          <cell r="D3398">
            <v>2752.06</v>
          </cell>
        </row>
        <row r="3399">
          <cell r="A3399">
            <v>43619</v>
          </cell>
          <cell r="B3399">
            <v>5504.05</v>
          </cell>
          <cell r="C3399">
            <v>4892.16</v>
          </cell>
          <cell r="D3399">
            <v>2744.45</v>
          </cell>
        </row>
        <row r="3400">
          <cell r="A3400">
            <v>43620</v>
          </cell>
          <cell r="B3400">
            <v>5622.31</v>
          </cell>
          <cell r="C3400">
            <v>4997.2</v>
          </cell>
          <cell r="D3400">
            <v>2803.27</v>
          </cell>
        </row>
        <row r="3401">
          <cell r="A3401">
            <v>43621</v>
          </cell>
          <cell r="B3401">
            <v>5668.89</v>
          </cell>
          <cell r="C3401">
            <v>5038.41</v>
          </cell>
          <cell r="D3401">
            <v>2826.15</v>
          </cell>
        </row>
        <row r="3402">
          <cell r="A3402">
            <v>43622</v>
          </cell>
          <cell r="B3402">
            <v>5705.22</v>
          </cell>
          <cell r="C3402">
            <v>5070.29</v>
          </cell>
          <cell r="D3402">
            <v>2843.49</v>
          </cell>
        </row>
        <row r="3403">
          <cell r="A3403">
            <v>43623</v>
          </cell>
          <cell r="B3403">
            <v>5765.66</v>
          </cell>
          <cell r="C3403">
            <v>5123.8599999999997</v>
          </cell>
          <cell r="D3403">
            <v>2873.34</v>
          </cell>
        </row>
        <row r="3404">
          <cell r="A3404">
            <v>43626</v>
          </cell>
          <cell r="B3404">
            <v>5792.56</v>
          </cell>
          <cell r="C3404">
            <v>5147.76</v>
          </cell>
          <cell r="D3404">
            <v>2886.73</v>
          </cell>
        </row>
        <row r="3405">
          <cell r="A3405">
            <v>43627</v>
          </cell>
          <cell r="B3405">
            <v>5790.83</v>
          </cell>
          <cell r="C3405">
            <v>5146.1400000000003</v>
          </cell>
          <cell r="D3405">
            <v>2885.72</v>
          </cell>
        </row>
        <row r="3406">
          <cell r="A3406">
            <v>43628</v>
          </cell>
          <cell r="B3406">
            <v>5779.12</v>
          </cell>
          <cell r="C3406">
            <v>5135.71</v>
          </cell>
          <cell r="D3406">
            <v>2879.84</v>
          </cell>
        </row>
        <row r="3407">
          <cell r="A3407">
            <v>43629</v>
          </cell>
          <cell r="B3407">
            <v>5804.53</v>
          </cell>
          <cell r="C3407">
            <v>5157.83</v>
          </cell>
          <cell r="D3407">
            <v>2891.64</v>
          </cell>
        </row>
        <row r="3408">
          <cell r="A3408">
            <v>43630</v>
          </cell>
          <cell r="B3408">
            <v>5795.96</v>
          </cell>
          <cell r="C3408">
            <v>5150.01</v>
          </cell>
          <cell r="D3408">
            <v>2886.98</v>
          </cell>
        </row>
        <row r="3409">
          <cell r="A3409">
            <v>43633</v>
          </cell>
          <cell r="B3409">
            <v>5801.4</v>
          </cell>
          <cell r="C3409">
            <v>5154.83</v>
          </cell>
          <cell r="D3409">
            <v>2889.67</v>
          </cell>
        </row>
        <row r="3410">
          <cell r="A3410">
            <v>43634</v>
          </cell>
          <cell r="B3410">
            <v>5857.95</v>
          </cell>
          <cell r="C3410">
            <v>5205.03</v>
          </cell>
          <cell r="D3410">
            <v>2917.75</v>
          </cell>
        </row>
        <row r="3411">
          <cell r="A3411">
            <v>43635</v>
          </cell>
          <cell r="B3411">
            <v>5875.45</v>
          </cell>
          <cell r="C3411">
            <v>5220.57</v>
          </cell>
          <cell r="D3411">
            <v>2926.46</v>
          </cell>
        </row>
        <row r="3412">
          <cell r="A3412">
            <v>43636</v>
          </cell>
          <cell r="B3412">
            <v>5931.66</v>
          </cell>
          <cell r="C3412">
            <v>5270.37</v>
          </cell>
          <cell r="D3412">
            <v>2954.18</v>
          </cell>
        </row>
        <row r="3413">
          <cell r="A3413">
            <v>43637</v>
          </cell>
          <cell r="B3413">
            <v>5924.54</v>
          </cell>
          <cell r="C3413">
            <v>5263.95</v>
          </cell>
          <cell r="D3413">
            <v>2950.46</v>
          </cell>
        </row>
        <row r="3414">
          <cell r="A3414">
            <v>43640</v>
          </cell>
          <cell r="B3414">
            <v>5914.29</v>
          </cell>
          <cell r="C3414">
            <v>5254.84</v>
          </cell>
          <cell r="D3414">
            <v>2945.35</v>
          </cell>
        </row>
        <row r="3415">
          <cell r="A3415">
            <v>43641</v>
          </cell>
          <cell r="B3415">
            <v>5858.13</v>
          </cell>
          <cell r="C3415">
            <v>5204.95</v>
          </cell>
          <cell r="D3415">
            <v>2917.38</v>
          </cell>
        </row>
        <row r="3416">
          <cell r="A3416">
            <v>43642</v>
          </cell>
          <cell r="B3416">
            <v>5850.9</v>
          </cell>
          <cell r="C3416">
            <v>5198.5200000000004</v>
          </cell>
          <cell r="D3416">
            <v>2913.78</v>
          </cell>
        </row>
        <row r="3417">
          <cell r="A3417">
            <v>43643</v>
          </cell>
          <cell r="B3417">
            <v>5874.15</v>
          </cell>
          <cell r="C3417">
            <v>5218.9399999999996</v>
          </cell>
          <cell r="D3417">
            <v>2924.92</v>
          </cell>
        </row>
        <row r="3418">
          <cell r="A3418">
            <v>43644</v>
          </cell>
          <cell r="B3418">
            <v>5908.25</v>
          </cell>
          <cell r="C3418">
            <v>5249.16</v>
          </cell>
          <cell r="D3418">
            <v>2941.76</v>
          </cell>
        </row>
        <row r="3419">
          <cell r="A3419">
            <v>43647</v>
          </cell>
          <cell r="B3419">
            <v>5953.63</v>
          </cell>
          <cell r="C3419">
            <v>5289.47</v>
          </cell>
          <cell r="D3419">
            <v>2964.33</v>
          </cell>
        </row>
        <row r="3420">
          <cell r="A3420">
            <v>43648</v>
          </cell>
          <cell r="B3420">
            <v>5971.29</v>
          </cell>
          <cell r="C3420">
            <v>5305.1</v>
          </cell>
          <cell r="D3420">
            <v>2973.01</v>
          </cell>
        </row>
        <row r="3421">
          <cell r="A3421">
            <v>43649</v>
          </cell>
          <cell r="B3421">
            <v>6018.54</v>
          </cell>
          <cell r="C3421">
            <v>5346.7</v>
          </cell>
          <cell r="D3421">
            <v>2995.82</v>
          </cell>
        </row>
        <row r="3422">
          <cell r="A3422">
            <v>43651</v>
          </cell>
          <cell r="B3422">
            <v>6008.31</v>
          </cell>
          <cell r="C3422">
            <v>5337.43</v>
          </cell>
          <cell r="D3422">
            <v>2990.41</v>
          </cell>
        </row>
        <row r="3423">
          <cell r="A3423">
            <v>43654</v>
          </cell>
          <cell r="B3423">
            <v>5979.34</v>
          </cell>
          <cell r="C3423">
            <v>5311.67</v>
          </cell>
          <cell r="D3423">
            <v>2975.95</v>
          </cell>
        </row>
        <row r="3424">
          <cell r="A3424">
            <v>43655</v>
          </cell>
          <cell r="B3424">
            <v>5988.48</v>
          </cell>
          <cell r="C3424">
            <v>5319.33</v>
          </cell>
          <cell r="D3424">
            <v>2979.63</v>
          </cell>
        </row>
        <row r="3425">
          <cell r="A3425">
            <v>43656</v>
          </cell>
          <cell r="B3425">
            <v>6015.56</v>
          </cell>
          <cell r="C3425">
            <v>5343.37</v>
          </cell>
          <cell r="D3425">
            <v>2993.07</v>
          </cell>
        </row>
        <row r="3426">
          <cell r="A3426">
            <v>43657</v>
          </cell>
          <cell r="B3426">
            <v>6029.33</v>
          </cell>
          <cell r="C3426">
            <v>5355.59</v>
          </cell>
          <cell r="D3426">
            <v>2999.91</v>
          </cell>
        </row>
        <row r="3427">
          <cell r="A3427">
            <v>43658</v>
          </cell>
          <cell r="B3427">
            <v>6057.77</v>
          </cell>
          <cell r="C3427">
            <v>5380.7</v>
          </cell>
          <cell r="D3427">
            <v>3013.77</v>
          </cell>
        </row>
        <row r="3428">
          <cell r="A3428">
            <v>43661</v>
          </cell>
          <cell r="B3428">
            <v>6058.83</v>
          </cell>
          <cell r="C3428">
            <v>5381.64</v>
          </cell>
          <cell r="D3428">
            <v>3014.3</v>
          </cell>
        </row>
        <row r="3429">
          <cell r="A3429">
            <v>43662</v>
          </cell>
          <cell r="B3429">
            <v>6038.4</v>
          </cell>
          <cell r="C3429">
            <v>5363.44</v>
          </cell>
          <cell r="D3429">
            <v>3004.04</v>
          </cell>
        </row>
        <row r="3430">
          <cell r="A3430">
            <v>43663</v>
          </cell>
          <cell r="B3430">
            <v>5999.05</v>
          </cell>
          <cell r="C3430">
            <v>5328.47</v>
          </cell>
          <cell r="D3430">
            <v>2984.42</v>
          </cell>
        </row>
        <row r="3431">
          <cell r="A3431">
            <v>43664</v>
          </cell>
          <cell r="B3431">
            <v>6021.15</v>
          </cell>
          <cell r="C3431">
            <v>5347.94</v>
          </cell>
          <cell r="D3431">
            <v>2995.11</v>
          </cell>
        </row>
        <row r="3432">
          <cell r="A3432">
            <v>43665</v>
          </cell>
          <cell r="B3432">
            <v>5984.2</v>
          </cell>
          <cell r="C3432">
            <v>5315.05</v>
          </cell>
          <cell r="D3432">
            <v>2976.61</v>
          </cell>
        </row>
        <row r="3433">
          <cell r="A3433">
            <v>43668</v>
          </cell>
          <cell r="B3433">
            <v>6001.28</v>
          </cell>
          <cell r="C3433">
            <v>5330.18</v>
          </cell>
          <cell r="D3433">
            <v>2985.03</v>
          </cell>
        </row>
        <row r="3434">
          <cell r="A3434">
            <v>43669</v>
          </cell>
          <cell r="B3434">
            <v>6042.48</v>
          </cell>
          <cell r="C3434">
            <v>5366.75</v>
          </cell>
          <cell r="D3434">
            <v>3005.47</v>
          </cell>
        </row>
        <row r="3435">
          <cell r="A3435">
            <v>43670</v>
          </cell>
          <cell r="B3435">
            <v>6071.05</v>
          </cell>
          <cell r="C3435">
            <v>5392.05</v>
          </cell>
          <cell r="D3435">
            <v>3019.56</v>
          </cell>
        </row>
        <row r="3436">
          <cell r="A3436">
            <v>43671</v>
          </cell>
          <cell r="B3436">
            <v>6039.13</v>
          </cell>
          <cell r="C3436">
            <v>5363.7</v>
          </cell>
          <cell r="D3436">
            <v>3003.67</v>
          </cell>
        </row>
        <row r="3437">
          <cell r="A3437">
            <v>43672</v>
          </cell>
          <cell r="B3437">
            <v>6083.82</v>
          </cell>
          <cell r="C3437">
            <v>5403.37</v>
          </cell>
          <cell r="D3437">
            <v>3025.86</v>
          </cell>
        </row>
        <row r="3438">
          <cell r="A3438">
            <v>43675</v>
          </cell>
          <cell r="B3438">
            <v>6074.01</v>
          </cell>
          <cell r="C3438">
            <v>5394.65</v>
          </cell>
          <cell r="D3438">
            <v>3020.97</v>
          </cell>
        </row>
        <row r="3439">
          <cell r="A3439">
            <v>43676</v>
          </cell>
          <cell r="B3439">
            <v>6058.96</v>
          </cell>
          <cell r="C3439">
            <v>5381.12</v>
          </cell>
          <cell r="D3439">
            <v>3013.18</v>
          </cell>
        </row>
        <row r="3440">
          <cell r="A3440">
            <v>43677</v>
          </cell>
          <cell r="B3440">
            <v>5993.17</v>
          </cell>
          <cell r="C3440">
            <v>5322.65</v>
          </cell>
          <cell r="D3440">
            <v>2980.38</v>
          </cell>
        </row>
        <row r="3441">
          <cell r="A3441">
            <v>43678</v>
          </cell>
          <cell r="B3441">
            <v>5939.83</v>
          </cell>
          <cell r="C3441">
            <v>5275.12</v>
          </cell>
          <cell r="D3441">
            <v>2953.56</v>
          </cell>
        </row>
        <row r="3442">
          <cell r="A3442">
            <v>43679</v>
          </cell>
          <cell r="B3442">
            <v>5897.1</v>
          </cell>
          <cell r="C3442">
            <v>5237.03</v>
          </cell>
          <cell r="D3442">
            <v>2932.05</v>
          </cell>
        </row>
        <row r="3443">
          <cell r="A3443">
            <v>43682</v>
          </cell>
          <cell r="B3443">
            <v>5721.8</v>
          </cell>
          <cell r="C3443">
            <v>5081.2700000000004</v>
          </cell>
          <cell r="D3443">
            <v>2844.74</v>
          </cell>
        </row>
        <row r="3444">
          <cell r="A3444">
            <v>43683</v>
          </cell>
          <cell r="B3444">
            <v>5796.72</v>
          </cell>
          <cell r="C3444">
            <v>5147.6899999999996</v>
          </cell>
          <cell r="D3444">
            <v>2881.77</v>
          </cell>
        </row>
        <row r="3445">
          <cell r="A3445">
            <v>43684</v>
          </cell>
          <cell r="B3445">
            <v>5801.32</v>
          </cell>
          <cell r="C3445">
            <v>5151.74</v>
          </cell>
          <cell r="D3445">
            <v>2883.98</v>
          </cell>
        </row>
        <row r="3446">
          <cell r="A3446">
            <v>43685</v>
          </cell>
          <cell r="B3446">
            <v>5911.66</v>
          </cell>
          <cell r="C3446">
            <v>5249.32</v>
          </cell>
          <cell r="D3446">
            <v>2938.09</v>
          </cell>
        </row>
        <row r="3447">
          <cell r="A3447">
            <v>43686</v>
          </cell>
          <cell r="B3447">
            <v>5873.47</v>
          </cell>
          <cell r="C3447">
            <v>5215.16</v>
          </cell>
          <cell r="D3447">
            <v>2918.65</v>
          </cell>
        </row>
        <row r="3448">
          <cell r="A3448">
            <v>43689</v>
          </cell>
          <cell r="B3448">
            <v>5804.25</v>
          </cell>
          <cell r="C3448">
            <v>5153.43</v>
          </cell>
          <cell r="D3448">
            <v>2883.75</v>
          </cell>
        </row>
        <row r="3449">
          <cell r="A3449">
            <v>43690</v>
          </cell>
          <cell r="B3449">
            <v>5890.16</v>
          </cell>
          <cell r="C3449">
            <v>5229.6499999999996</v>
          </cell>
          <cell r="D3449">
            <v>2926.32</v>
          </cell>
        </row>
        <row r="3450">
          <cell r="A3450">
            <v>43691</v>
          </cell>
          <cell r="B3450">
            <v>5719.3</v>
          </cell>
          <cell r="C3450">
            <v>5077.5</v>
          </cell>
          <cell r="D3450">
            <v>2840.6</v>
          </cell>
        </row>
        <row r="3451">
          <cell r="A3451">
            <v>43692</v>
          </cell>
          <cell r="B3451">
            <v>5734.49</v>
          </cell>
          <cell r="C3451">
            <v>5090.6899999999996</v>
          </cell>
          <cell r="D3451">
            <v>2847.6</v>
          </cell>
        </row>
        <row r="3452">
          <cell r="A3452">
            <v>43693</v>
          </cell>
          <cell r="B3452">
            <v>5818.17</v>
          </cell>
          <cell r="C3452">
            <v>5164.72</v>
          </cell>
          <cell r="D3452">
            <v>2888.68</v>
          </cell>
        </row>
        <row r="3453">
          <cell r="A3453">
            <v>43696</v>
          </cell>
          <cell r="B3453">
            <v>5888.93</v>
          </cell>
          <cell r="C3453">
            <v>5227.45</v>
          </cell>
          <cell r="D3453">
            <v>2923.65</v>
          </cell>
        </row>
        <row r="3454">
          <cell r="A3454">
            <v>43697</v>
          </cell>
          <cell r="B3454">
            <v>5842.76</v>
          </cell>
          <cell r="C3454">
            <v>5186.3500000000004</v>
          </cell>
          <cell r="D3454">
            <v>2900.51</v>
          </cell>
        </row>
        <row r="3455">
          <cell r="A3455">
            <v>43698</v>
          </cell>
          <cell r="B3455">
            <v>5891.19</v>
          </cell>
          <cell r="C3455">
            <v>5229.2700000000004</v>
          </cell>
          <cell r="D3455">
            <v>2924.43</v>
          </cell>
        </row>
        <row r="3456">
          <cell r="A3456">
            <v>43699</v>
          </cell>
          <cell r="B3456">
            <v>5888.37</v>
          </cell>
          <cell r="C3456">
            <v>5226.7299999999996</v>
          </cell>
          <cell r="D3456">
            <v>2922.95</v>
          </cell>
        </row>
        <row r="3457">
          <cell r="A3457">
            <v>43700</v>
          </cell>
          <cell r="B3457">
            <v>5735.63</v>
          </cell>
          <cell r="C3457">
            <v>5091.1400000000003</v>
          </cell>
          <cell r="D3457">
            <v>2847.11</v>
          </cell>
        </row>
        <row r="3458">
          <cell r="A3458">
            <v>43703</v>
          </cell>
          <cell r="B3458">
            <v>5799.34</v>
          </cell>
          <cell r="C3458">
            <v>5147.5</v>
          </cell>
          <cell r="D3458">
            <v>2878.38</v>
          </cell>
        </row>
        <row r="3459">
          <cell r="A3459">
            <v>43704</v>
          </cell>
          <cell r="B3459">
            <v>5780.79</v>
          </cell>
          <cell r="C3459">
            <v>5131.0200000000004</v>
          </cell>
          <cell r="D3459">
            <v>2869.16</v>
          </cell>
        </row>
        <row r="3460">
          <cell r="A3460">
            <v>43705</v>
          </cell>
          <cell r="B3460">
            <v>5818.84</v>
          </cell>
          <cell r="C3460">
            <v>5164.74</v>
          </cell>
          <cell r="D3460">
            <v>2887.94</v>
          </cell>
        </row>
        <row r="3461">
          <cell r="A3461">
            <v>43706</v>
          </cell>
          <cell r="B3461">
            <v>5893.65</v>
          </cell>
          <cell r="C3461">
            <v>5230.88</v>
          </cell>
          <cell r="D3461">
            <v>2924.58</v>
          </cell>
        </row>
        <row r="3462">
          <cell r="A3462">
            <v>43707</v>
          </cell>
          <cell r="B3462">
            <v>5898.23</v>
          </cell>
          <cell r="C3462">
            <v>5234.74</v>
          </cell>
          <cell r="D3462">
            <v>2926.46</v>
          </cell>
        </row>
        <row r="3463">
          <cell r="A3463">
            <v>43711</v>
          </cell>
          <cell r="B3463">
            <v>5857.95</v>
          </cell>
          <cell r="C3463">
            <v>5198.88</v>
          </cell>
          <cell r="D3463">
            <v>2906.27</v>
          </cell>
        </row>
        <row r="3464">
          <cell r="A3464">
            <v>43712</v>
          </cell>
          <cell r="B3464">
            <v>5921.96</v>
          </cell>
          <cell r="C3464">
            <v>5255.55</v>
          </cell>
          <cell r="D3464">
            <v>2937.78</v>
          </cell>
        </row>
        <row r="3465">
          <cell r="A3465">
            <v>43713</v>
          </cell>
          <cell r="B3465">
            <v>6000.38</v>
          </cell>
          <cell r="C3465">
            <v>5324.78</v>
          </cell>
          <cell r="D3465">
            <v>2976</v>
          </cell>
        </row>
        <row r="3466">
          <cell r="A3466">
            <v>43714</v>
          </cell>
          <cell r="B3466">
            <v>6006.07</v>
          </cell>
          <cell r="C3466">
            <v>5329.77</v>
          </cell>
          <cell r="D3466">
            <v>2978.71</v>
          </cell>
        </row>
        <row r="3467">
          <cell r="A3467">
            <v>43717</v>
          </cell>
          <cell r="B3467">
            <v>6005.99</v>
          </cell>
          <cell r="C3467">
            <v>5329.57</v>
          </cell>
          <cell r="D3467">
            <v>2978.43</v>
          </cell>
        </row>
        <row r="3468">
          <cell r="A3468">
            <v>43718</v>
          </cell>
          <cell r="B3468">
            <v>6008.12</v>
          </cell>
          <cell r="C3468">
            <v>5331.41</v>
          </cell>
          <cell r="D3468">
            <v>2979.39</v>
          </cell>
        </row>
        <row r="3469">
          <cell r="A3469">
            <v>43719</v>
          </cell>
          <cell r="B3469">
            <v>6051.87</v>
          </cell>
          <cell r="C3469">
            <v>5370.14</v>
          </cell>
          <cell r="D3469">
            <v>3000.93</v>
          </cell>
        </row>
        <row r="3470">
          <cell r="A3470">
            <v>43720</v>
          </cell>
          <cell r="B3470">
            <v>6070.23</v>
          </cell>
          <cell r="C3470">
            <v>5386.19</v>
          </cell>
          <cell r="D3470">
            <v>3009.57</v>
          </cell>
        </row>
        <row r="3471">
          <cell r="A3471">
            <v>43721</v>
          </cell>
          <cell r="B3471">
            <v>6067.5</v>
          </cell>
          <cell r="C3471">
            <v>5383.33</v>
          </cell>
          <cell r="D3471">
            <v>3007.39</v>
          </cell>
        </row>
        <row r="3472">
          <cell r="A3472">
            <v>43724</v>
          </cell>
          <cell r="B3472">
            <v>6048.67</v>
          </cell>
          <cell r="C3472">
            <v>5366.56</v>
          </cell>
          <cell r="D3472">
            <v>2997.96</v>
          </cell>
        </row>
        <row r="3473">
          <cell r="A3473">
            <v>43725</v>
          </cell>
          <cell r="B3473">
            <v>6064.31</v>
          </cell>
          <cell r="C3473">
            <v>5380.43</v>
          </cell>
          <cell r="D3473">
            <v>3005.7</v>
          </cell>
        </row>
        <row r="3474">
          <cell r="A3474">
            <v>43726</v>
          </cell>
          <cell r="B3474">
            <v>6066.42</v>
          </cell>
          <cell r="C3474">
            <v>5382.3</v>
          </cell>
          <cell r="D3474">
            <v>3006.73</v>
          </cell>
        </row>
        <row r="3475">
          <cell r="A3475">
            <v>43727</v>
          </cell>
          <cell r="B3475">
            <v>6066.9</v>
          </cell>
          <cell r="C3475">
            <v>5382.63</v>
          </cell>
          <cell r="D3475">
            <v>3006.79</v>
          </cell>
        </row>
        <row r="3476">
          <cell r="A3476">
            <v>43728</v>
          </cell>
          <cell r="B3476">
            <v>6037.5</v>
          </cell>
          <cell r="C3476">
            <v>5356.46</v>
          </cell>
          <cell r="D3476">
            <v>2992.07</v>
          </cell>
        </row>
        <row r="3477">
          <cell r="A3477">
            <v>43731</v>
          </cell>
          <cell r="B3477">
            <v>6036.9</v>
          </cell>
          <cell r="C3477">
            <v>5355.94</v>
          </cell>
          <cell r="D3477">
            <v>2991.78</v>
          </cell>
        </row>
        <row r="3478">
          <cell r="A3478">
            <v>43732</v>
          </cell>
          <cell r="B3478">
            <v>5986.58</v>
          </cell>
          <cell r="C3478">
            <v>5311.16</v>
          </cell>
          <cell r="D3478">
            <v>2966.6</v>
          </cell>
        </row>
        <row r="3479">
          <cell r="A3479">
            <v>43733</v>
          </cell>
          <cell r="B3479">
            <v>6023.46</v>
          </cell>
          <cell r="C3479">
            <v>5343.87</v>
          </cell>
          <cell r="D3479">
            <v>2984.87</v>
          </cell>
        </row>
        <row r="3480">
          <cell r="A3480">
            <v>43734</v>
          </cell>
          <cell r="B3480">
            <v>6009.19</v>
          </cell>
          <cell r="C3480">
            <v>5331.12</v>
          </cell>
          <cell r="D3480">
            <v>2977.62</v>
          </cell>
        </row>
        <row r="3481">
          <cell r="A3481">
            <v>43735</v>
          </cell>
          <cell r="B3481">
            <v>5978.11</v>
          </cell>
          <cell r="C3481">
            <v>5303.32</v>
          </cell>
          <cell r="D3481">
            <v>2961.79</v>
          </cell>
        </row>
        <row r="3482">
          <cell r="A3482">
            <v>43738</v>
          </cell>
          <cell r="B3482">
            <v>6008.59</v>
          </cell>
          <cell r="C3482">
            <v>5330.28</v>
          </cell>
          <cell r="D3482">
            <v>2976.74</v>
          </cell>
        </row>
        <row r="3483">
          <cell r="A3483">
            <v>43739</v>
          </cell>
          <cell r="B3483">
            <v>5935.2</v>
          </cell>
          <cell r="C3483">
            <v>5265.1</v>
          </cell>
          <cell r="D3483">
            <v>2940.25</v>
          </cell>
        </row>
        <row r="3484">
          <cell r="A3484">
            <v>43740</v>
          </cell>
          <cell r="B3484">
            <v>5828.93</v>
          </cell>
          <cell r="C3484">
            <v>5170.83</v>
          </cell>
          <cell r="D3484">
            <v>2887.61</v>
          </cell>
        </row>
        <row r="3485">
          <cell r="A3485">
            <v>43741</v>
          </cell>
          <cell r="B3485">
            <v>5876.86</v>
          </cell>
          <cell r="C3485">
            <v>5212.97</v>
          </cell>
          <cell r="D3485">
            <v>2910.63</v>
          </cell>
        </row>
        <row r="3486">
          <cell r="A3486">
            <v>43742</v>
          </cell>
          <cell r="B3486">
            <v>5960.43</v>
          </cell>
          <cell r="C3486">
            <v>5287.09</v>
          </cell>
          <cell r="D3486">
            <v>2952.01</v>
          </cell>
        </row>
        <row r="3487">
          <cell r="A3487">
            <v>43745</v>
          </cell>
          <cell r="B3487">
            <v>5933.76</v>
          </cell>
          <cell r="C3487">
            <v>5263.42</v>
          </cell>
          <cell r="D3487">
            <v>2938.79</v>
          </cell>
        </row>
        <row r="3488">
          <cell r="A3488">
            <v>43746</v>
          </cell>
          <cell r="B3488">
            <v>5841.57</v>
          </cell>
          <cell r="C3488">
            <v>5181.6099999999997</v>
          </cell>
          <cell r="D3488">
            <v>2893.06</v>
          </cell>
        </row>
        <row r="3489">
          <cell r="A3489">
            <v>43747</v>
          </cell>
          <cell r="B3489">
            <v>5896.6</v>
          </cell>
          <cell r="C3489">
            <v>5229.93</v>
          </cell>
          <cell r="D3489">
            <v>2919.4</v>
          </cell>
        </row>
        <row r="3490">
          <cell r="A3490">
            <v>43748</v>
          </cell>
          <cell r="B3490">
            <v>5934.56</v>
          </cell>
          <cell r="C3490">
            <v>5263.57</v>
          </cell>
          <cell r="D3490">
            <v>2938.13</v>
          </cell>
        </row>
        <row r="3491">
          <cell r="A3491">
            <v>43749</v>
          </cell>
          <cell r="B3491">
            <v>6000.04</v>
          </cell>
          <cell r="C3491">
            <v>5321.49</v>
          </cell>
          <cell r="D3491">
            <v>2970.27</v>
          </cell>
        </row>
        <row r="3492">
          <cell r="A3492">
            <v>43752</v>
          </cell>
          <cell r="B3492">
            <v>5991.72</v>
          </cell>
          <cell r="C3492">
            <v>5314.11</v>
          </cell>
          <cell r="D3492">
            <v>2966.15</v>
          </cell>
        </row>
        <row r="3493">
          <cell r="A3493">
            <v>43753</v>
          </cell>
          <cell r="B3493">
            <v>6051.39</v>
          </cell>
          <cell r="C3493">
            <v>5367.03</v>
          </cell>
          <cell r="D3493">
            <v>2995.68</v>
          </cell>
        </row>
        <row r="3494">
          <cell r="A3494">
            <v>43754</v>
          </cell>
          <cell r="B3494">
            <v>6039.69</v>
          </cell>
          <cell r="C3494">
            <v>5356.55</v>
          </cell>
          <cell r="D3494">
            <v>2989.69</v>
          </cell>
        </row>
        <row r="3495">
          <cell r="A3495">
            <v>43755</v>
          </cell>
          <cell r="B3495">
            <v>6056.84</v>
          </cell>
          <cell r="C3495">
            <v>5371.64</v>
          </cell>
          <cell r="D3495">
            <v>2997.95</v>
          </cell>
        </row>
        <row r="3496">
          <cell r="A3496">
            <v>43756</v>
          </cell>
          <cell r="B3496">
            <v>6033.26</v>
          </cell>
          <cell r="C3496">
            <v>5350.68</v>
          </cell>
          <cell r="D3496">
            <v>2986.2</v>
          </cell>
        </row>
        <row r="3497">
          <cell r="A3497">
            <v>43759</v>
          </cell>
          <cell r="B3497">
            <v>6074.9</v>
          </cell>
          <cell r="C3497">
            <v>5387.56</v>
          </cell>
          <cell r="D3497">
            <v>3006.72</v>
          </cell>
        </row>
        <row r="3498">
          <cell r="A3498">
            <v>43760</v>
          </cell>
          <cell r="B3498">
            <v>6053.42</v>
          </cell>
          <cell r="C3498">
            <v>5368.45</v>
          </cell>
          <cell r="D3498">
            <v>2995.99</v>
          </cell>
        </row>
        <row r="3499">
          <cell r="A3499">
            <v>43761</v>
          </cell>
          <cell r="B3499">
            <v>6070.87</v>
          </cell>
          <cell r="C3499">
            <v>5383.88</v>
          </cell>
          <cell r="D3499">
            <v>3004.52</v>
          </cell>
        </row>
        <row r="3500">
          <cell r="A3500">
            <v>43762</v>
          </cell>
          <cell r="B3500">
            <v>6082.54</v>
          </cell>
          <cell r="C3500">
            <v>5394.22</v>
          </cell>
          <cell r="D3500">
            <v>3010.29</v>
          </cell>
        </row>
        <row r="3501">
          <cell r="A3501">
            <v>43763</v>
          </cell>
          <cell r="B3501">
            <v>6107.42</v>
          </cell>
          <cell r="C3501">
            <v>5416.26</v>
          </cell>
          <cell r="D3501">
            <v>3022.55</v>
          </cell>
        </row>
        <row r="3502">
          <cell r="A3502">
            <v>43766</v>
          </cell>
          <cell r="B3502">
            <v>6141.51</v>
          </cell>
          <cell r="C3502">
            <v>5446.49</v>
          </cell>
          <cell r="D3502">
            <v>3039.42</v>
          </cell>
        </row>
        <row r="3503">
          <cell r="A3503">
            <v>43767</v>
          </cell>
          <cell r="B3503">
            <v>6136.47</v>
          </cell>
          <cell r="C3503">
            <v>5442</v>
          </cell>
          <cell r="D3503">
            <v>3036.89</v>
          </cell>
        </row>
        <row r="3504">
          <cell r="A3504">
            <v>43768</v>
          </cell>
          <cell r="B3504">
            <v>6156.93</v>
          </cell>
          <cell r="C3504">
            <v>5460.01</v>
          </cell>
          <cell r="D3504">
            <v>3046.77</v>
          </cell>
        </row>
        <row r="3505">
          <cell r="A3505">
            <v>43769</v>
          </cell>
          <cell r="B3505">
            <v>6138.73</v>
          </cell>
          <cell r="C3505">
            <v>5443.77</v>
          </cell>
          <cell r="D3505">
            <v>3037.56</v>
          </cell>
        </row>
        <row r="3506">
          <cell r="A3506">
            <v>43770</v>
          </cell>
          <cell r="B3506">
            <v>6198.59</v>
          </cell>
          <cell r="C3506">
            <v>5496.7</v>
          </cell>
          <cell r="D3506">
            <v>3066.91</v>
          </cell>
        </row>
        <row r="3507">
          <cell r="A3507">
            <v>43773</v>
          </cell>
          <cell r="B3507">
            <v>6221.63</v>
          </cell>
          <cell r="C3507">
            <v>5517.11</v>
          </cell>
          <cell r="D3507">
            <v>3078.27</v>
          </cell>
        </row>
        <row r="3508">
          <cell r="A3508">
            <v>43774</v>
          </cell>
          <cell r="B3508">
            <v>6214.28</v>
          </cell>
          <cell r="C3508">
            <v>5510.58</v>
          </cell>
          <cell r="D3508">
            <v>3074.62</v>
          </cell>
        </row>
        <row r="3509">
          <cell r="A3509">
            <v>43775</v>
          </cell>
          <cell r="B3509">
            <v>6219.1</v>
          </cell>
          <cell r="C3509">
            <v>5514.73</v>
          </cell>
          <cell r="D3509">
            <v>3076.78</v>
          </cell>
        </row>
        <row r="3510">
          <cell r="A3510">
            <v>43776</v>
          </cell>
          <cell r="B3510">
            <v>6238.99</v>
          </cell>
          <cell r="C3510">
            <v>5531.6</v>
          </cell>
          <cell r="D3510">
            <v>3085.18</v>
          </cell>
        </row>
        <row r="3511">
          <cell r="A3511">
            <v>43777</v>
          </cell>
          <cell r="B3511">
            <v>6256.11</v>
          </cell>
          <cell r="C3511">
            <v>5546.48</v>
          </cell>
          <cell r="D3511">
            <v>3093.08</v>
          </cell>
        </row>
        <row r="3512">
          <cell r="A3512">
            <v>43780</v>
          </cell>
          <cell r="B3512">
            <v>6243.81</v>
          </cell>
          <cell r="C3512">
            <v>5535.58</v>
          </cell>
          <cell r="D3512">
            <v>3087.01</v>
          </cell>
        </row>
        <row r="3513">
          <cell r="A3513">
            <v>43781</v>
          </cell>
          <cell r="B3513">
            <v>6253.91</v>
          </cell>
          <cell r="C3513">
            <v>5544.45</v>
          </cell>
          <cell r="D3513">
            <v>3091.84</v>
          </cell>
        </row>
        <row r="3514">
          <cell r="A3514">
            <v>43782</v>
          </cell>
          <cell r="B3514">
            <v>6258.58</v>
          </cell>
          <cell r="C3514">
            <v>5548.53</v>
          </cell>
          <cell r="D3514">
            <v>3094.04</v>
          </cell>
        </row>
        <row r="3515">
          <cell r="A3515">
            <v>43783</v>
          </cell>
          <cell r="B3515">
            <v>6265.42</v>
          </cell>
          <cell r="C3515">
            <v>5554.17</v>
          </cell>
          <cell r="D3515">
            <v>3096.63</v>
          </cell>
        </row>
        <row r="3516">
          <cell r="A3516">
            <v>43784</v>
          </cell>
          <cell r="B3516">
            <v>6314.74</v>
          </cell>
          <cell r="C3516">
            <v>5597.59</v>
          </cell>
          <cell r="D3516">
            <v>3120.46</v>
          </cell>
        </row>
        <row r="3517">
          <cell r="A3517">
            <v>43787</v>
          </cell>
          <cell r="B3517">
            <v>6318.02</v>
          </cell>
          <cell r="C3517">
            <v>5600.47</v>
          </cell>
          <cell r="D3517">
            <v>3122.03</v>
          </cell>
        </row>
        <row r="3518">
          <cell r="A3518">
            <v>43788</v>
          </cell>
          <cell r="B3518">
            <v>6314.66</v>
          </cell>
          <cell r="C3518">
            <v>5597.39</v>
          </cell>
          <cell r="D3518">
            <v>3120.18</v>
          </cell>
        </row>
        <row r="3519">
          <cell r="A3519">
            <v>43789</v>
          </cell>
          <cell r="B3519">
            <v>6292.17</v>
          </cell>
          <cell r="C3519">
            <v>5577.13</v>
          </cell>
          <cell r="D3519">
            <v>3108.46</v>
          </cell>
        </row>
        <row r="3520">
          <cell r="A3520">
            <v>43790</v>
          </cell>
          <cell r="B3520">
            <v>6282.59</v>
          </cell>
          <cell r="C3520">
            <v>5568.54</v>
          </cell>
          <cell r="D3520">
            <v>3103.54</v>
          </cell>
        </row>
        <row r="3521">
          <cell r="A3521">
            <v>43791</v>
          </cell>
          <cell r="B3521">
            <v>6296.34</v>
          </cell>
          <cell r="C3521">
            <v>5580.7</v>
          </cell>
          <cell r="D3521">
            <v>3110.29</v>
          </cell>
        </row>
        <row r="3522">
          <cell r="A3522">
            <v>43794</v>
          </cell>
          <cell r="B3522">
            <v>6344.36</v>
          </cell>
          <cell r="C3522">
            <v>5623.07</v>
          </cell>
          <cell r="D3522">
            <v>3133.64</v>
          </cell>
        </row>
        <row r="3523">
          <cell r="A3523">
            <v>43795</v>
          </cell>
          <cell r="B3523">
            <v>6358.46</v>
          </cell>
          <cell r="C3523">
            <v>5635.51</v>
          </cell>
          <cell r="D3523">
            <v>3140.52</v>
          </cell>
        </row>
        <row r="3524">
          <cell r="A3524">
            <v>43796</v>
          </cell>
          <cell r="B3524">
            <v>6385.76</v>
          </cell>
          <cell r="C3524">
            <v>5659.51</v>
          </cell>
          <cell r="D3524">
            <v>3153.63</v>
          </cell>
        </row>
        <row r="3525">
          <cell r="A3525">
            <v>43798</v>
          </cell>
          <cell r="B3525">
            <v>6361.56</v>
          </cell>
          <cell r="C3525">
            <v>5637.69</v>
          </cell>
          <cell r="D3525">
            <v>3140.98</v>
          </cell>
        </row>
        <row r="3526">
          <cell r="A3526">
            <v>43801</v>
          </cell>
          <cell r="B3526">
            <v>6306.88</v>
          </cell>
          <cell r="C3526">
            <v>5589.17</v>
          </cell>
          <cell r="D3526">
            <v>3113.87</v>
          </cell>
        </row>
        <row r="3527">
          <cell r="A3527">
            <v>43802</v>
          </cell>
          <cell r="B3527">
            <v>6265.22</v>
          </cell>
          <cell r="C3527">
            <v>5552.19</v>
          </cell>
          <cell r="D3527">
            <v>3093.2</v>
          </cell>
        </row>
        <row r="3528">
          <cell r="A3528">
            <v>43803</v>
          </cell>
          <cell r="B3528">
            <v>6305.49</v>
          </cell>
          <cell r="C3528">
            <v>5587.71</v>
          </cell>
          <cell r="D3528">
            <v>3112.76</v>
          </cell>
        </row>
        <row r="3529">
          <cell r="A3529">
            <v>43804</v>
          </cell>
          <cell r="B3529">
            <v>6316.69</v>
          </cell>
          <cell r="C3529">
            <v>5597.17</v>
          </cell>
          <cell r="D3529">
            <v>3117.43</v>
          </cell>
        </row>
        <row r="3530">
          <cell r="A3530">
            <v>43805</v>
          </cell>
          <cell r="B3530">
            <v>6374.7</v>
          </cell>
          <cell r="C3530">
            <v>5648.49</v>
          </cell>
          <cell r="D3530">
            <v>3145.91</v>
          </cell>
        </row>
        <row r="3531">
          <cell r="A3531">
            <v>43808</v>
          </cell>
          <cell r="B3531">
            <v>6355.07</v>
          </cell>
          <cell r="C3531">
            <v>5630.96</v>
          </cell>
          <cell r="D3531">
            <v>3135.96</v>
          </cell>
        </row>
        <row r="3532">
          <cell r="A3532">
            <v>43809</v>
          </cell>
          <cell r="B3532">
            <v>6348.31</v>
          </cell>
          <cell r="C3532">
            <v>5624.91</v>
          </cell>
          <cell r="D3532">
            <v>3132.52</v>
          </cell>
        </row>
        <row r="3533">
          <cell r="A3533">
            <v>43810</v>
          </cell>
          <cell r="B3533">
            <v>6366.84</v>
          </cell>
          <cell r="C3533">
            <v>5641.31</v>
          </cell>
          <cell r="D3533">
            <v>3141.63</v>
          </cell>
        </row>
        <row r="3534">
          <cell r="A3534">
            <v>43811</v>
          </cell>
          <cell r="B3534">
            <v>6422.35</v>
          </cell>
          <cell r="C3534">
            <v>5690.25</v>
          </cell>
          <cell r="D3534">
            <v>3168.57</v>
          </cell>
        </row>
        <row r="3535">
          <cell r="A3535">
            <v>43812</v>
          </cell>
          <cell r="B3535">
            <v>6423.93</v>
          </cell>
          <cell r="C3535">
            <v>5691.35</v>
          </cell>
          <cell r="D3535">
            <v>3168.8</v>
          </cell>
        </row>
        <row r="3536">
          <cell r="A3536">
            <v>43815</v>
          </cell>
          <cell r="B3536">
            <v>6470.03</v>
          </cell>
          <cell r="C3536">
            <v>5732.15</v>
          </cell>
          <cell r="D3536">
            <v>3191.45</v>
          </cell>
        </row>
        <row r="3537">
          <cell r="A3537">
            <v>43816</v>
          </cell>
          <cell r="B3537">
            <v>6472.24</v>
          </cell>
          <cell r="C3537">
            <v>5734.1</v>
          </cell>
          <cell r="D3537">
            <v>3192.52</v>
          </cell>
        </row>
        <row r="3538">
          <cell r="A3538">
            <v>43817</v>
          </cell>
          <cell r="B3538">
            <v>6470</v>
          </cell>
          <cell r="C3538">
            <v>5731.96</v>
          </cell>
          <cell r="D3538">
            <v>3191.14</v>
          </cell>
        </row>
        <row r="3539">
          <cell r="A3539">
            <v>43818</v>
          </cell>
          <cell r="B3539">
            <v>6499.26</v>
          </cell>
          <cell r="C3539">
            <v>5757.78</v>
          </cell>
          <cell r="D3539">
            <v>3205.37</v>
          </cell>
        </row>
        <row r="3540">
          <cell r="A3540">
            <v>43819</v>
          </cell>
          <cell r="B3540">
            <v>6531.75</v>
          </cell>
          <cell r="C3540">
            <v>5786.47</v>
          </cell>
          <cell r="D3540">
            <v>3221.22</v>
          </cell>
        </row>
        <row r="3541">
          <cell r="A3541">
            <v>43822</v>
          </cell>
          <cell r="B3541">
            <v>6537.4</v>
          </cell>
          <cell r="C3541">
            <v>5791.47</v>
          </cell>
          <cell r="D3541">
            <v>3224.01</v>
          </cell>
        </row>
        <row r="3542">
          <cell r="A3542">
            <v>43823</v>
          </cell>
          <cell r="B3542">
            <v>6536.58</v>
          </cell>
          <cell r="C3542">
            <v>5790.63</v>
          </cell>
          <cell r="D3542">
            <v>3223.38</v>
          </cell>
        </row>
        <row r="3543">
          <cell r="A3543">
            <v>43825</v>
          </cell>
          <cell r="B3543">
            <v>6570.71</v>
          </cell>
          <cell r="C3543">
            <v>5820.7</v>
          </cell>
          <cell r="D3543">
            <v>3239.91</v>
          </cell>
        </row>
        <row r="3544">
          <cell r="A3544">
            <v>43826</v>
          </cell>
          <cell r="B3544">
            <v>6571.03</v>
          </cell>
          <cell r="C3544">
            <v>5820.96</v>
          </cell>
          <cell r="D3544">
            <v>3240.02</v>
          </cell>
        </row>
        <row r="3545">
          <cell r="A3545">
            <v>43829</v>
          </cell>
          <cell r="B3545">
            <v>6533.91</v>
          </cell>
          <cell r="C3545">
            <v>5787.84</v>
          </cell>
          <cell r="D3545">
            <v>3221.29</v>
          </cell>
        </row>
        <row r="3546">
          <cell r="A3546">
            <v>43830</v>
          </cell>
          <cell r="B3546">
            <v>6553.57</v>
          </cell>
          <cell r="C3546">
            <v>5805.15</v>
          </cell>
          <cell r="D3546">
            <v>3230.78</v>
          </cell>
        </row>
        <row r="3547">
          <cell r="A3547">
            <v>43832</v>
          </cell>
          <cell r="B3547">
            <v>6609.29</v>
          </cell>
          <cell r="C3547">
            <v>5854.29</v>
          </cell>
          <cell r="D3547">
            <v>3257.85</v>
          </cell>
        </row>
        <row r="3548">
          <cell r="A3548">
            <v>43833</v>
          </cell>
          <cell r="B3548">
            <v>6563.32</v>
          </cell>
          <cell r="C3548">
            <v>5813.39</v>
          </cell>
          <cell r="D3548">
            <v>3234.85</v>
          </cell>
        </row>
        <row r="3549">
          <cell r="A3549">
            <v>43836</v>
          </cell>
          <cell r="B3549">
            <v>6586.54</v>
          </cell>
          <cell r="C3549">
            <v>5833.95</v>
          </cell>
          <cell r="D3549">
            <v>3246.28</v>
          </cell>
        </row>
        <row r="3550">
          <cell r="A3550">
            <v>43837</v>
          </cell>
          <cell r="B3550">
            <v>6568.74</v>
          </cell>
          <cell r="C3550">
            <v>5818.01</v>
          </cell>
          <cell r="D3550">
            <v>3237.18</v>
          </cell>
        </row>
        <row r="3551">
          <cell r="A3551">
            <v>43838</v>
          </cell>
          <cell r="B3551">
            <v>6601.15</v>
          </cell>
          <cell r="C3551">
            <v>5846.66</v>
          </cell>
          <cell r="D3551">
            <v>3253.05</v>
          </cell>
        </row>
        <row r="3552">
          <cell r="A3552">
            <v>43839</v>
          </cell>
          <cell r="B3552">
            <v>6646.84</v>
          </cell>
          <cell r="C3552">
            <v>5886.66</v>
          </cell>
          <cell r="D3552">
            <v>3274.7</v>
          </cell>
        </row>
        <row r="3553">
          <cell r="A3553">
            <v>43840</v>
          </cell>
          <cell r="B3553">
            <v>6627.87</v>
          </cell>
          <cell r="C3553">
            <v>5869.86</v>
          </cell>
          <cell r="D3553">
            <v>3265.35</v>
          </cell>
        </row>
        <row r="3554">
          <cell r="A3554">
            <v>43843</v>
          </cell>
          <cell r="B3554">
            <v>6674.13</v>
          </cell>
          <cell r="C3554">
            <v>5910.82</v>
          </cell>
          <cell r="D3554">
            <v>3288.13</v>
          </cell>
        </row>
        <row r="3555">
          <cell r="A3555">
            <v>43844</v>
          </cell>
          <cell r="B3555">
            <v>6664.66</v>
          </cell>
          <cell r="C3555">
            <v>5902.27</v>
          </cell>
          <cell r="D3555">
            <v>3283.15</v>
          </cell>
        </row>
        <row r="3556">
          <cell r="A3556">
            <v>43845</v>
          </cell>
          <cell r="B3556">
            <v>6677.25</v>
          </cell>
          <cell r="C3556">
            <v>5913.38</v>
          </cell>
          <cell r="D3556">
            <v>3289.29</v>
          </cell>
        </row>
        <row r="3557">
          <cell r="A3557">
            <v>43846</v>
          </cell>
          <cell r="B3557">
            <v>6733.35</v>
          </cell>
          <cell r="C3557">
            <v>5963</v>
          </cell>
          <cell r="D3557">
            <v>3316.81</v>
          </cell>
        </row>
        <row r="3558">
          <cell r="A3558">
            <v>43847</v>
          </cell>
          <cell r="B3558">
            <v>6759.51</v>
          </cell>
          <cell r="C3558">
            <v>5986.13</v>
          </cell>
          <cell r="D3558">
            <v>3329.62</v>
          </cell>
        </row>
        <row r="3559">
          <cell r="A3559">
            <v>43851</v>
          </cell>
          <cell r="B3559">
            <v>6741.71</v>
          </cell>
          <cell r="C3559">
            <v>5970.33</v>
          </cell>
          <cell r="D3559">
            <v>3320.79</v>
          </cell>
        </row>
        <row r="3560">
          <cell r="A3560">
            <v>43852</v>
          </cell>
          <cell r="B3560">
            <v>6743.9</v>
          </cell>
          <cell r="C3560">
            <v>5972.2</v>
          </cell>
          <cell r="D3560">
            <v>3321.75</v>
          </cell>
        </row>
        <row r="3561">
          <cell r="A3561">
            <v>43853</v>
          </cell>
          <cell r="B3561">
            <v>6752.09</v>
          </cell>
          <cell r="C3561">
            <v>5979.32</v>
          </cell>
          <cell r="D3561">
            <v>3325.54</v>
          </cell>
        </row>
        <row r="3562">
          <cell r="A3562">
            <v>43854</v>
          </cell>
          <cell r="B3562">
            <v>6691.22</v>
          </cell>
          <cell r="C3562">
            <v>5925.37</v>
          </cell>
          <cell r="D3562">
            <v>3295.47</v>
          </cell>
        </row>
        <row r="3563">
          <cell r="A3563">
            <v>43857</v>
          </cell>
          <cell r="B3563">
            <v>6585.95</v>
          </cell>
          <cell r="C3563">
            <v>5832.15</v>
          </cell>
          <cell r="D3563">
            <v>3243.63</v>
          </cell>
        </row>
        <row r="3564">
          <cell r="A3564">
            <v>43858</v>
          </cell>
          <cell r="B3564">
            <v>6652.3</v>
          </cell>
          <cell r="C3564">
            <v>5890.88</v>
          </cell>
          <cell r="D3564">
            <v>3276.24</v>
          </cell>
        </row>
        <row r="3565">
          <cell r="A3565">
            <v>43859</v>
          </cell>
          <cell r="B3565">
            <v>6646.69</v>
          </cell>
          <cell r="C3565">
            <v>5885.86</v>
          </cell>
          <cell r="D3565">
            <v>3273.4</v>
          </cell>
        </row>
        <row r="3566">
          <cell r="A3566">
            <v>43860</v>
          </cell>
          <cell r="B3566">
            <v>6668.52</v>
          </cell>
          <cell r="C3566">
            <v>5904.93</v>
          </cell>
          <cell r="D3566">
            <v>3283.66</v>
          </cell>
        </row>
        <row r="3567">
          <cell r="A3567">
            <v>43861</v>
          </cell>
          <cell r="B3567">
            <v>6551</v>
          </cell>
          <cell r="C3567">
            <v>5800.72</v>
          </cell>
          <cell r="D3567">
            <v>3225.52</v>
          </cell>
        </row>
        <row r="3568">
          <cell r="A3568">
            <v>43864</v>
          </cell>
          <cell r="B3568">
            <v>6598.63</v>
          </cell>
          <cell r="C3568">
            <v>5842.87</v>
          </cell>
          <cell r="D3568">
            <v>3248.92</v>
          </cell>
        </row>
        <row r="3569">
          <cell r="A3569">
            <v>43865</v>
          </cell>
          <cell r="B3569">
            <v>6697.49</v>
          </cell>
          <cell r="C3569">
            <v>5930.4</v>
          </cell>
          <cell r="D3569">
            <v>3297.59</v>
          </cell>
        </row>
        <row r="3570">
          <cell r="A3570">
            <v>43866</v>
          </cell>
          <cell r="B3570">
            <v>6772.98</v>
          </cell>
          <cell r="C3570">
            <v>5997.22</v>
          </cell>
          <cell r="D3570">
            <v>3334.69</v>
          </cell>
        </row>
        <row r="3571">
          <cell r="A3571">
            <v>43867</v>
          </cell>
          <cell r="B3571">
            <v>6796.64</v>
          </cell>
          <cell r="C3571">
            <v>6017.86</v>
          </cell>
          <cell r="D3571">
            <v>3345.78</v>
          </cell>
        </row>
        <row r="3572">
          <cell r="A3572">
            <v>43868</v>
          </cell>
          <cell r="B3572">
            <v>6761.26</v>
          </cell>
          <cell r="C3572">
            <v>5986.18</v>
          </cell>
          <cell r="D3572">
            <v>3327.71</v>
          </cell>
        </row>
        <row r="3573">
          <cell r="A3573">
            <v>43871</v>
          </cell>
          <cell r="B3573">
            <v>6811.83</v>
          </cell>
          <cell r="C3573">
            <v>6030.68</v>
          </cell>
          <cell r="D3573">
            <v>3352.09</v>
          </cell>
        </row>
        <row r="3574">
          <cell r="A3574">
            <v>43872</v>
          </cell>
          <cell r="B3574">
            <v>6823.59</v>
          </cell>
          <cell r="C3574">
            <v>6041.02</v>
          </cell>
          <cell r="D3574">
            <v>3357.75</v>
          </cell>
        </row>
        <row r="3575">
          <cell r="A3575">
            <v>43873</v>
          </cell>
          <cell r="B3575">
            <v>6867.92</v>
          </cell>
          <cell r="C3575">
            <v>6080.21</v>
          </cell>
          <cell r="D3575">
            <v>3379.45</v>
          </cell>
        </row>
        <row r="3576">
          <cell r="A3576">
            <v>43874</v>
          </cell>
          <cell r="B3576">
            <v>6858.92</v>
          </cell>
          <cell r="C3576">
            <v>6071.65</v>
          </cell>
          <cell r="D3576">
            <v>3373.94</v>
          </cell>
        </row>
        <row r="3577">
          <cell r="A3577">
            <v>43875</v>
          </cell>
          <cell r="B3577">
            <v>6872.68</v>
          </cell>
          <cell r="C3577">
            <v>6083.54</v>
          </cell>
          <cell r="D3577">
            <v>3380.16</v>
          </cell>
        </row>
        <row r="3578">
          <cell r="A3578">
            <v>43879</v>
          </cell>
          <cell r="B3578">
            <v>6853.04</v>
          </cell>
          <cell r="C3578">
            <v>6066.04</v>
          </cell>
          <cell r="D3578">
            <v>3370.29</v>
          </cell>
        </row>
        <row r="3579">
          <cell r="A3579">
            <v>43880</v>
          </cell>
          <cell r="B3579">
            <v>6886.47</v>
          </cell>
          <cell r="C3579">
            <v>6095.32</v>
          </cell>
          <cell r="D3579">
            <v>3386.15</v>
          </cell>
        </row>
        <row r="3580">
          <cell r="A3580">
            <v>43881</v>
          </cell>
          <cell r="B3580">
            <v>6860.52</v>
          </cell>
          <cell r="C3580">
            <v>6072.27</v>
          </cell>
          <cell r="D3580">
            <v>3373.23</v>
          </cell>
        </row>
        <row r="3581">
          <cell r="A3581">
            <v>43882</v>
          </cell>
          <cell r="B3581">
            <v>6788.6</v>
          </cell>
          <cell r="C3581">
            <v>6008.54</v>
          </cell>
          <cell r="D3581">
            <v>3337.75</v>
          </cell>
        </row>
        <row r="3582">
          <cell r="A3582">
            <v>43885</v>
          </cell>
          <cell r="B3582">
            <v>6561.94</v>
          </cell>
          <cell r="C3582">
            <v>5807.7</v>
          </cell>
          <cell r="D3582">
            <v>3225.89</v>
          </cell>
        </row>
        <row r="3583">
          <cell r="A3583">
            <v>43886</v>
          </cell>
          <cell r="B3583">
            <v>6363.37</v>
          </cell>
          <cell r="C3583">
            <v>5631.92</v>
          </cell>
          <cell r="D3583">
            <v>3128.21</v>
          </cell>
        </row>
        <row r="3584">
          <cell r="A3584">
            <v>43887</v>
          </cell>
          <cell r="B3584">
            <v>6339.38</v>
          </cell>
          <cell r="C3584">
            <v>5610.67</v>
          </cell>
          <cell r="D3584">
            <v>3116.39</v>
          </cell>
        </row>
        <row r="3585">
          <cell r="A3585">
            <v>43888</v>
          </cell>
          <cell r="B3585">
            <v>6060.67</v>
          </cell>
          <cell r="C3585">
            <v>5363.67</v>
          </cell>
          <cell r="D3585">
            <v>2978.76</v>
          </cell>
        </row>
        <row r="3586">
          <cell r="A3586">
            <v>43889</v>
          </cell>
          <cell r="B3586">
            <v>6011.73</v>
          </cell>
          <cell r="C3586">
            <v>5320.09</v>
          </cell>
          <cell r="D3586">
            <v>2954.22</v>
          </cell>
        </row>
        <row r="3587">
          <cell r="A3587">
            <v>43892</v>
          </cell>
          <cell r="B3587">
            <v>6288.64</v>
          </cell>
          <cell r="C3587">
            <v>5565.11</v>
          </cell>
          <cell r="D3587">
            <v>3090.23</v>
          </cell>
        </row>
        <row r="3588">
          <cell r="A3588">
            <v>43893</v>
          </cell>
          <cell r="B3588">
            <v>6112.07</v>
          </cell>
          <cell r="C3588">
            <v>5408.8</v>
          </cell>
          <cell r="D3588">
            <v>3003.37</v>
          </cell>
        </row>
        <row r="3589">
          <cell r="A3589">
            <v>43894</v>
          </cell>
          <cell r="B3589">
            <v>6370.35</v>
          </cell>
          <cell r="C3589">
            <v>5637.28</v>
          </cell>
          <cell r="D3589">
            <v>3130.12</v>
          </cell>
        </row>
        <row r="3590">
          <cell r="A3590">
            <v>43895</v>
          </cell>
          <cell r="B3590">
            <v>6155.58</v>
          </cell>
          <cell r="C3590">
            <v>5446.87</v>
          </cell>
          <cell r="D3590">
            <v>3023.94</v>
          </cell>
        </row>
        <row r="3591">
          <cell r="A3591">
            <v>43896</v>
          </cell>
          <cell r="B3591">
            <v>6050.8</v>
          </cell>
          <cell r="C3591">
            <v>5354.1</v>
          </cell>
          <cell r="D3591">
            <v>2972.37</v>
          </cell>
        </row>
        <row r="3592">
          <cell r="A3592">
            <v>43899</v>
          </cell>
          <cell r="B3592">
            <v>5591.74</v>
          </cell>
          <cell r="C3592">
            <v>4947.7299999999996</v>
          </cell>
          <cell r="D3592">
            <v>2746.56</v>
          </cell>
        </row>
        <row r="3593">
          <cell r="A3593">
            <v>43900</v>
          </cell>
          <cell r="B3593">
            <v>5868.11</v>
          </cell>
          <cell r="C3593">
            <v>5192.2299999999996</v>
          </cell>
          <cell r="D3593">
            <v>2882.23</v>
          </cell>
        </row>
        <row r="3594">
          <cell r="A3594">
            <v>43901</v>
          </cell>
          <cell r="B3594">
            <v>5581.76</v>
          </cell>
          <cell r="C3594">
            <v>4938.76</v>
          </cell>
          <cell r="D3594">
            <v>2741.38</v>
          </cell>
        </row>
        <row r="3595">
          <cell r="A3595">
            <v>43902</v>
          </cell>
          <cell r="B3595">
            <v>5051.97</v>
          </cell>
          <cell r="C3595">
            <v>4469.7</v>
          </cell>
          <cell r="D3595">
            <v>2480.64</v>
          </cell>
        </row>
        <row r="3596">
          <cell r="A3596">
            <v>43903</v>
          </cell>
          <cell r="B3596">
            <v>5522.85</v>
          </cell>
          <cell r="C3596">
            <v>4885.8599999999997</v>
          </cell>
          <cell r="D3596">
            <v>2711.02</v>
          </cell>
        </row>
        <row r="3597">
          <cell r="A3597">
            <v>43906</v>
          </cell>
          <cell r="B3597">
            <v>4861.22</v>
          </cell>
          <cell r="C3597">
            <v>4300.4799999999996</v>
          </cell>
          <cell r="D3597">
            <v>2386.13</v>
          </cell>
        </row>
        <row r="3598">
          <cell r="A3598">
            <v>43907</v>
          </cell>
          <cell r="B3598">
            <v>5152.83</v>
          </cell>
          <cell r="C3598">
            <v>4558.41</v>
          </cell>
          <cell r="D3598">
            <v>2529.19</v>
          </cell>
        </row>
        <row r="3599">
          <cell r="A3599">
            <v>43908</v>
          </cell>
          <cell r="B3599">
            <v>4885.76</v>
          </cell>
          <cell r="C3599">
            <v>4322.1499999999996</v>
          </cell>
          <cell r="D3599">
            <v>2398.1</v>
          </cell>
        </row>
        <row r="3600">
          <cell r="A3600">
            <v>43909</v>
          </cell>
          <cell r="B3600">
            <v>4909.13</v>
          </cell>
          <cell r="C3600">
            <v>4342.72</v>
          </cell>
          <cell r="D3600">
            <v>2409.39</v>
          </cell>
        </row>
        <row r="3601">
          <cell r="A3601">
            <v>43910</v>
          </cell>
          <cell r="B3601">
            <v>4697.09</v>
          </cell>
          <cell r="C3601">
            <v>4154.93</v>
          </cell>
          <cell r="D3601">
            <v>2304.92</v>
          </cell>
        </row>
        <row r="3602">
          <cell r="A3602">
            <v>43913</v>
          </cell>
          <cell r="B3602">
            <v>4559.5</v>
          </cell>
          <cell r="C3602">
            <v>4033.22</v>
          </cell>
          <cell r="D3602">
            <v>2237.4</v>
          </cell>
        </row>
        <row r="3603">
          <cell r="A3603">
            <v>43914</v>
          </cell>
          <cell r="B3603">
            <v>4987.8</v>
          </cell>
          <cell r="C3603">
            <v>4411.95</v>
          </cell>
          <cell r="D3603">
            <v>2447.33</v>
          </cell>
        </row>
        <row r="3604">
          <cell r="A3604">
            <v>43915</v>
          </cell>
          <cell r="B3604">
            <v>5045.3500000000004</v>
          </cell>
          <cell r="C3604">
            <v>4462.8500000000004</v>
          </cell>
          <cell r="D3604">
            <v>2475.56</v>
          </cell>
        </row>
        <row r="3605">
          <cell r="A3605">
            <v>43916</v>
          </cell>
          <cell r="B3605">
            <v>5360.49</v>
          </cell>
          <cell r="C3605">
            <v>4741.55</v>
          </cell>
          <cell r="D3605">
            <v>2630.07</v>
          </cell>
        </row>
        <row r="3606">
          <cell r="A3606">
            <v>43917</v>
          </cell>
          <cell r="B3606">
            <v>5179.92</v>
          </cell>
          <cell r="C3606">
            <v>4581.83</v>
          </cell>
          <cell r="D3606">
            <v>2541.4699999999998</v>
          </cell>
        </row>
        <row r="3607">
          <cell r="A3607">
            <v>43920</v>
          </cell>
          <cell r="B3607">
            <v>5354.39</v>
          </cell>
          <cell r="C3607">
            <v>4735.92</v>
          </cell>
          <cell r="D3607">
            <v>2626.65</v>
          </cell>
        </row>
        <row r="3608">
          <cell r="A3608">
            <v>43921</v>
          </cell>
          <cell r="B3608">
            <v>5269.2</v>
          </cell>
          <cell r="C3608">
            <v>4660.43</v>
          </cell>
          <cell r="D3608">
            <v>2584.59</v>
          </cell>
        </row>
        <row r="3609">
          <cell r="A3609">
            <v>43922</v>
          </cell>
          <cell r="B3609">
            <v>5036.6400000000003</v>
          </cell>
          <cell r="C3609">
            <v>4454.7299999999996</v>
          </cell>
          <cell r="D3609">
            <v>2470.5</v>
          </cell>
        </row>
        <row r="3610">
          <cell r="A3610">
            <v>43923</v>
          </cell>
          <cell r="B3610">
            <v>5152.47</v>
          </cell>
          <cell r="C3610">
            <v>4556.95</v>
          </cell>
          <cell r="D3610">
            <v>2526.9</v>
          </cell>
        </row>
        <row r="3611">
          <cell r="A3611">
            <v>43924</v>
          </cell>
          <cell r="B3611">
            <v>5075.16</v>
          </cell>
          <cell r="C3611">
            <v>4488.3900000000003</v>
          </cell>
          <cell r="D3611">
            <v>2488.65</v>
          </cell>
        </row>
        <row r="3612">
          <cell r="A3612">
            <v>43927</v>
          </cell>
          <cell r="B3612">
            <v>5432.17</v>
          </cell>
          <cell r="C3612">
            <v>4804.1099999999997</v>
          </cell>
          <cell r="D3612">
            <v>2663.68</v>
          </cell>
        </row>
        <row r="3613">
          <cell r="A3613">
            <v>43928</v>
          </cell>
          <cell r="B3613">
            <v>5423.52</v>
          </cell>
          <cell r="C3613">
            <v>4796.45</v>
          </cell>
          <cell r="D3613">
            <v>2659.41</v>
          </cell>
        </row>
        <row r="3614">
          <cell r="A3614">
            <v>43929</v>
          </cell>
          <cell r="B3614">
            <v>5609.55</v>
          </cell>
          <cell r="C3614">
            <v>4960.6099999999997</v>
          </cell>
          <cell r="D3614">
            <v>2749.98</v>
          </cell>
        </row>
        <row r="3615">
          <cell r="A3615">
            <v>43930</v>
          </cell>
          <cell r="B3615">
            <v>5691.54</v>
          </cell>
          <cell r="C3615">
            <v>5032.93</v>
          </cell>
          <cell r="D3615">
            <v>2789.82</v>
          </cell>
        </row>
        <row r="3616">
          <cell r="A3616">
            <v>43934</v>
          </cell>
          <cell r="B3616">
            <v>5634.15</v>
          </cell>
          <cell r="C3616">
            <v>4982.1400000000003</v>
          </cell>
          <cell r="D3616">
            <v>2761.63</v>
          </cell>
        </row>
        <row r="3617">
          <cell r="A3617">
            <v>43935</v>
          </cell>
          <cell r="B3617">
            <v>5807.1</v>
          </cell>
          <cell r="C3617">
            <v>5134.8900000000003</v>
          </cell>
          <cell r="D3617">
            <v>2846.06</v>
          </cell>
        </row>
        <row r="3618">
          <cell r="A3618">
            <v>43936</v>
          </cell>
          <cell r="B3618">
            <v>5679.53</v>
          </cell>
          <cell r="C3618">
            <v>5022</v>
          </cell>
          <cell r="D3618">
            <v>2783.36</v>
          </cell>
        </row>
        <row r="3619">
          <cell r="A3619">
            <v>43937</v>
          </cell>
          <cell r="B3619">
            <v>5712.6</v>
          </cell>
          <cell r="C3619">
            <v>5051.2299999999996</v>
          </cell>
          <cell r="D3619">
            <v>2799.55</v>
          </cell>
        </row>
        <row r="3620">
          <cell r="A3620">
            <v>43938</v>
          </cell>
          <cell r="B3620">
            <v>5865.9</v>
          </cell>
          <cell r="C3620">
            <v>5186.72</v>
          </cell>
          <cell r="D3620">
            <v>2874.56</v>
          </cell>
        </row>
        <row r="3621">
          <cell r="A3621">
            <v>43941</v>
          </cell>
          <cell r="B3621">
            <v>5761</v>
          </cell>
          <cell r="C3621">
            <v>5093.96</v>
          </cell>
          <cell r="D3621">
            <v>2823.16</v>
          </cell>
        </row>
        <row r="3622">
          <cell r="A3622">
            <v>43942</v>
          </cell>
          <cell r="B3622">
            <v>5584.44</v>
          </cell>
          <cell r="C3622">
            <v>4937.8100000000004</v>
          </cell>
          <cell r="D3622">
            <v>2736.56</v>
          </cell>
        </row>
        <row r="3623">
          <cell r="A3623">
            <v>43943</v>
          </cell>
          <cell r="B3623">
            <v>5712.65</v>
          </cell>
          <cell r="C3623">
            <v>5051.13</v>
          </cell>
          <cell r="D3623">
            <v>2799.31</v>
          </cell>
        </row>
        <row r="3624">
          <cell r="A3624">
            <v>43944</v>
          </cell>
          <cell r="B3624">
            <v>5710.04</v>
          </cell>
          <cell r="C3624">
            <v>5048.6899999999996</v>
          </cell>
          <cell r="D3624">
            <v>2797.8</v>
          </cell>
        </row>
        <row r="3625">
          <cell r="A3625">
            <v>43945</v>
          </cell>
          <cell r="B3625">
            <v>5789.65</v>
          </cell>
          <cell r="C3625">
            <v>5119.05</v>
          </cell>
          <cell r="D3625">
            <v>2836.74</v>
          </cell>
        </row>
        <row r="3626">
          <cell r="A3626">
            <v>43948</v>
          </cell>
          <cell r="B3626">
            <v>5874.94</v>
          </cell>
          <cell r="C3626">
            <v>5194.43</v>
          </cell>
          <cell r="D3626">
            <v>2878.48</v>
          </cell>
        </row>
        <row r="3627">
          <cell r="A3627">
            <v>43949</v>
          </cell>
          <cell r="B3627">
            <v>5844.18</v>
          </cell>
          <cell r="C3627">
            <v>5167.2299999999996</v>
          </cell>
          <cell r="D3627">
            <v>2863.39</v>
          </cell>
        </row>
        <row r="3628">
          <cell r="A3628">
            <v>43950</v>
          </cell>
          <cell r="B3628">
            <v>5999.74</v>
          </cell>
          <cell r="C3628">
            <v>5304.71</v>
          </cell>
          <cell r="D3628">
            <v>2939.51</v>
          </cell>
        </row>
        <row r="3629">
          <cell r="A3629">
            <v>43951</v>
          </cell>
          <cell r="B3629">
            <v>5944.68</v>
          </cell>
          <cell r="C3629">
            <v>5255.98</v>
          </cell>
          <cell r="D3629">
            <v>2912.43</v>
          </cell>
        </row>
        <row r="3630">
          <cell r="A3630">
            <v>43952</v>
          </cell>
          <cell r="B3630">
            <v>5778.53</v>
          </cell>
          <cell r="C3630">
            <v>5108.8999999999996</v>
          </cell>
          <cell r="D3630">
            <v>2830.71</v>
          </cell>
        </row>
        <row r="3631">
          <cell r="A3631">
            <v>43955</v>
          </cell>
          <cell r="B3631">
            <v>5803.12</v>
          </cell>
          <cell r="C3631">
            <v>5130.6400000000003</v>
          </cell>
          <cell r="D3631">
            <v>2842.74</v>
          </cell>
        </row>
        <row r="3632">
          <cell r="A3632">
            <v>43956</v>
          </cell>
          <cell r="B3632">
            <v>5855.58</v>
          </cell>
          <cell r="C3632">
            <v>5177.01</v>
          </cell>
          <cell r="D3632">
            <v>2868.44</v>
          </cell>
        </row>
        <row r="3633">
          <cell r="A3633">
            <v>43957</v>
          </cell>
          <cell r="B3633">
            <v>5815.17</v>
          </cell>
          <cell r="C3633">
            <v>5141.17</v>
          </cell>
          <cell r="D3633">
            <v>2848.42</v>
          </cell>
        </row>
        <row r="3634">
          <cell r="A3634">
            <v>43958</v>
          </cell>
          <cell r="B3634">
            <v>5884.14</v>
          </cell>
          <cell r="C3634">
            <v>5201.6000000000004</v>
          </cell>
          <cell r="D3634">
            <v>2881.19</v>
          </cell>
        </row>
        <row r="3635">
          <cell r="A3635">
            <v>43959</v>
          </cell>
          <cell r="B3635">
            <v>5984.55</v>
          </cell>
          <cell r="C3635">
            <v>5290.06</v>
          </cell>
          <cell r="D3635">
            <v>2929.8</v>
          </cell>
        </row>
        <row r="3636">
          <cell r="A3636">
            <v>43962</v>
          </cell>
          <cell r="B3636">
            <v>5985.66</v>
          </cell>
          <cell r="C3636">
            <v>5291.02</v>
          </cell>
          <cell r="D3636">
            <v>2930.32</v>
          </cell>
        </row>
        <row r="3637">
          <cell r="A3637">
            <v>43963</v>
          </cell>
          <cell r="B3637">
            <v>5863.68</v>
          </cell>
          <cell r="C3637">
            <v>5182.9399999999996</v>
          </cell>
          <cell r="D3637">
            <v>2870.12</v>
          </cell>
        </row>
        <row r="3638">
          <cell r="A3638">
            <v>43964</v>
          </cell>
          <cell r="B3638">
            <v>5761.7</v>
          </cell>
          <cell r="C3638">
            <v>5092.68</v>
          </cell>
          <cell r="D3638">
            <v>2820</v>
          </cell>
        </row>
        <row r="3639">
          <cell r="A3639">
            <v>43965</v>
          </cell>
          <cell r="B3639">
            <v>5829.33</v>
          </cell>
          <cell r="C3639">
            <v>5152.1400000000003</v>
          </cell>
          <cell r="D3639">
            <v>2852.5</v>
          </cell>
        </row>
        <row r="3640">
          <cell r="A3640">
            <v>43966</v>
          </cell>
          <cell r="B3640">
            <v>5852.84</v>
          </cell>
          <cell r="C3640">
            <v>5172.75</v>
          </cell>
          <cell r="D3640">
            <v>2863.7</v>
          </cell>
        </row>
        <row r="3641">
          <cell r="A3641">
            <v>43969</v>
          </cell>
          <cell r="B3641">
            <v>6037.9</v>
          </cell>
          <cell r="C3641">
            <v>5336.13</v>
          </cell>
          <cell r="D3641">
            <v>2953.91</v>
          </cell>
        </row>
        <row r="3642">
          <cell r="A3642">
            <v>43970</v>
          </cell>
          <cell r="B3642">
            <v>5975.15</v>
          </cell>
          <cell r="C3642">
            <v>5280.52</v>
          </cell>
          <cell r="D3642">
            <v>2922.94</v>
          </cell>
        </row>
        <row r="3643">
          <cell r="A3643">
            <v>43971</v>
          </cell>
          <cell r="B3643">
            <v>6075.76</v>
          </cell>
          <cell r="C3643">
            <v>5369.14</v>
          </cell>
          <cell r="D3643">
            <v>2971.61</v>
          </cell>
        </row>
        <row r="3644">
          <cell r="A3644">
            <v>43972</v>
          </cell>
          <cell r="B3644">
            <v>6028.93</v>
          </cell>
          <cell r="C3644">
            <v>5327.65</v>
          </cell>
          <cell r="D3644">
            <v>2948.51</v>
          </cell>
        </row>
        <row r="3645">
          <cell r="A3645">
            <v>43973</v>
          </cell>
          <cell r="B3645">
            <v>6044.16</v>
          </cell>
          <cell r="C3645">
            <v>5340.84</v>
          </cell>
          <cell r="D3645">
            <v>2955.45</v>
          </cell>
        </row>
        <row r="3646">
          <cell r="A3646">
            <v>43977</v>
          </cell>
          <cell r="B3646">
            <v>6118.54</v>
          </cell>
          <cell r="C3646">
            <v>5406.53</v>
          </cell>
          <cell r="D3646">
            <v>2991.77</v>
          </cell>
        </row>
        <row r="3647">
          <cell r="A3647">
            <v>43978</v>
          </cell>
          <cell r="B3647">
            <v>6209.38</v>
          </cell>
          <cell r="C3647">
            <v>5486.77</v>
          </cell>
          <cell r="D3647">
            <v>3036.13</v>
          </cell>
        </row>
        <row r="3648">
          <cell r="A3648">
            <v>43979</v>
          </cell>
          <cell r="B3648">
            <v>6197.02</v>
          </cell>
          <cell r="C3648">
            <v>5475.65</v>
          </cell>
          <cell r="D3648">
            <v>3029.73</v>
          </cell>
        </row>
        <row r="3649">
          <cell r="A3649">
            <v>43980</v>
          </cell>
          <cell r="B3649">
            <v>6227.81</v>
          </cell>
          <cell r="C3649">
            <v>5502.6</v>
          </cell>
          <cell r="D3649">
            <v>3044.31</v>
          </cell>
        </row>
        <row r="3650">
          <cell r="A3650">
            <v>43983</v>
          </cell>
          <cell r="B3650">
            <v>6251.48</v>
          </cell>
          <cell r="C3650">
            <v>5523.44</v>
          </cell>
          <cell r="D3650">
            <v>3055.73</v>
          </cell>
        </row>
        <row r="3651">
          <cell r="A3651">
            <v>43984</v>
          </cell>
          <cell r="B3651">
            <v>6303</v>
          </cell>
          <cell r="C3651">
            <v>5568.91</v>
          </cell>
          <cell r="D3651">
            <v>3080.82</v>
          </cell>
        </row>
        <row r="3652">
          <cell r="A3652">
            <v>43985</v>
          </cell>
          <cell r="B3652">
            <v>6389.67</v>
          </cell>
          <cell r="C3652">
            <v>5645.31</v>
          </cell>
          <cell r="D3652">
            <v>3122.87</v>
          </cell>
        </row>
        <row r="3653">
          <cell r="A3653">
            <v>43986</v>
          </cell>
          <cell r="B3653">
            <v>6369.54</v>
          </cell>
          <cell r="C3653">
            <v>5627.15</v>
          </cell>
          <cell r="D3653">
            <v>3112.35</v>
          </cell>
        </row>
        <row r="3654">
          <cell r="A3654">
            <v>43987</v>
          </cell>
          <cell r="B3654">
            <v>6536.58</v>
          </cell>
          <cell r="C3654">
            <v>5774.7</v>
          </cell>
          <cell r="D3654">
            <v>3193.93</v>
          </cell>
        </row>
        <row r="3655">
          <cell r="A3655">
            <v>43990</v>
          </cell>
          <cell r="B3655">
            <v>6615.4</v>
          </cell>
          <cell r="C3655">
            <v>5844.31</v>
          </cell>
          <cell r="D3655">
            <v>3232.39</v>
          </cell>
        </row>
        <row r="3656">
          <cell r="A3656">
            <v>43991</v>
          </cell>
          <cell r="B3656">
            <v>6564.27</v>
          </cell>
          <cell r="C3656">
            <v>5799.02</v>
          </cell>
          <cell r="D3656">
            <v>3207.18</v>
          </cell>
        </row>
        <row r="3657">
          <cell r="A3657">
            <v>43992</v>
          </cell>
          <cell r="B3657">
            <v>6529.42</v>
          </cell>
          <cell r="C3657">
            <v>5768.22</v>
          </cell>
          <cell r="D3657">
            <v>3190.14</v>
          </cell>
        </row>
        <row r="3658">
          <cell r="A3658">
            <v>43993</v>
          </cell>
          <cell r="B3658">
            <v>6145.3</v>
          </cell>
          <cell r="C3658">
            <v>5428.68</v>
          </cell>
          <cell r="D3658">
            <v>3002.1</v>
          </cell>
        </row>
        <row r="3659">
          <cell r="A3659">
            <v>43994</v>
          </cell>
          <cell r="B3659">
            <v>6227.42</v>
          </cell>
          <cell r="C3659">
            <v>5500.74</v>
          </cell>
          <cell r="D3659">
            <v>3041.31</v>
          </cell>
        </row>
        <row r="3660">
          <cell r="A3660">
            <v>43997</v>
          </cell>
          <cell r="B3660">
            <v>6279.4</v>
          </cell>
          <cell r="C3660">
            <v>5546.59</v>
          </cell>
          <cell r="D3660">
            <v>3066.59</v>
          </cell>
        </row>
        <row r="3661">
          <cell r="A3661">
            <v>43998</v>
          </cell>
          <cell r="B3661">
            <v>6398.58</v>
          </cell>
          <cell r="C3661">
            <v>5651.83</v>
          </cell>
          <cell r="D3661">
            <v>3124.74</v>
          </cell>
        </row>
        <row r="3662">
          <cell r="A3662">
            <v>43999</v>
          </cell>
          <cell r="B3662">
            <v>6375.54</v>
          </cell>
          <cell r="C3662">
            <v>5631.48</v>
          </cell>
          <cell r="D3662">
            <v>3113.49</v>
          </cell>
        </row>
        <row r="3663">
          <cell r="A3663">
            <v>44000</v>
          </cell>
          <cell r="B3663">
            <v>6379.56</v>
          </cell>
          <cell r="C3663">
            <v>5634.97</v>
          </cell>
          <cell r="D3663">
            <v>3115.34</v>
          </cell>
        </row>
        <row r="3664">
          <cell r="A3664">
            <v>44001</v>
          </cell>
          <cell r="B3664">
            <v>6344.7</v>
          </cell>
          <cell r="C3664">
            <v>5603.87</v>
          </cell>
          <cell r="D3664">
            <v>3097.74</v>
          </cell>
        </row>
        <row r="3665">
          <cell r="A3665">
            <v>44004</v>
          </cell>
          <cell r="B3665">
            <v>6385.91</v>
          </cell>
          <cell r="C3665">
            <v>5640.27</v>
          </cell>
          <cell r="D3665">
            <v>3117.86</v>
          </cell>
        </row>
        <row r="3666">
          <cell r="A3666">
            <v>44005</v>
          </cell>
          <cell r="B3666">
            <v>6413.44</v>
          </cell>
          <cell r="C3666">
            <v>5664.58</v>
          </cell>
          <cell r="D3666">
            <v>3131.29</v>
          </cell>
        </row>
        <row r="3667">
          <cell r="A3667">
            <v>44006</v>
          </cell>
          <cell r="B3667">
            <v>6247.66</v>
          </cell>
          <cell r="C3667">
            <v>5518.15</v>
          </cell>
          <cell r="D3667">
            <v>3050.33</v>
          </cell>
        </row>
        <row r="3668">
          <cell r="A3668">
            <v>44007</v>
          </cell>
          <cell r="B3668">
            <v>6316.45</v>
          </cell>
          <cell r="C3668">
            <v>5578.82</v>
          </cell>
          <cell r="D3668">
            <v>3083.76</v>
          </cell>
        </row>
        <row r="3669">
          <cell r="A3669">
            <v>44008</v>
          </cell>
          <cell r="B3669">
            <v>6163.5</v>
          </cell>
          <cell r="C3669">
            <v>5443.71</v>
          </cell>
          <cell r="D3669">
            <v>3009.05</v>
          </cell>
        </row>
        <row r="3670">
          <cell r="A3670">
            <v>44011</v>
          </cell>
          <cell r="B3670">
            <v>6254.78</v>
          </cell>
          <cell r="C3670">
            <v>5524.13</v>
          </cell>
          <cell r="D3670">
            <v>3053.24</v>
          </cell>
        </row>
        <row r="3671">
          <cell r="A3671">
            <v>44012</v>
          </cell>
          <cell r="B3671">
            <v>6351.67</v>
          </cell>
          <cell r="C3671">
            <v>5609.56</v>
          </cell>
          <cell r="D3671">
            <v>3100.29</v>
          </cell>
        </row>
        <row r="3672">
          <cell r="A3672">
            <v>44013</v>
          </cell>
          <cell r="B3672">
            <v>6383.76</v>
          </cell>
          <cell r="C3672">
            <v>5637.85</v>
          </cell>
          <cell r="D3672">
            <v>3115.86</v>
          </cell>
        </row>
        <row r="3673">
          <cell r="A3673">
            <v>44014</v>
          </cell>
          <cell r="B3673">
            <v>6414.16</v>
          </cell>
          <cell r="C3673">
            <v>5664.33</v>
          </cell>
          <cell r="D3673">
            <v>3130.01</v>
          </cell>
        </row>
        <row r="3674">
          <cell r="A3674">
            <v>44018</v>
          </cell>
          <cell r="B3674">
            <v>6516.05</v>
          </cell>
          <cell r="C3674">
            <v>5754.3</v>
          </cell>
          <cell r="D3674">
            <v>3179.72</v>
          </cell>
        </row>
        <row r="3675">
          <cell r="A3675">
            <v>44019</v>
          </cell>
          <cell r="B3675">
            <v>6445.59</v>
          </cell>
          <cell r="C3675">
            <v>5692.07</v>
          </cell>
          <cell r="D3675">
            <v>3145.32</v>
          </cell>
        </row>
        <row r="3676">
          <cell r="A3676">
            <v>44020</v>
          </cell>
          <cell r="B3676">
            <v>6496.14</v>
          </cell>
          <cell r="C3676">
            <v>5736.68</v>
          </cell>
          <cell r="D3676">
            <v>3169.94</v>
          </cell>
        </row>
        <row r="3677">
          <cell r="A3677">
            <v>44021</v>
          </cell>
          <cell r="B3677">
            <v>6461.31</v>
          </cell>
          <cell r="C3677">
            <v>5705.44</v>
          </cell>
          <cell r="D3677">
            <v>3152.05</v>
          </cell>
        </row>
        <row r="3678">
          <cell r="A3678">
            <v>44022</v>
          </cell>
          <cell r="B3678">
            <v>6528.96</v>
          </cell>
          <cell r="C3678">
            <v>5765.17</v>
          </cell>
          <cell r="D3678">
            <v>3185.04</v>
          </cell>
        </row>
        <row r="3679">
          <cell r="A3679">
            <v>44025</v>
          </cell>
          <cell r="B3679">
            <v>6467.84</v>
          </cell>
          <cell r="C3679">
            <v>5711.2</v>
          </cell>
          <cell r="D3679">
            <v>3155.22</v>
          </cell>
        </row>
        <row r="3680">
          <cell r="A3680">
            <v>44026</v>
          </cell>
          <cell r="B3680">
            <v>6555.4</v>
          </cell>
          <cell r="C3680">
            <v>5788.29</v>
          </cell>
          <cell r="D3680">
            <v>3197.52</v>
          </cell>
        </row>
        <row r="3681">
          <cell r="A3681">
            <v>44027</v>
          </cell>
          <cell r="B3681">
            <v>6615.07</v>
          </cell>
          <cell r="C3681">
            <v>5840.94</v>
          </cell>
          <cell r="D3681">
            <v>3226.56</v>
          </cell>
        </row>
        <row r="3682">
          <cell r="A3682">
            <v>44028</v>
          </cell>
          <cell r="B3682">
            <v>6592.75</v>
          </cell>
          <cell r="C3682">
            <v>5821.18</v>
          </cell>
          <cell r="D3682">
            <v>3215.57</v>
          </cell>
        </row>
        <row r="3683">
          <cell r="A3683">
            <v>44029</v>
          </cell>
          <cell r="B3683">
            <v>6611.86</v>
          </cell>
          <cell r="C3683">
            <v>5837.97</v>
          </cell>
          <cell r="D3683">
            <v>3224.73</v>
          </cell>
        </row>
        <row r="3684">
          <cell r="A3684">
            <v>44032</v>
          </cell>
          <cell r="B3684">
            <v>6667.45</v>
          </cell>
          <cell r="C3684">
            <v>5887.05</v>
          </cell>
          <cell r="D3684">
            <v>3251.84</v>
          </cell>
        </row>
        <row r="3685">
          <cell r="A3685">
            <v>44033</v>
          </cell>
          <cell r="B3685">
            <v>6678.74</v>
          </cell>
          <cell r="C3685">
            <v>5896.99</v>
          </cell>
          <cell r="D3685">
            <v>3257.3</v>
          </cell>
        </row>
        <row r="3686">
          <cell r="A3686">
            <v>44034</v>
          </cell>
          <cell r="B3686">
            <v>6717.29</v>
          </cell>
          <cell r="C3686">
            <v>5930.98</v>
          </cell>
          <cell r="D3686">
            <v>3276.02</v>
          </cell>
        </row>
        <row r="3687">
          <cell r="A3687">
            <v>44035</v>
          </cell>
          <cell r="B3687">
            <v>6635.04</v>
          </cell>
          <cell r="C3687">
            <v>5858.23</v>
          </cell>
          <cell r="D3687">
            <v>3235.66</v>
          </cell>
        </row>
        <row r="3688">
          <cell r="A3688">
            <v>44036</v>
          </cell>
          <cell r="B3688">
            <v>6594.1</v>
          </cell>
          <cell r="C3688">
            <v>5822.05</v>
          </cell>
          <cell r="D3688">
            <v>3215.63</v>
          </cell>
        </row>
        <row r="3689">
          <cell r="A3689">
            <v>44039</v>
          </cell>
          <cell r="B3689">
            <v>6642.89</v>
          </cell>
          <cell r="C3689">
            <v>5865.12</v>
          </cell>
          <cell r="D3689">
            <v>3239.41</v>
          </cell>
        </row>
        <row r="3690">
          <cell r="A3690">
            <v>44040</v>
          </cell>
          <cell r="B3690">
            <v>6599.97</v>
          </cell>
          <cell r="C3690">
            <v>5827.2</v>
          </cell>
          <cell r="D3690">
            <v>3218.44</v>
          </cell>
        </row>
        <row r="3691">
          <cell r="A3691">
            <v>44041</v>
          </cell>
          <cell r="B3691">
            <v>6682.01</v>
          </cell>
          <cell r="C3691">
            <v>5899.63</v>
          </cell>
          <cell r="D3691">
            <v>3258.44</v>
          </cell>
        </row>
        <row r="3692">
          <cell r="A3692">
            <v>44042</v>
          </cell>
          <cell r="B3692">
            <v>6658.02</v>
          </cell>
          <cell r="C3692">
            <v>5878.17</v>
          </cell>
          <cell r="D3692">
            <v>3246.22</v>
          </cell>
        </row>
        <row r="3693">
          <cell r="A3693">
            <v>44043</v>
          </cell>
          <cell r="B3693">
            <v>6709.81</v>
          </cell>
          <cell r="C3693">
            <v>5923.7</v>
          </cell>
          <cell r="D3693">
            <v>3271.12</v>
          </cell>
        </row>
        <row r="3694">
          <cell r="A3694">
            <v>44046</v>
          </cell>
          <cell r="B3694">
            <v>6758.2</v>
          </cell>
          <cell r="C3694">
            <v>5966.37</v>
          </cell>
          <cell r="D3694">
            <v>3294.61</v>
          </cell>
        </row>
        <row r="3695">
          <cell r="A3695">
            <v>44047</v>
          </cell>
          <cell r="B3695">
            <v>6782.6</v>
          </cell>
          <cell r="C3695">
            <v>5987.91</v>
          </cell>
          <cell r="D3695">
            <v>3306.51</v>
          </cell>
        </row>
        <row r="3696">
          <cell r="A3696">
            <v>44048</v>
          </cell>
          <cell r="B3696">
            <v>6826.22</v>
          </cell>
          <cell r="C3696">
            <v>6026.42</v>
          </cell>
          <cell r="D3696">
            <v>3327.77</v>
          </cell>
        </row>
        <row r="3697">
          <cell r="A3697">
            <v>44049</v>
          </cell>
          <cell r="B3697">
            <v>6870.86</v>
          </cell>
          <cell r="C3697">
            <v>6065.62</v>
          </cell>
          <cell r="D3697">
            <v>3349.16</v>
          </cell>
        </row>
        <row r="3698">
          <cell r="A3698">
            <v>44050</v>
          </cell>
          <cell r="B3698">
            <v>6876.65</v>
          </cell>
          <cell r="C3698">
            <v>6070.35</v>
          </cell>
          <cell r="D3698">
            <v>3351.28</v>
          </cell>
        </row>
        <row r="3699">
          <cell r="A3699">
            <v>44053</v>
          </cell>
          <cell r="B3699">
            <v>6895.59</v>
          </cell>
          <cell r="C3699">
            <v>6087.05</v>
          </cell>
          <cell r="D3699">
            <v>3360.47</v>
          </cell>
        </row>
        <row r="3700">
          <cell r="A3700">
            <v>44054</v>
          </cell>
          <cell r="B3700">
            <v>6840.67</v>
          </cell>
          <cell r="C3700">
            <v>6038.56</v>
          </cell>
          <cell r="D3700">
            <v>3333.69</v>
          </cell>
        </row>
        <row r="3701">
          <cell r="A3701">
            <v>44055</v>
          </cell>
          <cell r="B3701">
            <v>6937.44</v>
          </cell>
          <cell r="C3701">
            <v>6123.71</v>
          </cell>
          <cell r="D3701">
            <v>3380.35</v>
          </cell>
        </row>
        <row r="3702">
          <cell r="A3702">
            <v>44056</v>
          </cell>
          <cell r="B3702">
            <v>6924.96</v>
          </cell>
          <cell r="C3702">
            <v>6112.24</v>
          </cell>
          <cell r="D3702">
            <v>3373.43</v>
          </cell>
        </row>
        <row r="3703">
          <cell r="A3703">
            <v>44057</v>
          </cell>
          <cell r="B3703">
            <v>6924.28</v>
          </cell>
          <cell r="C3703">
            <v>6111.5</v>
          </cell>
          <cell r="D3703">
            <v>3372.85</v>
          </cell>
        </row>
        <row r="3704">
          <cell r="A3704">
            <v>44060</v>
          </cell>
          <cell r="B3704">
            <v>6943.22</v>
          </cell>
          <cell r="C3704">
            <v>6128.18</v>
          </cell>
          <cell r="D3704">
            <v>3381.99</v>
          </cell>
        </row>
        <row r="3705">
          <cell r="A3705">
            <v>44061</v>
          </cell>
          <cell r="B3705">
            <v>6960.3</v>
          </cell>
          <cell r="C3705">
            <v>6142.96</v>
          </cell>
          <cell r="D3705">
            <v>3389.78</v>
          </cell>
        </row>
        <row r="3706">
          <cell r="A3706">
            <v>44062</v>
          </cell>
          <cell r="B3706">
            <v>6930.8</v>
          </cell>
          <cell r="C3706">
            <v>6116.62</v>
          </cell>
          <cell r="D3706">
            <v>3374.85</v>
          </cell>
        </row>
        <row r="3707">
          <cell r="A3707">
            <v>44063</v>
          </cell>
          <cell r="B3707">
            <v>6952.92</v>
          </cell>
          <cell r="C3707">
            <v>6136.09</v>
          </cell>
          <cell r="D3707">
            <v>3385.51</v>
          </cell>
        </row>
        <row r="3708">
          <cell r="A3708">
            <v>44064</v>
          </cell>
          <cell r="B3708">
            <v>6977.27</v>
          </cell>
          <cell r="C3708">
            <v>6157.46</v>
          </cell>
          <cell r="D3708">
            <v>3397.16</v>
          </cell>
        </row>
        <row r="3709">
          <cell r="A3709">
            <v>44067</v>
          </cell>
          <cell r="B3709">
            <v>7048.17</v>
          </cell>
          <cell r="C3709">
            <v>6219.81</v>
          </cell>
          <cell r="D3709">
            <v>3431.28</v>
          </cell>
        </row>
        <row r="3710">
          <cell r="A3710">
            <v>44068</v>
          </cell>
          <cell r="B3710">
            <v>7073.6</v>
          </cell>
          <cell r="C3710">
            <v>6242.23</v>
          </cell>
          <cell r="D3710">
            <v>3443.62</v>
          </cell>
        </row>
        <row r="3711">
          <cell r="A3711">
            <v>44069</v>
          </cell>
          <cell r="B3711">
            <v>7145.77</v>
          </cell>
          <cell r="C3711">
            <v>6305.91</v>
          </cell>
          <cell r="D3711">
            <v>3478.73</v>
          </cell>
        </row>
        <row r="3712">
          <cell r="A3712">
            <v>44070</v>
          </cell>
          <cell r="B3712">
            <v>7158.18</v>
          </cell>
          <cell r="C3712">
            <v>6316.74</v>
          </cell>
          <cell r="D3712">
            <v>3484.55</v>
          </cell>
        </row>
        <row r="3713">
          <cell r="A3713">
            <v>44071</v>
          </cell>
          <cell r="B3713">
            <v>7207.1</v>
          </cell>
          <cell r="C3713">
            <v>6359.71</v>
          </cell>
          <cell r="D3713">
            <v>3508.01</v>
          </cell>
        </row>
        <row r="3714">
          <cell r="A3714">
            <v>44074</v>
          </cell>
          <cell r="B3714">
            <v>7192.11</v>
          </cell>
          <cell r="C3714">
            <v>6346.27</v>
          </cell>
          <cell r="D3714">
            <v>3500.31</v>
          </cell>
        </row>
        <row r="3715">
          <cell r="A3715">
            <v>44075</v>
          </cell>
          <cell r="B3715">
            <v>7246.37</v>
          </cell>
          <cell r="C3715">
            <v>6394.11</v>
          </cell>
          <cell r="D3715">
            <v>3526.65</v>
          </cell>
        </row>
        <row r="3716">
          <cell r="A3716">
            <v>44076</v>
          </cell>
          <cell r="B3716">
            <v>7358.49</v>
          </cell>
          <cell r="C3716">
            <v>6492.84</v>
          </cell>
          <cell r="D3716">
            <v>3580.84</v>
          </cell>
        </row>
        <row r="3717">
          <cell r="A3717">
            <v>44077</v>
          </cell>
          <cell r="B3717">
            <v>7101.38</v>
          </cell>
          <cell r="C3717">
            <v>6265.62</v>
          </cell>
          <cell r="D3717">
            <v>3455.06</v>
          </cell>
        </row>
        <row r="3718">
          <cell r="A3718">
            <v>44078</v>
          </cell>
          <cell r="B3718">
            <v>7043.62</v>
          </cell>
          <cell r="C3718">
            <v>6214.66</v>
          </cell>
          <cell r="D3718">
            <v>3426.96</v>
          </cell>
        </row>
        <row r="3719">
          <cell r="A3719">
            <v>44082</v>
          </cell>
          <cell r="B3719">
            <v>6848.42</v>
          </cell>
          <cell r="C3719">
            <v>6042.35</v>
          </cell>
          <cell r="D3719">
            <v>3331.84</v>
          </cell>
        </row>
        <row r="3720">
          <cell r="A3720">
            <v>44083</v>
          </cell>
          <cell r="B3720">
            <v>6986.76</v>
          </cell>
          <cell r="C3720">
            <v>6164.3</v>
          </cell>
          <cell r="D3720">
            <v>3398.96</v>
          </cell>
        </row>
        <row r="3721">
          <cell r="A3721">
            <v>44084</v>
          </cell>
          <cell r="B3721">
            <v>6864.23</v>
          </cell>
          <cell r="C3721">
            <v>6056.11</v>
          </cell>
          <cell r="D3721">
            <v>3339.19</v>
          </cell>
        </row>
        <row r="3722">
          <cell r="A3722">
            <v>44085</v>
          </cell>
          <cell r="B3722">
            <v>6868.22</v>
          </cell>
          <cell r="C3722">
            <v>6059.54</v>
          </cell>
          <cell r="D3722">
            <v>3340.97</v>
          </cell>
        </row>
        <row r="3723">
          <cell r="A3723">
            <v>44088</v>
          </cell>
          <cell r="B3723">
            <v>6957.91</v>
          </cell>
          <cell r="C3723">
            <v>6138.09</v>
          </cell>
          <cell r="D3723">
            <v>3383.54</v>
          </cell>
        </row>
        <row r="3724">
          <cell r="A3724">
            <v>44089</v>
          </cell>
          <cell r="B3724">
            <v>6994.33</v>
          </cell>
          <cell r="C3724">
            <v>6170.2</v>
          </cell>
          <cell r="D3724">
            <v>3401.2</v>
          </cell>
        </row>
        <row r="3725">
          <cell r="A3725">
            <v>44090</v>
          </cell>
          <cell r="B3725">
            <v>6962.29</v>
          </cell>
          <cell r="C3725">
            <v>6141.86</v>
          </cell>
          <cell r="D3725">
            <v>3385.49</v>
          </cell>
        </row>
        <row r="3726">
          <cell r="A3726">
            <v>44091</v>
          </cell>
          <cell r="B3726">
            <v>6903.82</v>
          </cell>
          <cell r="C3726">
            <v>6090.25</v>
          </cell>
          <cell r="D3726">
            <v>3357.01</v>
          </cell>
        </row>
        <row r="3727">
          <cell r="A3727">
            <v>44092</v>
          </cell>
          <cell r="B3727">
            <v>6826.72</v>
          </cell>
          <cell r="C3727">
            <v>6022.21</v>
          </cell>
          <cell r="D3727">
            <v>3319.47</v>
          </cell>
        </row>
        <row r="3728">
          <cell r="A3728">
            <v>44095</v>
          </cell>
          <cell r="B3728">
            <v>6748.08</v>
          </cell>
          <cell r="C3728">
            <v>5952.74</v>
          </cell>
          <cell r="D3728">
            <v>3281.06</v>
          </cell>
        </row>
        <row r="3729">
          <cell r="A3729">
            <v>44096</v>
          </cell>
          <cell r="B3729">
            <v>6819.08</v>
          </cell>
          <cell r="C3729">
            <v>6015.37</v>
          </cell>
          <cell r="D3729">
            <v>3315.57</v>
          </cell>
        </row>
        <row r="3730">
          <cell r="A3730">
            <v>44097</v>
          </cell>
          <cell r="B3730">
            <v>6657.82</v>
          </cell>
          <cell r="C3730">
            <v>5872.98</v>
          </cell>
          <cell r="D3730">
            <v>3236.92</v>
          </cell>
        </row>
        <row r="3731">
          <cell r="A3731">
            <v>44098</v>
          </cell>
          <cell r="B3731">
            <v>6678.04</v>
          </cell>
          <cell r="C3731">
            <v>5890.73</v>
          </cell>
          <cell r="D3731">
            <v>3246.59</v>
          </cell>
        </row>
        <row r="3732">
          <cell r="A3732">
            <v>44099</v>
          </cell>
          <cell r="B3732">
            <v>6784.95</v>
          </cell>
          <cell r="C3732">
            <v>5984.98</v>
          </cell>
          <cell r="D3732">
            <v>3298.46</v>
          </cell>
        </row>
        <row r="3733">
          <cell r="A3733">
            <v>44102</v>
          </cell>
          <cell r="B3733">
            <v>6894.27</v>
          </cell>
          <cell r="C3733">
            <v>6081.41</v>
          </cell>
          <cell r="D3733">
            <v>3351.6</v>
          </cell>
        </row>
        <row r="3734">
          <cell r="A3734">
            <v>44103</v>
          </cell>
          <cell r="B3734">
            <v>6861.96</v>
          </cell>
          <cell r="C3734">
            <v>6052.68</v>
          </cell>
          <cell r="D3734">
            <v>3335.47</v>
          </cell>
        </row>
        <row r="3735">
          <cell r="A3735">
            <v>44104</v>
          </cell>
          <cell r="B3735">
            <v>6918.83</v>
          </cell>
          <cell r="C3735">
            <v>6102.78</v>
          </cell>
          <cell r="D3735">
            <v>3363</v>
          </cell>
        </row>
        <row r="3736">
          <cell r="A3736">
            <v>44105</v>
          </cell>
          <cell r="B3736">
            <v>6956.2</v>
          </cell>
          <cell r="C3736">
            <v>6135.54</v>
          </cell>
          <cell r="D3736">
            <v>3380.8</v>
          </cell>
        </row>
        <row r="3737">
          <cell r="A3737">
            <v>44106</v>
          </cell>
          <cell r="B3737">
            <v>6889.65</v>
          </cell>
          <cell r="C3737">
            <v>6076.84</v>
          </cell>
          <cell r="D3737">
            <v>3348.44</v>
          </cell>
        </row>
        <row r="3738">
          <cell r="A3738">
            <v>44109</v>
          </cell>
          <cell r="B3738">
            <v>7014.23</v>
          </cell>
          <cell r="C3738">
            <v>6186.52</v>
          </cell>
          <cell r="D3738">
            <v>3408.63</v>
          </cell>
        </row>
        <row r="3739">
          <cell r="A3739">
            <v>44110</v>
          </cell>
          <cell r="B3739">
            <v>6916.4</v>
          </cell>
          <cell r="C3739">
            <v>6100.16</v>
          </cell>
          <cell r="D3739">
            <v>3360.95</v>
          </cell>
        </row>
        <row r="3740">
          <cell r="A3740">
            <v>44111</v>
          </cell>
          <cell r="B3740">
            <v>7036.91</v>
          </cell>
          <cell r="C3740">
            <v>6206.42</v>
          </cell>
          <cell r="D3740">
            <v>3419.45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 Sharpe"/>
      <sheetName val="CME FedWatch"/>
      <sheetName val="Spread"/>
      <sheetName val="Data-Interest Rates"/>
      <sheetName val="Data-Volatility"/>
      <sheetName val="Data-Equity Market"/>
      <sheetName val="Term Structure"/>
      <sheetName val="Economic Data"/>
    </sheetNames>
    <sheetDataSet>
      <sheetData sheetId="0">
        <row r="6">
          <cell r="H6" t="str">
            <v>S&amp;P500 VIX (Quarterly Average)</v>
          </cell>
          <cell r="I6" t="str">
            <v xml:space="preserve">Historic Average VIX </v>
          </cell>
          <cell r="L6" t="str">
            <v>Quarterly Average Spread (10yr minus Fed Funds Rate)</v>
          </cell>
          <cell r="M6" t="str">
            <v>Historic Average Spread</v>
          </cell>
          <cell r="R6" t="str">
            <v>ERP Estimate</v>
          </cell>
          <cell r="S6" t="str">
            <v>Historic Average ERP</v>
          </cell>
        </row>
        <row r="15">
          <cell r="G15" t="str">
            <v>4Q2020E</v>
          </cell>
          <cell r="H15">
            <v>32</v>
          </cell>
          <cell r="I15">
            <v>18.996947258848717</v>
          </cell>
          <cell r="L15">
            <v>2.5000000000000001E-3</v>
          </cell>
          <cell r="M15">
            <v>1.5043233998906535E-2</v>
          </cell>
          <cell r="R15">
            <v>0.10236432038262237</v>
          </cell>
          <cell r="S15">
            <v>6.0052515968180752E-2</v>
          </cell>
        </row>
        <row r="16">
          <cell r="G16" t="str">
            <v>3Q2020</v>
          </cell>
          <cell r="H16">
            <v>25.879999999999988</v>
          </cell>
          <cell r="I16">
            <v>18.996947258848717</v>
          </cell>
          <cell r="L16">
            <v>5.6064516129032283E-3</v>
          </cell>
          <cell r="M16">
            <v>1.5043233998906535E-2</v>
          </cell>
          <cell r="R16">
            <v>8.7476113998048166E-2</v>
          </cell>
          <cell r="S16">
            <v>6.0052515968180752E-2</v>
          </cell>
        </row>
        <row r="17">
          <cell r="G17" t="str">
            <v>2Q2020</v>
          </cell>
          <cell r="H17">
            <v>34.791249999999991</v>
          </cell>
          <cell r="I17">
            <v>18.885930279152731</v>
          </cell>
          <cell r="L17">
            <v>9.7169254658385062E-3</v>
          </cell>
          <cell r="M17">
            <v>1.5195440166422719E-2</v>
          </cell>
          <cell r="R17">
            <v>7.925063698885991E-2</v>
          </cell>
          <cell r="S17">
            <v>5.9811958090725766E-2</v>
          </cell>
        </row>
        <row r="18">
          <cell r="G18" t="str">
            <v>1Q2020</v>
          </cell>
          <cell r="H18">
            <v>30.947619047619046</v>
          </cell>
          <cell r="I18">
            <v>18.494378757989637</v>
          </cell>
          <cell r="L18">
            <v>1.1565734989648063E-3</v>
          </cell>
          <cell r="M18">
            <v>1.5285251882825739E-2</v>
          </cell>
          <cell r="R18">
            <v>6.2994707938600916E-2</v>
          </cell>
          <cell r="S18">
            <v>5.9639934383662628E-2</v>
          </cell>
        </row>
        <row r="19">
          <cell r="G19" t="str">
            <v>4Q2019</v>
          </cell>
          <cell r="H19">
            <v>14.020461538461536</v>
          </cell>
          <cell r="I19">
            <v>18.494378757989637</v>
          </cell>
          <cell r="L19">
            <v>1.4177163338453605E-3</v>
          </cell>
          <cell r="M19">
            <v>1.5520729855890088E-2</v>
          </cell>
          <cell r="R19">
            <v>5.1748523213995493E-2</v>
          </cell>
          <cell r="S19">
            <v>5.9609981048350691E-2</v>
          </cell>
        </row>
        <row r="20">
          <cell r="G20" t="str">
            <v>3Q2019</v>
          </cell>
          <cell r="H20">
            <v>15.946615384615388</v>
          </cell>
          <cell r="I20">
            <v>18.494378757989637</v>
          </cell>
          <cell r="L20">
            <v>-3.9053598014888412E-3</v>
          </cell>
          <cell r="M20">
            <v>1.5759763983382372E-2</v>
          </cell>
          <cell r="R20">
            <v>5.7657199008710552E-2</v>
          </cell>
          <cell r="S20">
            <v>5.9680804992804343E-2</v>
          </cell>
        </row>
        <row r="21">
          <cell r="G21" t="str">
            <v>2Q2019</v>
          </cell>
          <cell r="H21">
            <v>15.160000000000004</v>
          </cell>
          <cell r="I21">
            <v>18.405195522279552</v>
          </cell>
          <cell r="L21">
            <v>-5.7717391304347443E-4</v>
          </cell>
          <cell r="M21">
            <v>1.6098817841742219E-2</v>
          </cell>
          <cell r="R21">
            <v>5.5061425363328038E-2</v>
          </cell>
          <cell r="S21">
            <v>5.9699201410841549E-2</v>
          </cell>
        </row>
        <row r="22">
          <cell r="G22" t="str">
            <v>1Q2019</v>
          </cell>
          <cell r="H22">
            <v>16.47</v>
          </cell>
          <cell r="I22">
            <v>18.423028855612884</v>
          </cell>
          <cell r="L22">
            <v>2.5179014533852941E-3</v>
          </cell>
          <cell r="M22">
            <v>1.6391379100598111E-2</v>
          </cell>
          <cell r="R22">
            <v>5.5210545473068875E-2</v>
          </cell>
          <cell r="S22">
            <v>5.9741749814947176E-2</v>
          </cell>
        </row>
        <row r="23">
          <cell r="G23" t="str">
            <v>4Q2018</v>
          </cell>
          <cell r="H23">
            <v>21.053650793650796</v>
          </cell>
          <cell r="I23">
            <v>18.423028855612884</v>
          </cell>
          <cell r="L23">
            <v>8.2161290322580634E-3</v>
          </cell>
          <cell r="M23">
            <v>1.6391379100598111E-2</v>
          </cell>
          <cell r="R23">
            <v>5.1902721022397076E-2</v>
          </cell>
          <cell r="S23">
            <v>5.978370541070531E-2</v>
          </cell>
        </row>
        <row r="24">
          <cell r="G24" t="str">
            <v>3Q2018</v>
          </cell>
          <cell r="H24">
            <v>12.856825396825391</v>
          </cell>
          <cell r="I24">
            <v>18.423028855612884</v>
          </cell>
          <cell r="L24">
            <v>9.9663474462365967E-3</v>
          </cell>
          <cell r="M24">
            <v>1.6391379100598111E-2</v>
          </cell>
          <cell r="R24">
            <v>4.3528712804729516E-2</v>
          </cell>
          <cell r="S24">
            <v>5.9857359470409127E-2</v>
          </cell>
        </row>
        <row r="25">
          <cell r="G25" t="str">
            <v>2Q2018</v>
          </cell>
          <cell r="H25">
            <v>15.337499999999999</v>
          </cell>
          <cell r="I25">
            <v>18.423028855612884</v>
          </cell>
          <cell r="L25">
            <v>1.1816505016722406E-2</v>
          </cell>
          <cell r="M25">
            <v>1.6391379100598111E-2</v>
          </cell>
          <cell r="R25">
            <v>4.2038293220477752E-2</v>
          </cell>
          <cell r="S25">
            <v>5.9857359470409127E-2</v>
          </cell>
        </row>
        <row r="26">
          <cell r="G26" t="str">
            <v>1Q2018</v>
          </cell>
          <cell r="H26">
            <v>17.354754098360658</v>
          </cell>
          <cell r="I26">
            <v>18.531995704320995</v>
          </cell>
          <cell r="L26">
            <v>1.3070276497695835E-2</v>
          </cell>
          <cell r="M26">
            <v>1.6391379100598111E-2</v>
          </cell>
          <cell r="R26">
            <v>3.8990379604338668E-2</v>
          </cell>
          <cell r="S26">
            <v>5.9857359470409127E-2</v>
          </cell>
        </row>
        <row r="27">
          <cell r="G27" t="str">
            <v>4Q2017</v>
          </cell>
          <cell r="H27">
            <v>10.307936507936502</v>
          </cell>
          <cell r="I27">
            <v>18.553017875856</v>
          </cell>
          <cell r="L27">
            <v>1.1676753712237599E-2</v>
          </cell>
          <cell r="M27">
            <v>1.6391379100598111E-2</v>
          </cell>
          <cell r="R27">
            <v>3.4577411945600538E-2</v>
          </cell>
          <cell r="S27">
            <v>5.9857359470409127E-2</v>
          </cell>
        </row>
        <row r="28">
          <cell r="G28" t="str">
            <v>3Q2017</v>
          </cell>
          <cell r="H28">
            <v>10.944285714285712</v>
          </cell>
          <cell r="I28">
            <v>18.702928446181808</v>
          </cell>
          <cell r="L28">
            <v>1.0898118279569916E-2</v>
          </cell>
          <cell r="M28">
            <v>1.6391379100598111E-2</v>
          </cell>
          <cell r="R28">
            <v>3.7530914179244791E-2</v>
          </cell>
          <cell r="S28">
            <v>5.9857359470409127E-2</v>
          </cell>
        </row>
        <row r="29">
          <cell r="G29" t="str">
            <v>2Q2017</v>
          </cell>
          <cell r="H29">
            <v>11.426349206349204</v>
          </cell>
          <cell r="I29">
            <v>18.846607015290996</v>
          </cell>
          <cell r="L29">
            <v>1.317146739130437E-2</v>
          </cell>
          <cell r="M29">
            <v>1.6391379100598111E-2</v>
          </cell>
          <cell r="R29">
            <v>3.9315188418408351E-2</v>
          </cell>
          <cell r="S29">
            <v>5.9857359470409127E-2</v>
          </cell>
        </row>
        <row r="30">
          <cell r="G30" t="str">
            <v>1Q2017</v>
          </cell>
          <cell r="H30">
            <v>11.691935483870967</v>
          </cell>
          <cell r="I30">
            <v>18.986611879610653</v>
          </cell>
          <cell r="L30">
            <v>1.74941391941392E-2</v>
          </cell>
          <cell r="M30">
            <v>1.6391379100598111E-2</v>
          </cell>
          <cell r="R30">
            <v>4.262684238077407E-2</v>
          </cell>
          <cell r="S30">
            <v>5.9857359470409127E-2</v>
          </cell>
        </row>
        <row r="31">
          <cell r="G31" t="str">
            <v>4Q2016</v>
          </cell>
          <cell r="H31">
            <v>14.097936507936511</v>
          </cell>
          <cell r="I31">
            <v>19.126894117990261</v>
          </cell>
          <cell r="L31">
            <v>1.6835483870967741E-2</v>
          </cell>
          <cell r="M31">
            <v>1.6391379100598111E-2</v>
          </cell>
          <cell r="R31">
            <v>4.9480131838338812E-2</v>
          </cell>
          <cell r="S31">
            <v>5.9857359470409127E-2</v>
          </cell>
        </row>
        <row r="32">
          <cell r="G32" t="str">
            <v>3Q2016</v>
          </cell>
          <cell r="H32">
            <v>13.233906249999997</v>
          </cell>
          <cell r="I32">
            <v>19.2255011299521</v>
          </cell>
          <cell r="L32">
            <v>1.169359801488834E-2</v>
          </cell>
          <cell r="M32">
            <v>1.6391379100598111E-2</v>
          </cell>
          <cell r="R32">
            <v>5.176761132440752E-2</v>
          </cell>
          <cell r="S32">
            <v>5.9857359470409127E-2</v>
          </cell>
        </row>
        <row r="33">
          <cell r="G33" t="str">
            <v>2Q2016</v>
          </cell>
          <cell r="H33">
            <v>15.675937500000002</v>
          </cell>
          <cell r="I33">
            <v>19.345333027551142</v>
          </cell>
          <cell r="L33">
            <v>1.3825719063545142E-2</v>
          </cell>
          <cell r="M33">
            <v>1.6391379100598111E-2</v>
          </cell>
          <cell r="R33">
            <v>5.6500569430515374E-2</v>
          </cell>
          <cell r="S33">
            <v>5.9857359470409127E-2</v>
          </cell>
        </row>
        <row r="34">
          <cell r="G34" t="str">
            <v>1Q2016</v>
          </cell>
          <cell r="H34">
            <v>20.486229508196722</v>
          </cell>
          <cell r="I34">
            <v>19.42021865056239</v>
          </cell>
          <cell r="L34">
            <v>1.5619565217391301E-2</v>
          </cell>
          <cell r="M34">
            <v>1.6391379100598111E-2</v>
          </cell>
          <cell r="R34">
            <v>5.4992039900022681E-2</v>
          </cell>
          <cell r="S34">
            <v>5.9857359470409127E-2</v>
          </cell>
        </row>
        <row r="35">
          <cell r="G35" t="str">
            <v>4Q2015</v>
          </cell>
          <cell r="H35">
            <v>17.033281250000005</v>
          </cell>
          <cell r="I35">
            <v>19.39801009102834</v>
          </cell>
          <cell r="L35">
            <v>2.0283051715309773E-2</v>
          </cell>
          <cell r="M35">
            <v>1.6391379100598111E-2</v>
          </cell>
          <cell r="R35">
            <v>5.1936080432441717E-2</v>
          </cell>
          <cell r="S35">
            <v>5.9857359470409127E-2</v>
          </cell>
        </row>
        <row r="36">
          <cell r="G36" t="str">
            <v xml:space="preserve">3Q2015 </v>
          </cell>
          <cell r="H36">
            <v>19.307343750000005</v>
          </cell>
          <cell r="I36">
            <v>19.44832347062469</v>
          </cell>
          <cell r="L36">
            <v>2.090883374689826E-2</v>
          </cell>
          <cell r="M36">
            <v>1.6391379100598111E-2</v>
          </cell>
          <cell r="R36">
            <v>5.1187233189000425E-2</v>
          </cell>
          <cell r="S36">
            <v>5.9857359470409127E-2</v>
          </cell>
        </row>
        <row r="37">
          <cell r="G37" t="str">
            <v>2Q2015</v>
          </cell>
          <cell r="H37">
            <v>13.740158730158734</v>
          </cell>
          <cell r="I37">
            <v>19.451388247160008</v>
          </cell>
          <cell r="L37">
            <v>2.0360317725752503E-2</v>
          </cell>
          <cell r="M37">
            <v>1.6391379100598111E-2</v>
          </cell>
          <cell r="R37">
            <v>4.6328614862529746E-2</v>
          </cell>
          <cell r="S37">
            <v>5.9857359470409127E-2</v>
          </cell>
        </row>
        <row r="38">
          <cell r="G38" t="str">
            <v>1Q2015</v>
          </cell>
          <cell r="H38">
            <v>16.564754098360655</v>
          </cell>
          <cell r="I38">
            <v>19.578304458648923</v>
          </cell>
          <cell r="L38">
            <v>1.8597890818858563E-2</v>
          </cell>
          <cell r="M38">
            <v>1.6391379100598111E-2</v>
          </cell>
          <cell r="R38">
            <v>4.5547842315779213E-2</v>
          </cell>
          <cell r="S38">
            <v>5.9857359470409127E-2</v>
          </cell>
        </row>
        <row r="39">
          <cell r="G39" t="str">
            <v>4Q2014</v>
          </cell>
          <cell r="H39">
            <v>16.072343750000002</v>
          </cell>
          <cell r="I39">
            <v>19.646794239564567</v>
          </cell>
          <cell r="L39">
            <v>2.1788735279057846E-2</v>
          </cell>
          <cell r="M39">
            <v>1.6391379100598111E-2</v>
          </cell>
          <cell r="R39">
            <v>4.4195074672193461E-2</v>
          </cell>
          <cell r="S39">
            <v>5.9857359470409127E-2</v>
          </cell>
        </row>
        <row r="40">
          <cell r="G40" t="str">
            <v>3Q2014</v>
          </cell>
          <cell r="H40">
            <v>13.072656249999998</v>
          </cell>
          <cell r="I40">
            <v>19.729920995135842</v>
          </cell>
          <cell r="L40">
            <v>2.4108602150537638E-2</v>
          </cell>
          <cell r="M40">
            <v>1.6391379100598111E-2</v>
          </cell>
          <cell r="R40">
            <v>4.2761549697065915E-2</v>
          </cell>
          <cell r="S40">
            <v>5.9857359470409127E-2</v>
          </cell>
        </row>
        <row r="41">
          <cell r="G41" t="str">
            <v>2Q2014</v>
          </cell>
          <cell r="H41">
            <v>12.73825396825397</v>
          </cell>
          <cell r="I41">
            <v>19.888427298591452</v>
          </cell>
          <cell r="L41">
            <v>2.5320040760869564E-2</v>
          </cell>
          <cell r="M41">
            <v>1.6391379100598111E-2</v>
          </cell>
          <cell r="R41">
            <v>4.3702174893095844E-2</v>
          </cell>
          <cell r="S41">
            <v>5.9857359470409127E-2</v>
          </cell>
        </row>
        <row r="42">
          <cell r="G42" t="str">
            <v>1Q2014</v>
          </cell>
          <cell r="H42">
            <v>14.828852459016396</v>
          </cell>
          <cell r="I42">
            <v>20.062821770063099</v>
          </cell>
          <cell r="L42">
            <v>2.6976409074796169E-2</v>
          </cell>
          <cell r="M42">
            <v>1.6391379100598111E-2</v>
          </cell>
          <cell r="R42">
            <v>4.5337727238625843E-2</v>
          </cell>
          <cell r="S42">
            <v>5.9857359470409127E-2</v>
          </cell>
        </row>
        <row r="43">
          <cell r="G43" t="str">
            <v>4Q2013</v>
          </cell>
          <cell r="H43">
            <v>14.232812499999994</v>
          </cell>
          <cell r="I43">
            <v>20.193671002839267</v>
          </cell>
          <cell r="L43">
            <v>2.6572708653353806E-2</v>
          </cell>
          <cell r="M43">
            <v>1.6391379100598111E-2</v>
          </cell>
          <cell r="R43">
            <v>4.432320899440944E-2</v>
          </cell>
          <cell r="S43">
            <v>5.9857359470409127E-2</v>
          </cell>
        </row>
        <row r="44">
          <cell r="G44" t="str">
            <v>3Q2013</v>
          </cell>
          <cell r="H44">
            <v>14.2796875</v>
          </cell>
          <cell r="I44">
            <v>20.346513528553093</v>
          </cell>
          <cell r="L44">
            <v>2.6186385442514466E-2</v>
          </cell>
          <cell r="M44">
            <v>1.6391379100598111E-2</v>
          </cell>
          <cell r="R44">
            <v>4.62870859304663E-2</v>
          </cell>
          <cell r="S44">
            <v>5.9857359470409127E-2</v>
          </cell>
        </row>
        <row r="45">
          <cell r="G45" t="str">
            <v>2Q2013</v>
          </cell>
          <cell r="H45">
            <v>14.837031250000001</v>
          </cell>
          <cell r="I45">
            <v>20.506166845093965</v>
          </cell>
          <cell r="L45">
            <v>1.8689180602006684E-2</v>
          </cell>
          <cell r="M45">
            <v>1.6391379100598111E-2</v>
          </cell>
          <cell r="R45">
            <v>4.7777872738814731E-2</v>
          </cell>
          <cell r="S45">
            <v>5.9857359470409127E-2</v>
          </cell>
        </row>
        <row r="46">
          <cell r="G46" t="str">
            <v>1Q2013</v>
          </cell>
          <cell r="H46">
            <v>13.526999999999997</v>
          </cell>
          <cell r="I46">
            <v>20.659386726042445</v>
          </cell>
          <cell r="L46">
            <v>1.8051197982345526E-2</v>
          </cell>
          <cell r="M46">
            <v>1.6391379100598111E-2</v>
          </cell>
          <cell r="R46">
            <v>5.1829145023244969E-2</v>
          </cell>
          <cell r="S46">
            <v>5.9857359470409127E-2</v>
          </cell>
        </row>
        <row r="47">
          <cell r="G47" t="str">
            <v>4Q2012</v>
          </cell>
          <cell r="H47">
            <v>16.752903225806453</v>
          </cell>
          <cell r="I47">
            <v>20.857508579543627</v>
          </cell>
          <cell r="L47">
            <v>1.5456989247311825E-2</v>
          </cell>
          <cell r="M47">
            <v>1.6391379100598111E-2</v>
          </cell>
          <cell r="R47">
            <v>5.5473901018236987E-2</v>
          </cell>
          <cell r="S47">
            <v>5.9857359470409127E-2</v>
          </cell>
        </row>
        <row r="48">
          <cell r="G48" t="str">
            <v>3Q2012</v>
          </cell>
          <cell r="H48">
            <v>16.192698412698412</v>
          </cell>
          <cell r="I48">
            <v>20.974783018221828</v>
          </cell>
          <cell r="L48">
            <v>1.4979553091397844E-2</v>
          </cell>
          <cell r="M48">
            <v>1.6391379100598111E-2</v>
          </cell>
          <cell r="R48">
            <v>6.575007868267721E-2</v>
          </cell>
          <cell r="S48">
            <v>5.9857359470409127E-2</v>
          </cell>
        </row>
        <row r="49">
          <cell r="G49" t="str">
            <v>2Q2012</v>
          </cell>
          <cell r="H49">
            <v>20.035714285714285</v>
          </cell>
          <cell r="I49">
            <v>21.115432565443104</v>
          </cell>
          <cell r="L49">
            <v>1.6803695652173913E-2</v>
          </cell>
          <cell r="M49">
            <v>1.6391379100598111E-2</v>
          </cell>
          <cell r="R49">
            <v>7.6964733438049451E-2</v>
          </cell>
          <cell r="S49">
            <v>5.9857359470409127E-2</v>
          </cell>
        </row>
        <row r="50">
          <cell r="G50" t="str">
            <v>1Q2012</v>
          </cell>
          <cell r="H50">
            <v>18.204032258064515</v>
          </cell>
          <cell r="I50">
            <v>21.148151301192463</v>
          </cell>
          <cell r="L50">
            <v>1.9341407867494827E-2</v>
          </cell>
          <cell r="M50">
            <v>1.6391379100598111E-2</v>
          </cell>
          <cell r="R50">
            <v>7.4974950930598708E-2</v>
          </cell>
          <cell r="S50">
            <v>5.9857359470409127E-2</v>
          </cell>
        </row>
        <row r="51">
          <cell r="G51" t="str">
            <v>4Q2011</v>
          </cell>
          <cell r="H51">
            <v>29.939523809523823</v>
          </cell>
          <cell r="I51">
            <v>21.24015502129021</v>
          </cell>
          <cell r="L51">
            <v>1.9704838709677409E-2</v>
          </cell>
          <cell r="M51">
            <v>1.6391379100598111E-2</v>
          </cell>
          <cell r="R51">
            <v>7.5295087546016715E-2</v>
          </cell>
          <cell r="S51">
            <v>5.9857359470409127E-2</v>
          </cell>
        </row>
        <row r="52">
          <cell r="G52" t="str">
            <v>3Q2011</v>
          </cell>
          <cell r="H52">
            <v>30.583593749999995</v>
          </cell>
          <cell r="I52">
            <v>20.959530221669773</v>
          </cell>
          <cell r="L52">
            <v>2.3425591397849471E-2</v>
          </cell>
          <cell r="M52">
            <v>1.6391379100598111E-2</v>
          </cell>
          <cell r="R52">
            <v>6.7018200438125689E-2</v>
          </cell>
          <cell r="S52">
            <v>5.9857359470409127E-2</v>
          </cell>
        </row>
        <row r="53">
          <cell r="G53" t="str">
            <v>2Q2011</v>
          </cell>
          <cell r="H53">
            <v>17.482380952380954</v>
          </cell>
          <cell r="I53">
            <v>20.638728104058771</v>
          </cell>
          <cell r="L53">
            <v>3.1109510869565218E-2</v>
          </cell>
          <cell r="M53">
            <v>1.6391379100598111E-2</v>
          </cell>
          <cell r="R53">
            <v>6.2108684851856895E-2</v>
          </cell>
          <cell r="S53">
            <v>5.9857359470409127E-2</v>
          </cell>
        </row>
        <row r="54">
          <cell r="G54" t="str">
            <v>1Q2011</v>
          </cell>
          <cell r="H54">
            <v>18.614838709677429</v>
          </cell>
          <cell r="I54">
            <v>20.747567661013175</v>
          </cell>
          <cell r="L54">
            <v>3.3006349206349213E-2</v>
          </cell>
          <cell r="M54">
            <v>1.6391379100598111E-2</v>
          </cell>
          <cell r="R54">
            <v>6.905140043035296E-2</v>
          </cell>
          <cell r="S54">
            <v>5.9857359470409127E-2</v>
          </cell>
        </row>
        <row r="55">
          <cell r="G55" t="str">
            <v>4Q2010</v>
          </cell>
          <cell r="H55">
            <v>19.318437500000002</v>
          </cell>
          <cell r="I55">
            <v>20.82373655213231</v>
          </cell>
          <cell r="L55">
            <v>2.6837173579109082E-2</v>
          </cell>
          <cell r="M55">
            <v>1.6391379100598111E-2</v>
          </cell>
          <cell r="R55">
            <v>7.0247477986707538E-2</v>
          </cell>
          <cell r="S55">
            <v>5.9857359470409127E-2</v>
          </cell>
        </row>
        <row r="56">
          <cell r="G56" t="str">
            <v>3Q2010</v>
          </cell>
          <cell r="H56">
            <v>24.283593749999998</v>
          </cell>
          <cell r="I56">
            <v>20.879488368877951</v>
          </cell>
          <cell r="L56">
            <v>2.599642679900746E-2</v>
          </cell>
          <cell r="M56">
            <v>1.6391379100598111E-2</v>
          </cell>
          <cell r="R56">
            <v>7.3171148094393554E-2</v>
          </cell>
          <cell r="S56">
            <v>5.9857359470409127E-2</v>
          </cell>
        </row>
        <row r="57">
          <cell r="G57" t="str">
            <v>2Q2010</v>
          </cell>
          <cell r="H57">
            <v>26.391428571428573</v>
          </cell>
          <cell r="I57">
            <v>20.748561238834796</v>
          </cell>
          <cell r="L57">
            <v>3.3069765886287621E-2</v>
          </cell>
          <cell r="M57">
            <v>1.6391379100598111E-2</v>
          </cell>
          <cell r="R57">
            <v>7.4108363904599683E-2</v>
          </cell>
          <cell r="S57">
            <v>5.9857359470409127E-2</v>
          </cell>
        </row>
        <row r="58">
          <cell r="G58" t="str">
            <v>1Q2010</v>
          </cell>
          <cell r="H58">
            <v>20.14967213114754</v>
          </cell>
          <cell r="I58">
            <v>20.522846545531046</v>
          </cell>
          <cell r="L58">
            <v>3.5870329670329673E-2</v>
          </cell>
          <cell r="M58">
            <v>1.6391379100598111E-2</v>
          </cell>
          <cell r="R58">
            <v>7.9270591517644665E-2</v>
          </cell>
          <cell r="S58">
            <v>5.9857359470409127E-2</v>
          </cell>
        </row>
        <row r="59">
          <cell r="G59" t="str">
            <v>4Q2009</v>
          </cell>
          <cell r="H59">
            <v>23.070156250000004</v>
          </cell>
          <cell r="I59">
            <v>20.538395479463691</v>
          </cell>
          <cell r="L59">
            <v>3.3437378392217103E-2</v>
          </cell>
          <cell r="M59">
            <v>1.6391379100598111E-2</v>
          </cell>
          <cell r="R59">
            <v>9.8636158501140075E-2</v>
          </cell>
          <cell r="S59">
            <v>5.9857359470409127E-2</v>
          </cell>
        </row>
        <row r="60">
          <cell r="G60" t="str">
            <v>3Q2009</v>
          </cell>
          <cell r="H60">
            <v>25.486249999999998</v>
          </cell>
          <cell r="I60">
            <v>20.428318924222985</v>
          </cell>
          <cell r="L60">
            <v>3.3629462365591389E-2</v>
          </cell>
          <cell r="M60">
            <v>1.6391379100598111E-2</v>
          </cell>
          <cell r="R60">
            <v>0.12632098020927515</v>
          </cell>
          <cell r="S60">
            <v>5.9857359470409127E-2</v>
          </cell>
        </row>
        <row r="61">
          <cell r="G61" t="str">
            <v>2Q2009</v>
          </cell>
          <cell r="H61">
            <v>33.015714285714282</v>
          </cell>
          <cell r="I61">
            <v>20.198412966233118</v>
          </cell>
          <cell r="L61">
            <v>3.1334239130434788E-2</v>
          </cell>
          <cell r="M61">
            <v>1.6391379100598111E-2</v>
          </cell>
          <cell r="R61">
            <v>0.12599915854026453</v>
          </cell>
          <cell r="S61">
            <v>5.9857359470409127E-2</v>
          </cell>
        </row>
        <row r="62">
          <cell r="G62" t="str">
            <v>1Q2009</v>
          </cell>
          <cell r="H62">
            <v>44.999999999999993</v>
          </cell>
          <cell r="I62">
            <v>19.588065284353064</v>
          </cell>
          <cell r="L62">
            <v>2.5444310528181496E-2</v>
          </cell>
          <cell r="M62">
            <v>1.6391379100598111E-2</v>
          </cell>
          <cell r="R62">
            <v>0.11758969271002946</v>
          </cell>
          <cell r="S62">
            <v>5.9857359470409127E-2</v>
          </cell>
        </row>
        <row r="63">
          <cell r="G63" t="str">
            <v>4Q2008</v>
          </cell>
          <cell r="H63">
            <v>58.595937500000012</v>
          </cell>
          <cell r="I63">
            <v>18.317468548570712</v>
          </cell>
          <cell r="L63">
            <v>2.722724014336917E-2</v>
          </cell>
          <cell r="M63">
            <v>1.6391379100598111E-2</v>
          </cell>
          <cell r="R63">
            <v>0.10287685946715101</v>
          </cell>
          <cell r="S63">
            <v>5.9857359470409127E-2</v>
          </cell>
        </row>
        <row r="64">
          <cell r="G64" t="str">
            <v>3Q2008</v>
          </cell>
          <cell r="H64">
            <v>25.073281250000004</v>
          </cell>
          <cell r="I64">
            <v>16.197549130074435</v>
          </cell>
          <cell r="L64">
            <v>1.9178097601323409E-2</v>
          </cell>
          <cell r="M64">
            <v>1.6391379100598111E-2</v>
          </cell>
          <cell r="R64">
            <v>7.4381334515628603E-2</v>
          </cell>
          <cell r="S64">
            <v>5.9857359470409127E-2</v>
          </cell>
        </row>
        <row r="65">
          <cell r="G65" t="str">
            <v>2Q2008</v>
          </cell>
          <cell r="H65">
            <v>22.224499999999999</v>
          </cell>
          <cell r="I65">
            <v>15.704452901189683</v>
          </cell>
          <cell r="L65">
            <v>1.785575250836121E-2</v>
          </cell>
          <cell r="M65">
            <v>1.6391379100598111E-2</v>
          </cell>
          <cell r="R65">
            <v>7.1666236098299349E-2</v>
          </cell>
          <cell r="S65">
            <v>5.9857359470409127E-2</v>
          </cell>
        </row>
        <row r="66">
          <cell r="G66" t="str">
            <v>1Q2008</v>
          </cell>
          <cell r="H66">
            <v>26.120163934426223</v>
          </cell>
          <cell r="I66">
            <v>15.320920718906724</v>
          </cell>
          <cell r="L66">
            <v>4.911816269284712E-3</v>
          </cell>
          <cell r="M66">
            <v>1.6391379100598111E-2</v>
          </cell>
          <cell r="R66">
            <v>6.5048056941267487E-2</v>
          </cell>
          <cell r="S66">
            <v>5.9857359470409127E-2</v>
          </cell>
        </row>
        <row r="67">
          <cell r="G67" t="str">
            <v>4Q2007</v>
          </cell>
          <cell r="H67">
            <v>22.029843750000001</v>
          </cell>
          <cell r="I67">
            <v>14.645968017936752</v>
          </cell>
          <cell r="L67">
            <v>-2.248131080389161E-3</v>
          </cell>
          <cell r="M67">
            <v>1.6391379100598111E-2</v>
          </cell>
          <cell r="R67">
            <v>5.4483591903367434E-2</v>
          </cell>
          <cell r="S67">
            <v>5.9857359470409127E-2</v>
          </cell>
        </row>
        <row r="68">
          <cell r="G68" t="str">
            <v>3Q2007</v>
          </cell>
          <cell r="H68">
            <v>21.589206349206346</v>
          </cell>
          <cell r="I68">
            <v>14.153709635799204</v>
          </cell>
          <cell r="L68">
            <v>-3.3391297043010859E-3</v>
          </cell>
          <cell r="M68">
            <v>1.6391379100598111E-2</v>
          </cell>
          <cell r="R68">
            <v>4.5915378188556455E-2</v>
          </cell>
          <cell r="S68">
            <v>5.9857359470409127E-2</v>
          </cell>
        </row>
        <row r="69">
          <cell r="G69" t="str">
            <v>2Q2007</v>
          </cell>
          <cell r="H69">
            <v>13.731904761904756</v>
          </cell>
          <cell r="I69">
            <v>13.622602727698693</v>
          </cell>
          <cell r="L69">
            <v>-4.098578595317752E-3</v>
          </cell>
          <cell r="M69">
            <v>1.6391379100598111E-2</v>
          </cell>
          <cell r="R69">
            <v>3.96956688736467E-2</v>
          </cell>
          <cell r="S69">
            <v>5.9857359470409127E-2</v>
          </cell>
        </row>
        <row r="70">
          <cell r="G70" t="str">
            <v>1Q2007</v>
          </cell>
          <cell r="H70">
            <v>12.563606557377048</v>
          </cell>
          <cell r="I70">
            <v>13.614194878913612</v>
          </cell>
          <cell r="L70">
            <v>-5.7410256410256669E-3</v>
          </cell>
          <cell r="M70">
            <v>1.6391379100598111E-2</v>
          </cell>
          <cell r="R70">
            <v>4.0316625493527505E-2</v>
          </cell>
          <cell r="S70">
            <v>5.9857359470409127E-2</v>
          </cell>
        </row>
        <row r="71">
          <cell r="G71" t="str">
            <v>4Q2006</v>
          </cell>
          <cell r="H71">
            <v>11.034920634920635</v>
          </cell>
          <cell r="I71">
            <v>13.701743905708327</v>
          </cell>
          <cell r="L71">
            <v>-6.1318484383000235E-3</v>
          </cell>
          <cell r="M71">
            <v>1.6391379100598111E-2</v>
          </cell>
          <cell r="R71">
            <v>3.9910470462698022E-2</v>
          </cell>
          <cell r="S71">
            <v>5.9857359470409127E-2</v>
          </cell>
        </row>
        <row r="72">
          <cell r="G72" t="str">
            <v>3Q2006</v>
          </cell>
          <cell r="H72">
            <v>13.607936507936504</v>
          </cell>
          <cell r="I72">
            <v>13.944182384870844</v>
          </cell>
          <cell r="L72">
            <v>-3.4572580645161263E-3</v>
          </cell>
          <cell r="M72">
            <v>1.6391379100598111E-2</v>
          </cell>
          <cell r="R72">
            <v>4.1271750861460642E-2</v>
          </cell>
          <cell r="S72">
            <v>5.9857359470409127E-2</v>
          </cell>
        </row>
        <row r="73">
          <cell r="G73" t="str">
            <v>2Q2006</v>
          </cell>
          <cell r="H73">
            <v>14.528730158730159</v>
          </cell>
          <cell r="I73">
            <v>13.977806972564277</v>
          </cell>
          <cell r="L73">
            <v>1.6078804347826117E-3</v>
          </cell>
          <cell r="M73">
            <v>1.6391379100598111E-2</v>
          </cell>
          <cell r="R73">
            <v>4.0214135799266047E-2</v>
          </cell>
          <cell r="S73">
            <v>5.9857359470409127E-2</v>
          </cell>
        </row>
        <row r="74">
          <cell r="G74" t="str">
            <v>1Q2006</v>
          </cell>
          <cell r="H74">
            <v>12.042419354838714</v>
          </cell>
          <cell r="I74">
            <v>13.916593285212512</v>
          </cell>
          <cell r="L74">
            <v>1.2401709401709954E-3</v>
          </cell>
          <cell r="M74">
            <v>1.6391379100598111E-2</v>
          </cell>
          <cell r="R74">
            <v>3.9340252616426256E-2</v>
          </cell>
          <cell r="S74">
            <v>5.9857359470409127E-2</v>
          </cell>
        </row>
        <row r="75">
          <cell r="G75" t="str">
            <v>4Q2005</v>
          </cell>
          <cell r="H75">
            <v>12.781746031746035</v>
          </cell>
          <cell r="I75">
            <v>14.150865026509237</v>
          </cell>
          <cell r="L75">
            <v>5.0806451612903369E-3</v>
          </cell>
          <cell r="M75">
            <v>1.6391379100598111E-2</v>
          </cell>
          <cell r="R75">
            <v>3.9920533844083332E-2</v>
          </cell>
          <cell r="S75">
            <v>5.9857359470409127E-2</v>
          </cell>
        </row>
        <row r="76">
          <cell r="G76" t="str">
            <v>3Q2005</v>
          </cell>
          <cell r="H76">
            <v>12.250781249999998</v>
          </cell>
          <cell r="I76">
            <v>14.346453454332551</v>
          </cell>
          <cell r="L76">
            <v>7.5210587262200049E-3</v>
          </cell>
          <cell r="M76">
            <v>1.6391379100598111E-2</v>
          </cell>
          <cell r="R76">
            <v>4.0597153905985325E-2</v>
          </cell>
          <cell r="S76">
            <v>5.9857359470409127E-2</v>
          </cell>
        </row>
        <row r="77">
          <cell r="G77" t="str">
            <v>2Q2005</v>
          </cell>
          <cell r="H77">
            <v>13.407343750000003</v>
          </cell>
          <cell r="I77">
            <v>14.695732155054642</v>
          </cell>
          <cell r="L77">
            <v>1.2218896321070233E-2</v>
          </cell>
          <cell r="M77">
            <v>1.6391379100598111E-2</v>
          </cell>
          <cell r="R77">
            <v>4.3082474407754486E-2</v>
          </cell>
          <cell r="S77">
            <v>5.9857359470409127E-2</v>
          </cell>
        </row>
        <row r="78">
          <cell r="G78" t="str">
            <v>1Q2005</v>
          </cell>
          <cell r="H78">
            <v>12.787049180327864</v>
          </cell>
          <cell r="I78">
            <v>14.953409836065571</v>
          </cell>
          <cell r="L78">
            <v>1.8390641616448072E-2</v>
          </cell>
          <cell r="M78">
            <v>1.6391379100598111E-2</v>
          </cell>
          <cell r="R78">
            <v>4.5282137083001162E-2</v>
          </cell>
          <cell r="S78">
            <v>5.9857359470409127E-2</v>
          </cell>
        </row>
        <row r="79">
          <cell r="G79" t="str">
            <v>4Q2004</v>
          </cell>
          <cell r="R79">
            <v>4.830028191062543E-2</v>
          </cell>
          <cell r="S79">
            <v>5.9857359470409127E-2</v>
          </cell>
        </row>
        <row r="80">
          <cell r="G80" t="str">
            <v>3Q2004</v>
          </cell>
          <cell r="R80">
            <v>5.12459912623867E-2</v>
          </cell>
          <cell r="S80">
            <v>5.9857359470409127E-2</v>
          </cell>
        </row>
        <row r="81">
          <cell r="G81" t="str">
            <v>2Q2004</v>
          </cell>
          <cell r="R81">
            <v>5.426962943297766E-2</v>
          </cell>
          <cell r="S81">
            <v>5.9857359470409127E-2</v>
          </cell>
        </row>
        <row r="82">
          <cell r="G82" t="str">
            <v>1Q2004</v>
          </cell>
          <cell r="R82">
            <v>5.8399856830949816E-2</v>
          </cell>
          <cell r="S82">
            <v>5.9857359470409127E-2</v>
          </cell>
        </row>
        <row r="83">
          <cell r="G83" t="str">
            <v>4Q2003</v>
          </cell>
          <cell r="R83">
            <v>6.8811147026592856E-2</v>
          </cell>
          <cell r="S83">
            <v>5.9857359470409127E-2</v>
          </cell>
        </row>
        <row r="84">
          <cell r="G84" t="str">
            <v>3Q2003</v>
          </cell>
          <cell r="R84">
            <v>7.9175679930938103E-2</v>
          </cell>
          <cell r="S84">
            <v>5.9857359470409127E-2</v>
          </cell>
        </row>
        <row r="85">
          <cell r="G85" t="str">
            <v>2Q2003</v>
          </cell>
          <cell r="R85">
            <v>9.1449468896610112E-2</v>
          </cell>
          <cell r="S85">
            <v>5.9857359470409127E-2</v>
          </cell>
        </row>
        <row r="86">
          <cell r="G86" t="str">
            <v>1Q2003</v>
          </cell>
          <cell r="R86">
            <v>9.1535190597322735E-2</v>
          </cell>
          <cell r="S86">
            <v>5.9857359470409127E-2</v>
          </cell>
        </row>
        <row r="87">
          <cell r="G87" t="str">
            <v>4Q2002</v>
          </cell>
          <cell r="R87">
            <v>8.4786554886673873E-2</v>
          </cell>
          <cell r="S87">
            <v>5.9857359470409127E-2</v>
          </cell>
        </row>
        <row r="88">
          <cell r="G88" t="str">
            <v>3Q2002</v>
          </cell>
          <cell r="R88">
            <v>8.2588962195677365E-2</v>
          </cell>
          <cell r="S88">
            <v>5.9857359470409127E-2</v>
          </cell>
        </row>
        <row r="89">
          <cell r="G89" t="str">
            <v>2Q2002</v>
          </cell>
          <cell r="R89">
            <v>7.5037659651082972E-2</v>
          </cell>
          <cell r="S89">
            <v>5.9857359470409127E-2</v>
          </cell>
        </row>
        <row r="90">
          <cell r="G90" t="str">
            <v>1Q2002</v>
          </cell>
          <cell r="R90">
            <v>7.6814436720399296E-2</v>
          </cell>
          <cell r="S90">
            <v>5.9857359470409127E-2</v>
          </cell>
        </row>
        <row r="91">
          <cell r="G91" t="str">
            <v>4Q2001</v>
          </cell>
          <cell r="R91">
            <v>8.0219926103255595E-2</v>
          </cell>
          <cell r="S91">
            <v>5.9857359470409127E-2</v>
          </cell>
        </row>
        <row r="92">
          <cell r="G92" t="str">
            <v>3Q2001</v>
          </cell>
          <cell r="R92">
            <v>7.8747071427374957E-2</v>
          </cell>
          <cell r="S92">
            <v>5.9857359470409127E-2</v>
          </cell>
        </row>
        <row r="93">
          <cell r="G93" t="str">
            <v>2Q2001</v>
          </cell>
          <cell r="R93">
            <v>7.3907691778052856E-2</v>
          </cell>
          <cell r="S93">
            <v>5.9857359470409127E-2</v>
          </cell>
        </row>
        <row r="94">
          <cell r="G94" t="str">
            <v>1Q2001</v>
          </cell>
          <cell r="R94">
            <v>7.4686979966349487E-2</v>
          </cell>
          <cell r="S94">
            <v>5.9857359470409127E-2</v>
          </cell>
        </row>
        <row r="95">
          <cell r="G95" t="str">
            <v>4Q2000</v>
          </cell>
          <cell r="R95">
            <v>7.2676416440544164E-2</v>
          </cell>
          <cell r="S95">
            <v>5.9857359470409127E-2</v>
          </cell>
        </row>
        <row r="96">
          <cell r="G96" t="str">
            <v>3Q2000</v>
          </cell>
          <cell r="R96">
            <v>7.0058008127867485E-2</v>
          </cell>
          <cell r="S96">
            <v>5.9857359470409127E-2</v>
          </cell>
        </row>
        <row r="97">
          <cell r="G97" t="str">
            <v>2Q2000</v>
          </cell>
          <cell r="R97">
            <v>7.3292054109298524E-2</v>
          </cell>
          <cell r="S97">
            <v>5.9857359470409127E-2</v>
          </cell>
        </row>
        <row r="98">
          <cell r="G98" t="str">
            <v>1Q2000</v>
          </cell>
          <cell r="R98">
            <v>7.2886824251384263E-2</v>
          </cell>
          <cell r="S98">
            <v>5.9857359470409127E-2</v>
          </cell>
        </row>
        <row r="99">
          <cell r="G99" t="str">
            <v>4Q1999</v>
          </cell>
          <cell r="R99">
            <v>7.6081905823400464E-2</v>
          </cell>
          <cell r="S99">
            <v>5.9857359470409127E-2</v>
          </cell>
        </row>
        <row r="100">
          <cell r="G100" t="str">
            <v>3Q1999</v>
          </cell>
          <cell r="R100">
            <v>8.1443408558881297E-2</v>
          </cell>
          <cell r="S100">
            <v>5.9857359470409127E-2</v>
          </cell>
        </row>
        <row r="101">
          <cell r="G101" t="str">
            <v>2Q1999</v>
          </cell>
          <cell r="R101">
            <v>8.6454231609628673E-2</v>
          </cell>
          <cell r="S101">
            <v>5.9857359470409127E-2</v>
          </cell>
        </row>
        <row r="102">
          <cell r="G102" t="str">
            <v>1Q1999</v>
          </cell>
          <cell r="R102">
            <v>8.4217674509217327E-2</v>
          </cell>
          <cell r="S102">
            <v>5.9857359470409127E-2</v>
          </cell>
        </row>
        <row r="103">
          <cell r="G103" t="str">
            <v>4Q1998</v>
          </cell>
          <cell r="R103">
            <v>7.9596495552618274E-2</v>
          </cell>
          <cell r="S103">
            <v>5.9857359470409127E-2</v>
          </cell>
        </row>
        <row r="104">
          <cell r="G104" t="str">
            <v>3Q1998</v>
          </cell>
          <cell r="R104">
            <v>7.7687239491291527E-2</v>
          </cell>
          <cell r="S104">
            <v>5.9857359470409127E-2</v>
          </cell>
        </row>
        <row r="105">
          <cell r="G105" t="str">
            <v>2Q1998</v>
          </cell>
          <cell r="R105">
            <v>7.1998435716726095E-2</v>
          </cell>
          <cell r="S105">
            <v>5.9857359470409127E-2</v>
          </cell>
        </row>
        <row r="106">
          <cell r="G106" t="str">
            <v>1Q1998</v>
          </cell>
          <cell r="R106">
            <v>7.0743781733568517E-2</v>
          </cell>
          <cell r="S106">
            <v>5.9857359470409127E-2</v>
          </cell>
        </row>
        <row r="107">
          <cell r="G107" t="str">
            <v>4Q1997</v>
          </cell>
          <cell r="R107">
            <v>6.9652778269953239E-2</v>
          </cell>
          <cell r="S107">
            <v>5.9857359470409127E-2</v>
          </cell>
        </row>
        <row r="108">
          <cell r="G108" t="str">
            <v>3Q1997</v>
          </cell>
          <cell r="R108">
            <v>6.1953410969582477E-2</v>
          </cell>
          <cell r="S108">
            <v>5.9857359470409127E-2</v>
          </cell>
        </row>
        <row r="109">
          <cell r="G109" t="str">
            <v>2Q1997</v>
          </cell>
          <cell r="R109">
            <v>5.7534846941940561E-2</v>
          </cell>
          <cell r="S109">
            <v>5.9857359470409127E-2</v>
          </cell>
        </row>
        <row r="110">
          <cell r="G110" t="str">
            <v>1Q1997</v>
          </cell>
          <cell r="R110">
            <v>5.47683738734875E-2</v>
          </cell>
          <cell r="S110">
            <v>5.9857359470409127E-2</v>
          </cell>
        </row>
        <row r="111">
          <cell r="G111" t="str">
            <v>4Q1996</v>
          </cell>
          <cell r="R111">
            <v>5.1245991262386707E-2</v>
          </cell>
          <cell r="S111">
            <v>5.9857359470409127E-2</v>
          </cell>
        </row>
        <row r="112">
          <cell r="G112" t="str">
            <v>3Q1996</v>
          </cell>
          <cell r="R112">
            <v>4.7887259170828214E-2</v>
          </cell>
          <cell r="S112">
            <v>5.9857359470409127E-2</v>
          </cell>
        </row>
        <row r="113">
          <cell r="G113" t="str">
            <v>2Q1996</v>
          </cell>
          <cell r="R113">
            <v>4.4528527079269714E-2</v>
          </cell>
          <cell r="S113">
            <v>5.9857359470409127E-2</v>
          </cell>
        </row>
        <row r="114">
          <cell r="G114" t="str">
            <v>1Q1996</v>
          </cell>
          <cell r="R114">
            <v>4.1271102452189783E-2</v>
          </cell>
          <cell r="S114">
            <v>5.9857359470409127E-2</v>
          </cell>
        </row>
        <row r="115">
          <cell r="G115" t="str">
            <v>4Q1995</v>
          </cell>
          <cell r="R115">
            <v>3.8613729730098266E-2</v>
          </cell>
          <cell r="S115">
            <v>5.9857359470409127E-2</v>
          </cell>
        </row>
        <row r="116">
          <cell r="G116" t="str">
            <v>3Q1995</v>
          </cell>
          <cell r="R116">
            <v>4.0460642736361283E-2</v>
          </cell>
          <cell r="S116">
            <v>5.9857359470409127E-2</v>
          </cell>
        </row>
        <row r="117">
          <cell r="G117" t="str">
            <v>2Q1995</v>
          </cell>
          <cell r="R117">
            <v>4.049960714577612E-2</v>
          </cell>
          <cell r="S117">
            <v>5.9857359470409127E-2</v>
          </cell>
        </row>
        <row r="118">
          <cell r="G118" t="str">
            <v>1Q1995</v>
          </cell>
          <cell r="R118">
            <v>4.2307555742624306E-2</v>
          </cell>
          <cell r="S118">
            <v>5.9857359470409127E-2</v>
          </cell>
        </row>
        <row r="119">
          <cell r="G119" t="str">
            <v>4Q1994</v>
          </cell>
          <cell r="R119">
            <v>4.3437523615654429E-2</v>
          </cell>
          <cell r="S119">
            <v>5.9857359470409127E-2</v>
          </cell>
        </row>
        <row r="120">
          <cell r="G120" t="str">
            <v>3Q1994</v>
          </cell>
          <cell r="R120">
            <v>4.1216552279009021E-2</v>
          </cell>
          <cell r="S120">
            <v>5.9857359470409127E-2</v>
          </cell>
        </row>
        <row r="121">
          <cell r="G121" t="str">
            <v>2Q1994</v>
          </cell>
          <cell r="R121">
            <v>4.0904837003690367E-2</v>
          </cell>
          <cell r="S121">
            <v>5.9857359470409127E-2</v>
          </cell>
        </row>
        <row r="122">
          <cell r="G122" t="str">
            <v>1Q1994</v>
          </cell>
          <cell r="R122">
            <v>3.9704733193713544E-2</v>
          </cell>
          <cell r="S122">
            <v>5.9857359470409127E-2</v>
          </cell>
        </row>
        <row r="123">
          <cell r="G123" t="str">
            <v>4Q1993</v>
          </cell>
          <cell r="R123">
            <v>3.9564461319820145E-2</v>
          </cell>
          <cell r="S123">
            <v>5.9857359470409127E-2</v>
          </cell>
        </row>
        <row r="124">
          <cell r="G124" t="str">
            <v>3Q1993</v>
          </cell>
          <cell r="R124">
            <v>4.1387995680434282E-2</v>
          </cell>
          <cell r="S124">
            <v>5.9857359470409127E-2</v>
          </cell>
        </row>
        <row r="125">
          <cell r="G125" t="str">
            <v>2Q1993</v>
          </cell>
          <cell r="R125">
            <v>4.2775128655602283E-2</v>
          </cell>
          <cell r="S125">
            <v>5.9857359470409127E-2</v>
          </cell>
        </row>
        <row r="126">
          <cell r="G126" t="str">
            <v>1Q1993</v>
          </cell>
          <cell r="R126">
            <v>4.4840242354588368E-2</v>
          </cell>
          <cell r="S126">
            <v>5.9857359470409127E-2</v>
          </cell>
        </row>
        <row r="127">
          <cell r="G127" t="str">
            <v>4Q1992</v>
          </cell>
          <cell r="R127">
            <v>4.8191181564263906E-2</v>
          </cell>
          <cell r="S127">
            <v>5.9857359470409127E-2</v>
          </cell>
        </row>
        <row r="128">
          <cell r="G128" t="str">
            <v>3Q1992</v>
          </cell>
          <cell r="R128">
            <v>5.0295259672664808E-2</v>
          </cell>
          <cell r="S128">
            <v>5.9857359470409127E-2</v>
          </cell>
        </row>
        <row r="129">
          <cell r="G129" t="str">
            <v>2Q1992</v>
          </cell>
          <cell r="R129">
            <v>5.2422716426714623E-2</v>
          </cell>
          <cell r="S129">
            <v>5.9857359470409127E-2</v>
          </cell>
        </row>
        <row r="130">
          <cell r="G130" t="str">
            <v>1Q1992</v>
          </cell>
          <cell r="R130">
            <v>5.361502735480847E-2</v>
          </cell>
          <cell r="S130">
            <v>5.9857359470409127E-2</v>
          </cell>
        </row>
      </sheetData>
      <sheetData sheetId="1">
        <row r="98">
          <cell r="E98">
            <v>1.25E-3</v>
          </cell>
        </row>
        <row r="110">
          <cell r="E110">
            <v>1.25E-3</v>
          </cell>
        </row>
        <row r="122">
          <cell r="E122">
            <v>1.25E-3</v>
          </cell>
        </row>
        <row r="134">
          <cell r="E134">
            <v>1.25E-3</v>
          </cell>
        </row>
        <row r="146">
          <cell r="E146">
            <v>1.25E-3</v>
          </cell>
        </row>
      </sheetData>
      <sheetData sheetId="2"/>
      <sheetData sheetId="3">
        <row r="10801">
          <cell r="D10801">
            <v>4.3025806451612907E-2</v>
          </cell>
        </row>
        <row r="10865">
          <cell r="D10865">
            <v>4.1638461538461541E-2</v>
          </cell>
        </row>
        <row r="10929">
          <cell r="D10929">
            <v>4.2109230769230767E-2</v>
          </cell>
        </row>
        <row r="10990">
          <cell r="D10990">
            <v>4.4858064516129038E-2</v>
          </cell>
        </row>
        <row r="11052">
          <cell r="D11052">
            <v>4.574126984126986E-2</v>
          </cell>
        </row>
        <row r="11115">
          <cell r="D11115">
            <v>5.069375000000001E-2</v>
          </cell>
        </row>
        <row r="11178">
          <cell r="D11178">
            <v>4.8975000000000012E-2</v>
          </cell>
        </row>
        <row r="11240">
          <cell r="D11240">
            <v>4.6307936507936527E-2</v>
          </cell>
        </row>
        <row r="11302">
          <cell r="D11302">
            <v>4.6795238095238091E-2</v>
          </cell>
        </row>
        <row r="11366">
          <cell r="D11366">
            <v>4.8430769230769222E-2</v>
          </cell>
        </row>
        <row r="11429">
          <cell r="D11429">
            <v>4.7429687499999984E-2</v>
          </cell>
        </row>
        <row r="11491">
          <cell r="D11491">
            <v>4.2717460317460307E-2</v>
          </cell>
        </row>
        <row r="11552">
          <cell r="D11552">
            <v>3.6712903225806448E-2</v>
          </cell>
        </row>
        <row r="11616">
          <cell r="D11616">
            <v>3.8749230769230772E-2</v>
          </cell>
        </row>
        <row r="11680">
          <cell r="D11680">
            <v>3.8641538461538463E-2</v>
          </cell>
        </row>
        <row r="11742">
          <cell r="D11742">
            <v>3.2444444444444442E-2</v>
          </cell>
        </row>
        <row r="11803">
          <cell r="D11803">
            <v>2.7283870967741937E-2</v>
          </cell>
        </row>
        <row r="11866">
          <cell r="D11866">
            <v>3.3112500000000003E-2</v>
          </cell>
        </row>
        <row r="11930">
          <cell r="D11930">
            <v>3.5179999999999996E-2</v>
          </cell>
        </row>
        <row r="11992">
          <cell r="D11992">
            <v>3.4615873015873017E-2</v>
          </cell>
        </row>
        <row r="12053">
          <cell r="D12053">
            <v>3.7200000000000004E-2</v>
          </cell>
        </row>
        <row r="12117">
          <cell r="D12117">
            <v>3.4978461538461535E-2</v>
          </cell>
        </row>
        <row r="12181">
          <cell r="D12181">
            <v>2.7873846153846169E-2</v>
          </cell>
        </row>
        <row r="12243">
          <cell r="D12243">
            <v>2.8728571428571447E-2</v>
          </cell>
        </row>
        <row r="12305">
          <cell r="D12305">
            <v>3.4549206349206357E-2</v>
          </cell>
        </row>
        <row r="12368">
          <cell r="D12368">
            <v>3.2056250000000001E-2</v>
          </cell>
        </row>
        <row r="12432">
          <cell r="D12432">
            <v>2.4260000000000007E-2</v>
          </cell>
        </row>
        <row r="12493">
          <cell r="D12493">
            <v>2.044677419354838E-2</v>
          </cell>
        </row>
        <row r="12555">
          <cell r="D12555">
            <v>2.0376190476190482E-2</v>
          </cell>
        </row>
        <row r="12619">
          <cell r="D12619">
            <v>1.8319999999999999E-2</v>
          </cell>
        </row>
        <row r="12682">
          <cell r="D12682">
            <v>1.6417187499999996E-2</v>
          </cell>
        </row>
        <row r="12743">
          <cell r="D12743">
            <v>1.7061290322580643E-2</v>
          </cell>
        </row>
        <row r="12803">
          <cell r="D12803">
            <v>1.9481967213114758E-2</v>
          </cell>
        </row>
        <row r="12867">
          <cell r="D12867">
            <v>1.9844615384615377E-2</v>
          </cell>
        </row>
        <row r="12931">
          <cell r="D12931">
            <v>2.703692307692307E-2</v>
          </cell>
        </row>
        <row r="12993">
          <cell r="D12993">
            <v>2.7425396825396815E-2</v>
          </cell>
        </row>
        <row r="13054">
          <cell r="D13054">
            <v>2.7698387096774191E-2</v>
          </cell>
        </row>
        <row r="13117">
          <cell r="D13117">
            <v>2.6226562499999998E-2</v>
          </cell>
        </row>
        <row r="13181">
          <cell r="D13181">
            <v>2.5000000000000001E-2</v>
          </cell>
        </row>
        <row r="13243">
          <cell r="D13243">
            <v>2.2798412698412686E-2</v>
          </cell>
        </row>
        <row r="13304">
          <cell r="D13304">
            <v>1.9720967741935484E-2</v>
          </cell>
        </row>
        <row r="13368">
          <cell r="D13368">
            <v>2.1609230769230766E-2</v>
          </cell>
        </row>
        <row r="13432">
          <cell r="D13432">
            <v>2.225076923076923E-2</v>
          </cell>
        </row>
        <row r="13494">
          <cell r="D13494">
            <v>2.1884126984126978E-2</v>
          </cell>
        </row>
        <row r="13555">
          <cell r="D13555">
            <v>1.9199999999999998E-2</v>
          </cell>
        </row>
        <row r="13619">
          <cell r="D13619">
            <v>1.7506153846153838E-2</v>
          </cell>
        </row>
        <row r="13683">
          <cell r="D13683">
            <v>1.5632307692307688E-2</v>
          </cell>
        </row>
        <row r="13744">
          <cell r="D13744">
            <v>2.1299999999999996E-2</v>
          </cell>
        </row>
        <row r="13806">
          <cell r="D13806">
            <v>2.4466666666666657E-2</v>
          </cell>
        </row>
        <row r="13869">
          <cell r="D13869">
            <v>2.2631250000000002E-2</v>
          </cell>
        </row>
        <row r="13932">
          <cell r="D13932">
            <v>2.2425E-2</v>
          </cell>
        </row>
        <row r="13994">
          <cell r="D13994">
            <v>2.3707936507936508E-2</v>
          </cell>
        </row>
        <row r="14055">
          <cell r="D14055">
            <v>2.7527419354838708E-2</v>
          </cell>
        </row>
        <row r="14119">
          <cell r="D14119">
            <v>2.9178461538461545E-2</v>
          </cell>
        </row>
        <row r="14182">
          <cell r="D14182">
            <v>2.9226562500000008E-2</v>
          </cell>
        </row>
        <row r="14243">
          <cell r="D14243">
            <v>3.0412903225806448E-2</v>
          </cell>
        </row>
        <row r="14304">
          <cell r="D14304">
            <v>2.6535483870967744E-2</v>
          </cell>
        </row>
        <row r="14367">
          <cell r="D14367">
            <v>2.3400000000000004E-2</v>
          </cell>
        </row>
        <row r="14431">
          <cell r="D14431">
            <v>1.801076923076923E-2</v>
          </cell>
        </row>
        <row r="14493">
          <cell r="D14493">
            <v>1.7901587301587304E-2</v>
          </cell>
        </row>
        <row r="14555">
          <cell r="D14555">
            <v>1.3738095238095238E-2</v>
          </cell>
        </row>
        <row r="14618">
          <cell r="D14618">
            <v>1.0307142857142853E-2</v>
          </cell>
        </row>
        <row r="14682">
          <cell r="D14682">
            <v>6.203030303030304E-3</v>
          </cell>
        </row>
        <row r="15804">
          <cell r="L15804">
            <v>2.4635164835164834E-2</v>
          </cell>
        </row>
        <row r="15895">
          <cell r="L15895">
            <v>2.9419565217391308E-2</v>
          </cell>
        </row>
        <row r="15987">
          <cell r="L15987">
            <v>3.4588172043010762E-2</v>
          </cell>
        </row>
        <row r="16079">
          <cell r="L16079">
            <v>3.9777419354838701E-2</v>
          </cell>
        </row>
        <row r="16169">
          <cell r="L16169">
            <v>4.4501098901098865E-2</v>
          </cell>
        </row>
        <row r="16260">
          <cell r="L16260">
            <v>4.9085869565217398E-2</v>
          </cell>
        </row>
        <row r="16352">
          <cell r="L16352">
            <v>5.2432258064516138E-2</v>
          </cell>
        </row>
        <row r="16444">
          <cell r="L16444">
            <v>5.2439784946236551E-2</v>
          </cell>
        </row>
        <row r="16534">
          <cell r="L16534">
            <v>5.2536263736263758E-2</v>
          </cell>
        </row>
        <row r="16625">
          <cell r="L16625">
            <v>5.2529347826086974E-2</v>
          </cell>
        </row>
        <row r="16717">
          <cell r="L16717">
            <v>5.076881720430107E-2</v>
          </cell>
        </row>
        <row r="16809">
          <cell r="L16809">
            <v>4.4965591397849468E-2</v>
          </cell>
        </row>
        <row r="16900">
          <cell r="L16900">
            <v>3.1801086956521736E-2</v>
          </cell>
        </row>
        <row r="16991">
          <cell r="L16991">
            <v>2.0893478260869562E-2</v>
          </cell>
        </row>
        <row r="17083">
          <cell r="L17083">
            <v>1.9463440860215054E-2</v>
          </cell>
        </row>
        <row r="17175">
          <cell r="L17175">
            <v>5.2172043010752719E-3</v>
          </cell>
        </row>
        <row r="17265">
          <cell r="L17265">
            <v>1.8395604395604398E-3</v>
          </cell>
        </row>
        <row r="17356">
          <cell r="L17356">
            <v>1.7782608695652174E-3</v>
          </cell>
        </row>
        <row r="17448">
          <cell r="L17448">
            <v>1.5505376344086036E-3</v>
          </cell>
        </row>
        <row r="17540">
          <cell r="L17540">
            <v>1.1784946236559129E-3</v>
          </cell>
        </row>
        <row r="17630">
          <cell r="L17630">
            <v>1.3296703296703297E-3</v>
          </cell>
        </row>
        <row r="17721">
          <cell r="L17721">
            <v>1.9086956521739121E-3</v>
          </cell>
        </row>
        <row r="17813">
          <cell r="L17813">
            <v>1.8774193548387094E-3</v>
          </cell>
        </row>
        <row r="17905">
          <cell r="L17905">
            <v>1.8913978494623652E-3</v>
          </cell>
        </row>
        <row r="17995">
          <cell r="L17995">
            <v>1.5428571428571453E-3</v>
          </cell>
        </row>
        <row r="18086">
          <cell r="L18086">
            <v>9.4673913043478151E-4</v>
          </cell>
        </row>
        <row r="18178">
          <cell r="L18178">
            <v>8.3440860215053757E-4</v>
          </cell>
        </row>
        <row r="18270">
          <cell r="L18270">
            <v>7.4193548387096867E-4</v>
          </cell>
        </row>
        <row r="18361">
          <cell r="L18361">
            <v>1.0347826086956528E-3</v>
          </cell>
        </row>
        <row r="18452">
          <cell r="L18452">
            <v>1.5163043478260876E-3</v>
          </cell>
        </row>
        <row r="18544">
          <cell r="L18544">
            <v>1.4376344086021514E-3</v>
          </cell>
        </row>
        <row r="18636">
          <cell r="L18636">
            <v>1.6043010752688175E-3</v>
          </cell>
        </row>
        <row r="18726">
          <cell r="L18726">
            <v>1.4307692307692318E-3</v>
          </cell>
        </row>
        <row r="18817">
          <cell r="L18817">
            <v>1.1554347826086945E-3</v>
          </cell>
        </row>
        <row r="18909">
          <cell r="L18909">
            <v>8.5053763440860232E-4</v>
          </cell>
        </row>
        <row r="19001">
          <cell r="L19001">
            <v>8.5268817204301069E-4</v>
          </cell>
        </row>
        <row r="19091">
          <cell r="L19091">
            <v>7.2197802197802201E-4</v>
          </cell>
        </row>
        <row r="19182">
          <cell r="L19182">
            <v>9.0652173913043381E-4</v>
          </cell>
        </row>
        <row r="19274">
          <cell r="L19274">
            <v>8.9139784946236497E-4</v>
          </cell>
        </row>
        <row r="19366">
          <cell r="L19366">
            <v>1.0096774193548391E-3</v>
          </cell>
        </row>
        <row r="19456">
          <cell r="L19456">
            <v>1.1230769230769224E-3</v>
          </cell>
        </row>
        <row r="19547">
          <cell r="L19547">
            <v>1.2489130434782626E-3</v>
          </cell>
        </row>
        <row r="19639">
          <cell r="L19639">
            <v>1.3419354838709696E-3</v>
          </cell>
        </row>
        <row r="19731">
          <cell r="L19731">
            <v>1.6010752688172042E-3</v>
          </cell>
        </row>
        <row r="19822">
          <cell r="L19822">
            <v>3.580434782608697E-3</v>
          </cell>
        </row>
        <row r="19913">
          <cell r="L19913">
            <v>3.680434782608696E-3</v>
          </cell>
        </row>
        <row r="20005">
          <cell r="L20005">
            <v>3.9387096774193484E-3</v>
          </cell>
        </row>
        <row r="20097">
          <cell r="L20097">
            <v>4.4645161290322536E-3</v>
          </cell>
        </row>
        <row r="20187">
          <cell r="L20187">
            <v>6.9725274725274573E-3</v>
          </cell>
        </row>
        <row r="20278">
          <cell r="L20278">
            <v>9.459782608695632E-3</v>
          </cell>
        </row>
        <row r="20370">
          <cell r="L20370">
            <v>1.1526881720430085E-2</v>
          </cell>
        </row>
        <row r="20462">
          <cell r="L20462">
            <v>1.2031182795698909E-2</v>
          </cell>
        </row>
        <row r="20552">
          <cell r="L20552">
            <v>1.4457142857142873E-2</v>
          </cell>
        </row>
        <row r="20643">
          <cell r="L20643">
            <v>1.7361956521739139E-2</v>
          </cell>
        </row>
        <row r="20735">
          <cell r="L20735">
            <v>1.9260215053763411E-2</v>
          </cell>
        </row>
        <row r="20827">
          <cell r="L20827">
            <v>2.2196774193548385E-2</v>
          </cell>
        </row>
        <row r="20917">
          <cell r="L20917">
            <v>2.401758241758245E-2</v>
          </cell>
        </row>
        <row r="21008">
          <cell r="L21008">
            <v>2.3977173913043479E-2</v>
          </cell>
        </row>
        <row r="21100">
          <cell r="L21100">
            <v>2.1916129032258071E-2</v>
          </cell>
        </row>
        <row r="21192">
          <cell r="L21192">
            <v>1.6483870967741943E-2</v>
          </cell>
        </row>
        <row r="21283">
          <cell r="L21283">
            <v>1.2581521739130432E-2</v>
          </cell>
        </row>
        <row r="21374">
          <cell r="H21374">
            <v>0.58000000000000007</v>
          </cell>
          <cell r="L21374">
            <v>5.9021739130434741E-4</v>
          </cell>
        </row>
        <row r="21375">
          <cell r="H21375">
            <v>0.61</v>
          </cell>
        </row>
        <row r="21376">
          <cell r="H21376">
            <v>0.59000000000000008</v>
          </cell>
        </row>
        <row r="21377">
          <cell r="H21377">
            <v>0.59000000000000008</v>
          </cell>
        </row>
        <row r="21378">
          <cell r="H21378">
            <v>0.59000000000000008</v>
          </cell>
        </row>
        <row r="21379">
          <cell r="H21379">
            <v>0.59000000000000008</v>
          </cell>
        </row>
        <row r="21380">
          <cell r="H21380">
            <v>0.6</v>
          </cell>
        </row>
        <row r="21381">
          <cell r="H21381">
            <v>0.56000000000000005</v>
          </cell>
        </row>
        <row r="21382">
          <cell r="H21382">
            <v>0.58000000000000007</v>
          </cell>
        </row>
        <row r="21383">
          <cell r="H21383">
            <v>0.53</v>
          </cell>
        </row>
        <row r="21384">
          <cell r="H21384">
            <v>0.56000000000000005</v>
          </cell>
        </row>
        <row r="21385">
          <cell r="H21385">
            <v>0.56000000000000005</v>
          </cell>
        </row>
        <row r="21386">
          <cell r="H21386">
            <v>0.56000000000000005</v>
          </cell>
        </row>
        <row r="21387">
          <cell r="H21387">
            <v>0.55000000000000004</v>
          </cell>
        </row>
        <row r="21388">
          <cell r="H21388">
            <v>0.54</v>
          </cell>
        </row>
        <row r="21389">
          <cell r="H21389">
            <v>0.54</v>
          </cell>
        </row>
        <row r="21390">
          <cell r="H21390">
            <v>0.52</v>
          </cell>
        </row>
        <row r="21391">
          <cell r="H21391">
            <v>0.55000000000000004</v>
          </cell>
        </row>
        <row r="21392">
          <cell r="H21392">
            <v>0.55000000000000004</v>
          </cell>
        </row>
        <row r="21393">
          <cell r="H21393">
            <v>0.55000000000000004</v>
          </cell>
        </row>
        <row r="21394">
          <cell r="H21394">
            <v>0.52</v>
          </cell>
        </row>
        <row r="21395">
          <cell r="H21395">
            <v>0.51</v>
          </cell>
        </row>
        <row r="21396">
          <cell r="H21396">
            <v>0.51</v>
          </cell>
        </row>
        <row r="21397">
          <cell r="H21397">
            <v>0.5</v>
          </cell>
        </row>
        <row r="21398">
          <cell r="H21398">
            <v>0.5</v>
          </cell>
        </row>
        <row r="21399">
          <cell r="H21399">
            <v>0.5</v>
          </cell>
        </row>
        <row r="21400">
          <cell r="H21400">
            <v>0.5</v>
          </cell>
        </row>
        <row r="21401">
          <cell r="H21401">
            <v>0.52</v>
          </cell>
        </row>
        <row r="21402">
          <cell r="H21402">
            <v>0.49</v>
          </cell>
        </row>
        <row r="21403">
          <cell r="H21403">
            <v>0.48</v>
          </cell>
        </row>
        <row r="21404">
          <cell r="H21404">
            <v>0.45000000000000007</v>
          </cell>
        </row>
        <row r="21405">
          <cell r="H21405">
            <v>0.45000000000000007</v>
          </cell>
        </row>
        <row r="21406">
          <cell r="H21406">
            <v>0.45000000000000007</v>
          </cell>
        </row>
        <row r="21407">
          <cell r="H21407">
            <v>0.45000000000000007</v>
          </cell>
        </row>
        <row r="21408">
          <cell r="H21408">
            <v>0.46000000000000008</v>
          </cell>
        </row>
        <row r="21409">
          <cell r="H21409">
            <v>0.42000000000000004</v>
          </cell>
        </row>
        <row r="21410">
          <cell r="H21410">
            <v>0.45000000000000007</v>
          </cell>
        </row>
        <row r="21411">
          <cell r="H21411">
            <v>0.45000000000000007</v>
          </cell>
        </row>
        <row r="21412">
          <cell r="H21412">
            <v>0.47</v>
          </cell>
        </row>
        <row r="21413">
          <cell r="H21413">
            <v>0.47</v>
          </cell>
        </row>
        <row r="21414">
          <cell r="H21414">
            <v>0.47</v>
          </cell>
        </row>
        <row r="21415">
          <cell r="H21415">
            <v>0.49</v>
          </cell>
        </row>
        <row r="21416">
          <cell r="H21416">
            <v>0.54</v>
          </cell>
        </row>
        <row r="21417">
          <cell r="H21417">
            <v>0.59</v>
          </cell>
        </row>
        <row r="21418">
          <cell r="H21418">
            <v>0.61</v>
          </cell>
        </row>
        <row r="21419">
          <cell r="H21419">
            <v>0.61</v>
          </cell>
        </row>
        <row r="21420">
          <cell r="H21420">
            <v>0.61</v>
          </cell>
        </row>
        <row r="21421">
          <cell r="H21421">
            <v>0.61</v>
          </cell>
        </row>
        <row r="21422">
          <cell r="H21422">
            <v>0.59</v>
          </cell>
        </row>
        <row r="21423">
          <cell r="H21423">
            <v>0.58000000000000007</v>
          </cell>
        </row>
        <row r="21424">
          <cell r="H21424">
            <v>0.59000000000000008</v>
          </cell>
        </row>
        <row r="21425">
          <cell r="H21425">
            <v>0.56000000000000005</v>
          </cell>
        </row>
        <row r="21426">
          <cell r="H21426">
            <v>0.55000000000000004</v>
          </cell>
        </row>
        <row r="21427">
          <cell r="H21427">
            <v>0.55000000000000004</v>
          </cell>
        </row>
        <row r="21428">
          <cell r="H21428">
            <v>0.55000000000000004</v>
          </cell>
        </row>
        <row r="21429">
          <cell r="H21429">
            <v>0.56000000000000005</v>
          </cell>
        </row>
        <row r="21430">
          <cell r="H21430">
            <v>0.6</v>
          </cell>
        </row>
        <row r="21431">
          <cell r="H21431">
            <v>0.6</v>
          </cell>
        </row>
        <row r="21432">
          <cell r="H21432">
            <v>0.66</v>
          </cell>
        </row>
        <row r="21433">
          <cell r="H21433">
            <v>0.65</v>
          </cell>
        </row>
        <row r="21434">
          <cell r="H21434">
            <v>0.65</v>
          </cell>
        </row>
        <row r="21435">
          <cell r="H21435">
            <v>0.65</v>
          </cell>
        </row>
        <row r="21436">
          <cell r="H21436">
            <v>0.63</v>
          </cell>
        </row>
        <row r="21437">
          <cell r="H21437">
            <v>0.59000000000000008</v>
          </cell>
        </row>
        <row r="21438">
          <cell r="H21438">
            <v>0.57000000000000006</v>
          </cell>
        </row>
        <row r="21439">
          <cell r="H21439">
            <v>0.54</v>
          </cell>
        </row>
        <row r="21440">
          <cell r="H21440">
            <v>0.63</v>
          </cell>
        </row>
        <row r="21441">
          <cell r="H21441">
            <v>0.63</v>
          </cell>
        </row>
        <row r="21442">
          <cell r="H21442">
            <v>0.63</v>
          </cell>
        </row>
        <row r="21443">
          <cell r="H21443">
            <v>0.63</v>
          </cell>
        </row>
        <row r="21444">
          <cell r="H21444">
            <v>0.6</v>
          </cell>
        </row>
        <row r="21445">
          <cell r="H21445">
            <v>0.62</v>
          </cell>
        </row>
        <row r="21446">
          <cell r="H21446">
            <v>0.59000000000000008</v>
          </cell>
        </row>
        <row r="21447">
          <cell r="H21447">
            <v>0.58000000000000007</v>
          </cell>
        </row>
        <row r="21448">
          <cell r="H21448">
            <v>0.58000000000000007</v>
          </cell>
        </row>
        <row r="21449">
          <cell r="H21449">
            <v>0.58000000000000007</v>
          </cell>
        </row>
        <row r="21450">
          <cell r="H21450">
            <v>0.59000000000000008</v>
          </cell>
        </row>
        <row r="21451">
          <cell r="H21451">
            <v>0.59000000000000008</v>
          </cell>
        </row>
        <row r="21452">
          <cell r="H21452">
            <v>0.6</v>
          </cell>
        </row>
        <row r="21453">
          <cell r="H21453">
            <v>0.6</v>
          </cell>
        </row>
        <row r="21454">
          <cell r="H21454">
            <v>0.61</v>
          </cell>
        </row>
        <row r="21455">
          <cell r="H21455">
            <v>0.61</v>
          </cell>
        </row>
        <row r="21456">
          <cell r="H21456">
            <v>0.61</v>
          </cell>
        </row>
        <row r="21457">
          <cell r="H21457">
            <v>0.59000000000000008</v>
          </cell>
        </row>
        <row r="21458">
          <cell r="H21458">
            <v>0.59000000000000008</v>
          </cell>
        </row>
        <row r="21459">
          <cell r="H21459">
            <v>0.59000000000000008</v>
          </cell>
        </row>
        <row r="21460">
          <cell r="H21460">
            <v>0.58000000000000007</v>
          </cell>
        </row>
        <row r="21461">
          <cell r="H21461">
            <v>0.57000000000000006</v>
          </cell>
        </row>
        <row r="21462">
          <cell r="H21462">
            <v>0.57000000000000006</v>
          </cell>
        </row>
        <row r="21463">
          <cell r="H21463">
            <v>0.57000000000000006</v>
          </cell>
        </row>
        <row r="21464">
          <cell r="H21464">
            <v>0.58000000000000007</v>
          </cell>
        </row>
        <row r="21465">
          <cell r="H21465">
            <v>0.57000000000000006</v>
          </cell>
        </row>
        <row r="21466">
          <cell r="H21466">
            <v>0.6</v>
          </cell>
          <cell r="L21466">
            <v>9.2473118279569821E-4</v>
          </cell>
        </row>
      </sheetData>
      <sheetData sheetId="4">
        <row r="3853">
          <cell r="D3853">
            <v>12.787049180327864</v>
          </cell>
        </row>
        <row r="3917">
          <cell r="D3917">
            <v>13.407343750000003</v>
          </cell>
        </row>
        <row r="3981">
          <cell r="D3981">
            <v>12.250781249999998</v>
          </cell>
        </row>
        <row r="4044">
          <cell r="D4044">
            <v>12.781746031746035</v>
          </cell>
        </row>
        <row r="4106">
          <cell r="D4106">
            <v>12.042419354838714</v>
          </cell>
        </row>
        <row r="4169">
          <cell r="D4169">
            <v>14.528730158730159</v>
          </cell>
        </row>
        <row r="4232">
          <cell r="D4232">
            <v>13.607936507936504</v>
          </cell>
        </row>
        <row r="4295">
          <cell r="D4295">
            <v>11.034920634920635</v>
          </cell>
        </row>
        <row r="4356">
          <cell r="D4356">
            <v>12.563606557377048</v>
          </cell>
        </row>
        <row r="4419">
          <cell r="D4419">
            <v>13.731904761904756</v>
          </cell>
        </row>
        <row r="4482">
          <cell r="D4482">
            <v>21.589206349206346</v>
          </cell>
        </row>
        <row r="4546">
          <cell r="D4546">
            <v>22.029843750000001</v>
          </cell>
        </row>
        <row r="4607">
          <cell r="D4607">
            <v>26.120163934426223</v>
          </cell>
        </row>
        <row r="4671">
          <cell r="D4671">
            <v>22.224499999999999</v>
          </cell>
        </row>
        <row r="4735">
          <cell r="D4735">
            <v>25.073281250000004</v>
          </cell>
        </row>
        <row r="4799">
          <cell r="D4799">
            <v>58.595937500000012</v>
          </cell>
        </row>
        <row r="4860">
          <cell r="D4860">
            <v>44.999999999999993</v>
          </cell>
        </row>
        <row r="4923">
          <cell r="D4923">
            <v>33.015714285714282</v>
          </cell>
        </row>
        <row r="4987">
          <cell r="D4987">
            <v>25.486249999999998</v>
          </cell>
        </row>
        <row r="5051">
          <cell r="D5051">
            <v>23.070156250000004</v>
          </cell>
        </row>
        <row r="5112">
          <cell r="D5112">
            <v>20.14967213114754</v>
          </cell>
        </row>
        <row r="5175">
          <cell r="D5175">
            <v>26.391428571428573</v>
          </cell>
        </row>
        <row r="5239">
          <cell r="D5239">
            <v>24.283593749999998</v>
          </cell>
        </row>
        <row r="5303">
          <cell r="D5303">
            <v>19.318437500000002</v>
          </cell>
        </row>
        <row r="5365">
          <cell r="D5365">
            <v>18.614838709677429</v>
          </cell>
        </row>
        <row r="5428">
          <cell r="D5428">
            <v>17.482380952380954</v>
          </cell>
        </row>
        <row r="5492">
          <cell r="D5492">
            <v>30.583593749999995</v>
          </cell>
        </row>
        <row r="5555">
          <cell r="D5555">
            <v>29.939523809523823</v>
          </cell>
        </row>
        <row r="5617">
          <cell r="D5617">
            <v>18.204032258064515</v>
          </cell>
        </row>
        <row r="5680">
          <cell r="D5680">
            <v>20.035714285714285</v>
          </cell>
        </row>
        <row r="5743">
          <cell r="D5743">
            <v>16.192698412698412</v>
          </cell>
        </row>
        <row r="5805">
          <cell r="D5805">
            <v>16.752903225806453</v>
          </cell>
        </row>
        <row r="5865">
          <cell r="D5865">
            <v>13.526999999999997</v>
          </cell>
        </row>
        <row r="5929">
          <cell r="D5929">
            <v>14.837031250000001</v>
          </cell>
        </row>
        <row r="5993">
          <cell r="D5993">
            <v>14.2796875</v>
          </cell>
        </row>
        <row r="6057">
          <cell r="D6057">
            <v>14.232812499999994</v>
          </cell>
        </row>
        <row r="6118">
          <cell r="D6118">
            <v>14.828852459016396</v>
          </cell>
        </row>
        <row r="6181">
          <cell r="D6181">
            <v>12.73825396825397</v>
          </cell>
        </row>
        <row r="6245">
          <cell r="D6245">
            <v>13.072656249999998</v>
          </cell>
        </row>
        <row r="6309">
          <cell r="D6309">
            <v>16.072343750000002</v>
          </cell>
        </row>
        <row r="6370">
          <cell r="D6370">
            <v>16.564754098360655</v>
          </cell>
        </row>
        <row r="6433">
          <cell r="D6433">
            <v>13.740158730158734</v>
          </cell>
        </row>
        <row r="6497">
          <cell r="D6497">
            <v>19.307343750000005</v>
          </cell>
        </row>
        <row r="6561">
          <cell r="D6561">
            <v>17.033281250000005</v>
          </cell>
        </row>
        <row r="6622">
          <cell r="D6622">
            <v>20.486229508196722</v>
          </cell>
        </row>
        <row r="6686">
          <cell r="D6686">
            <v>15.675937500000002</v>
          </cell>
        </row>
        <row r="6750">
          <cell r="D6750">
            <v>13.233906249999997</v>
          </cell>
        </row>
        <row r="6813">
          <cell r="D6813">
            <v>14.097936507936511</v>
          </cell>
        </row>
        <row r="6875">
          <cell r="D6875">
            <v>11.691935483870967</v>
          </cell>
        </row>
        <row r="6938">
          <cell r="D6938">
            <v>11.426349206349204</v>
          </cell>
        </row>
        <row r="7001">
          <cell r="D7001">
            <v>10.944285714285712</v>
          </cell>
        </row>
        <row r="7064">
          <cell r="D7064">
            <v>10.307936507936502</v>
          </cell>
        </row>
        <row r="7125">
          <cell r="D7125">
            <v>17.354754098360658</v>
          </cell>
        </row>
        <row r="7189">
          <cell r="D7189">
            <v>15.337499999999999</v>
          </cell>
        </row>
        <row r="7252">
          <cell r="D7252">
            <v>12.856825396825391</v>
          </cell>
        </row>
        <row r="7315">
          <cell r="D7315">
            <v>21.053650793650796</v>
          </cell>
        </row>
        <row r="7376">
          <cell r="D7376">
            <v>16.47</v>
          </cell>
        </row>
        <row r="7439">
          <cell r="D7439">
            <v>15.160000000000004</v>
          </cell>
        </row>
        <row r="7503">
          <cell r="D7503">
            <v>15.946615384615388</v>
          </cell>
        </row>
        <row r="7567">
          <cell r="D7567">
            <v>14.020461538461536</v>
          </cell>
        </row>
        <row r="7629">
          <cell r="D7629">
            <v>30.947619047619046</v>
          </cell>
        </row>
        <row r="7692">
          <cell r="D7692">
            <v>34.791249999999991</v>
          </cell>
        </row>
        <row r="7756">
          <cell r="D7756">
            <v>25.879999999999988</v>
          </cell>
        </row>
      </sheetData>
      <sheetData sheetId="5">
        <row r="87">
          <cell r="F87">
            <v>4.2077608398572108E-2</v>
          </cell>
        </row>
        <row r="150">
          <cell r="F150">
            <v>-1.4410027549329629E-2</v>
          </cell>
        </row>
        <row r="213">
          <cell r="F213">
            <v>5.6657194576669623E-2</v>
          </cell>
        </row>
        <row r="276">
          <cell r="F276">
            <v>6.6982610096198547E-2</v>
          </cell>
        </row>
        <row r="337">
          <cell r="F337">
            <v>6.3994364470547627E-3</v>
          </cell>
        </row>
        <row r="400">
          <cell r="F400">
            <v>6.2782939112412173E-2</v>
          </cell>
        </row>
        <row r="463">
          <cell r="F463">
            <v>2.0301507537688446E-2</v>
          </cell>
        </row>
        <row r="527">
          <cell r="F527">
            <v>-3.3319081870462508E-2</v>
          </cell>
        </row>
        <row r="588">
          <cell r="F588">
            <v>-9.4444179461718902E-2</v>
          </cell>
        </row>
        <row r="652">
          <cell r="F652">
            <v>-2.726941898660229E-2</v>
          </cell>
        </row>
        <row r="716">
          <cell r="F716">
            <v>-8.3698011784569815E-2</v>
          </cell>
        </row>
        <row r="780">
          <cell r="F780">
            <v>-0.21943226749183431</v>
          </cell>
        </row>
        <row r="841">
          <cell r="F841">
            <v>-0.11011851505182457</v>
          </cell>
        </row>
        <row r="904">
          <cell r="F904">
            <v>0.15929094030843483</v>
          </cell>
        </row>
        <row r="968">
          <cell r="F968">
            <v>0.15605694690914906</v>
          </cell>
        </row>
        <row r="1032">
          <cell r="F1032">
            <v>6.0385720716041646E-2</v>
          </cell>
        </row>
        <row r="1093">
          <cell r="F1093">
            <v>5.3866666666666729E-2</v>
          </cell>
        </row>
        <row r="1156">
          <cell r="F1156">
            <v>-0.11425369743038916</v>
          </cell>
        </row>
        <row r="1220">
          <cell r="F1220">
            <v>0.11294112159885272</v>
          </cell>
        </row>
        <row r="1284">
          <cell r="F1284">
            <v>0.10756698708714207</v>
          </cell>
        </row>
        <row r="1346">
          <cell r="F1346">
            <v>5.9192447582876673E-2</v>
          </cell>
        </row>
        <row r="1409">
          <cell r="F1409">
            <v>9.9131925838591428E-4</v>
          </cell>
        </row>
        <row r="1473">
          <cell r="F1473">
            <v>-0.13867847934120248</v>
          </cell>
        </row>
        <row r="1536">
          <cell r="F1536">
            <v>0.11816406755783904</v>
          </cell>
        </row>
        <row r="1598">
          <cell r="F1598">
            <v>0.12586269187656907</v>
          </cell>
        </row>
        <row r="1661">
          <cell r="F1661">
            <v>-2.7515047291487571E-2</v>
          </cell>
        </row>
        <row r="1724">
          <cell r="F1724">
            <v>6.3516640649126987E-2</v>
          </cell>
        </row>
        <row r="1786">
          <cell r="F1786">
            <v>-3.7749658900605443E-3</v>
          </cell>
        </row>
        <row r="1846">
          <cell r="F1846">
            <v>0.10605564517417077</v>
          </cell>
        </row>
        <row r="1910">
          <cell r="F1910">
            <v>2.9100557751664979E-2</v>
          </cell>
        </row>
        <row r="1974">
          <cell r="F1974">
            <v>5.2451011344741172E-2</v>
          </cell>
        </row>
        <row r="2038">
          <cell r="F2038">
            <v>0.105130358845136</v>
          </cell>
        </row>
        <row r="2099">
          <cell r="F2099">
            <v>1.8072198311612775E-2</v>
          </cell>
        </row>
        <row r="2162">
          <cell r="F2162">
            <v>5.2338757698836558E-2</v>
          </cell>
        </row>
        <row r="2226">
          <cell r="F2226">
            <v>1.1280396826737427E-2</v>
          </cell>
        </row>
        <row r="2290">
          <cell r="F2290">
            <v>4.9325631567958883E-2</v>
          </cell>
        </row>
        <row r="2351">
          <cell r="F2351">
            <v>9.5053907211681832E-3</v>
          </cell>
        </row>
        <row r="2414">
          <cell r="F2414">
            <v>2.7803546134701485E-3</v>
          </cell>
        </row>
        <row r="2478">
          <cell r="F2478">
            <v>-6.4384082183523983E-2</v>
          </cell>
        </row>
        <row r="2542">
          <cell r="F2542">
            <v>7.042521784676925E-2</v>
          </cell>
        </row>
        <row r="2603">
          <cell r="F2603">
            <v>1.3478647686832712E-2</v>
          </cell>
        </row>
        <row r="2667">
          <cell r="F2667">
            <v>2.4553911456168365E-2</v>
          </cell>
        </row>
        <row r="2731">
          <cell r="F2731">
            <v>3.8518626786384846E-2</v>
          </cell>
        </row>
        <row r="2794">
          <cell r="F2794">
            <v>3.824258807200076E-2</v>
          </cell>
        </row>
        <row r="2856">
          <cell r="F2856">
            <v>6.0661515521214682E-2</v>
          </cell>
        </row>
        <row r="2919">
          <cell r="F2919">
            <v>3.0882220082367295E-2</v>
          </cell>
        </row>
        <row r="2982">
          <cell r="F2982">
            <v>4.4804162142289217E-2</v>
          </cell>
        </row>
        <row r="3045">
          <cell r="F3045">
            <v>6.6446807161255173E-2</v>
          </cell>
        </row>
        <row r="3106">
          <cell r="F3106">
            <v>-7.590988267252019E-3</v>
          </cell>
        </row>
        <row r="3170">
          <cell r="F3170">
            <v>3.4338580257056162E-2</v>
          </cell>
        </row>
        <row r="3233">
          <cell r="F3233">
            <v>7.7107663670869853E-2</v>
          </cell>
        </row>
        <row r="3296">
          <cell r="F3296">
            <v>-0.13519750425962362</v>
          </cell>
          <cell r="G3296">
            <v>-4.384241745255868E-2</v>
          </cell>
        </row>
        <row r="3357">
          <cell r="F3357">
            <v>0.13647872686197626</v>
          </cell>
        </row>
        <row r="3420">
          <cell r="F3420">
            <v>4.3038524413624657E-2</v>
          </cell>
        </row>
        <row r="3484">
          <cell r="F3484">
            <v>1.698303220073627E-2</v>
          </cell>
        </row>
        <row r="3548">
          <cell r="F3548">
            <v>9.0700147621987748E-2</v>
          </cell>
        </row>
        <row r="3610">
          <cell r="F3610">
            <v>-0.19598020620821932</v>
          </cell>
        </row>
        <row r="3673">
          <cell r="F3673">
            <v>0.2054334623851819</v>
          </cell>
        </row>
        <row r="3737">
          <cell r="F3737">
            <v>8.9293052063473155E-2</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Earnings Model"/>
      <sheetName val="BOTE"/>
      <sheetName val="Estimates by Analyst"/>
      <sheetName val="After Earnings"/>
      <sheetName val="Charts"/>
    </sheetNames>
    <sheetDataSet>
      <sheetData sheetId="0"/>
      <sheetData sheetId="1" refreshError="1"/>
      <sheetData sheetId="2" refreshError="1"/>
      <sheetData sheetId="3">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4.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D334"/>
  <sheetViews>
    <sheetView showGridLines="0" tabSelected="1" topLeftCell="A10" zoomScale="115" workbookViewId="0">
      <pane xSplit="3" ySplit="3" topLeftCell="D13" activePane="bottomRight" state="frozen"/>
      <selection activeCell="A10" sqref="A10"/>
      <selection pane="topRight" activeCell="D10" sqref="D10"/>
      <selection pane="bottomLeft" activeCell="A13" sqref="A13"/>
      <selection pane="bottomRight" activeCell="L13" sqref="L13"/>
    </sheetView>
  </sheetViews>
  <sheetFormatPr baseColWidth="10" defaultColWidth="8.83203125" defaultRowHeight="15" outlineLevelRow="1" outlineLevelCol="1" x14ac:dyDescent="0.2"/>
  <cols>
    <col min="1" max="1" width="10" style="2" customWidth="1"/>
    <col min="2" max="2" width="31.33203125" style="2" customWidth="1"/>
    <col min="3" max="3" width="20.5" style="2" customWidth="1"/>
    <col min="4" max="5" width="11.5" style="1" customWidth="1" outlineLevel="1"/>
    <col min="6" max="7" width="11.5" style="3" customWidth="1" outlineLevel="1"/>
    <col min="8" max="8" width="11.5" style="3" customWidth="1"/>
    <col min="9" max="10" width="11.5" style="1" customWidth="1" outlineLevel="1"/>
    <col min="11" max="11" width="11.5" style="3" customWidth="1" outlineLevel="1"/>
    <col min="12" max="12" width="13.33203125" style="3" customWidth="1" outlineLevel="1"/>
    <col min="13" max="13" width="11.5" style="3" customWidth="1"/>
    <col min="14" max="15" width="11.5" style="1" customWidth="1" outlineLevel="1"/>
    <col min="16" max="17" width="11.5" style="3" customWidth="1" outlineLevel="1"/>
    <col min="18" max="18" width="11.5" style="3" customWidth="1"/>
    <col min="19" max="20" width="11.5" style="1" customWidth="1" outlineLevel="1"/>
    <col min="21" max="22" width="11.5" style="3" customWidth="1" outlineLevel="1"/>
    <col min="23" max="23" width="11.5" style="3" customWidth="1"/>
    <col min="24" max="25" width="11.5" style="1" customWidth="1" outlineLevel="1"/>
    <col min="26" max="27" width="11.5" style="3" customWidth="1" outlineLevel="1"/>
    <col min="28" max="28" width="11.5" style="3" customWidth="1"/>
    <col min="29" max="30" width="11.5" style="1" customWidth="1" outlineLevel="1"/>
    <col min="31" max="32" width="11.5" style="3" customWidth="1" outlineLevel="1"/>
    <col min="33" max="33" width="11.5" style="3" customWidth="1"/>
    <col min="34" max="35" width="11.5" style="1" customWidth="1" outlineLevel="1"/>
    <col min="36" max="37" width="11.5" style="3" customWidth="1" outlineLevel="1"/>
    <col min="38" max="38" width="11.5" style="3" customWidth="1"/>
    <col min="39" max="16384" width="8.83203125" style="2"/>
  </cols>
  <sheetData>
    <row r="1" spans="1:56" ht="9" customHeight="1" x14ac:dyDescent="0.2">
      <c r="B1" s="136" t="s">
        <v>37</v>
      </c>
    </row>
    <row r="2" spans="1:56" ht="45" customHeight="1" x14ac:dyDescent="0.2">
      <c r="B2" s="318"/>
      <c r="C2" s="319"/>
    </row>
    <row r="3" spans="1:56" x14ac:dyDescent="0.2">
      <c r="B3" s="331"/>
      <c r="C3" s="332"/>
    </row>
    <row r="4" spans="1:56" x14ac:dyDescent="0.2">
      <c r="B4" s="312"/>
      <c r="C4" s="313"/>
      <c r="BD4" s="136" t="s">
        <v>37</v>
      </c>
    </row>
    <row r="5" spans="1:56" x14ac:dyDescent="0.2">
      <c r="B5" s="335"/>
      <c r="C5" s="336"/>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56" ht="14.5" customHeight="1" x14ac:dyDescent="0.2">
      <c r="B6" s="258"/>
      <c r="C6" s="259"/>
      <c r="D6" s="4"/>
      <c r="E6" s="74"/>
      <c r="F6" s="73"/>
      <c r="G6" s="4"/>
      <c r="H6" s="7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56" ht="14.5" customHeight="1" x14ac:dyDescent="0.2">
      <c r="B7" s="260"/>
      <c r="C7" s="261"/>
      <c r="D7" s="34"/>
      <c r="E7" s="74"/>
      <c r="F7" s="73"/>
      <c r="G7" s="34"/>
      <c r="H7" s="74"/>
      <c r="I7" s="34"/>
      <c r="J7" s="34"/>
      <c r="K7" s="34"/>
      <c r="L7" s="34"/>
      <c r="M7" s="34"/>
      <c r="N7" s="34"/>
      <c r="O7" s="34"/>
      <c r="P7" s="34"/>
      <c r="Q7" s="34"/>
      <c r="R7" s="34"/>
      <c r="S7" s="34"/>
      <c r="T7" s="34"/>
      <c r="U7" s="34"/>
      <c r="V7" s="34"/>
      <c r="W7" s="34"/>
      <c r="X7" s="34"/>
      <c r="Y7" s="34"/>
      <c r="Z7" s="34"/>
      <c r="AA7" s="34"/>
      <c r="AB7" s="42"/>
      <c r="AC7" s="34"/>
      <c r="AD7" s="34"/>
      <c r="AE7" s="34"/>
      <c r="AF7" s="34"/>
      <c r="AG7" s="42"/>
      <c r="AH7" s="34"/>
      <c r="AI7" s="34"/>
      <c r="AJ7" s="34"/>
      <c r="AK7" s="34"/>
      <c r="AL7" s="42"/>
    </row>
    <row r="8" spans="1:56" ht="14.5" customHeight="1" x14ac:dyDescent="0.2">
      <c r="B8" s="260"/>
      <c r="C8" s="262"/>
      <c r="D8" s="24"/>
      <c r="E8" s="74"/>
      <c r="F8" s="75"/>
      <c r="G8" s="75"/>
      <c r="H8" s="24"/>
      <c r="I8" s="75"/>
      <c r="J8" s="75"/>
      <c r="K8" s="42"/>
      <c r="L8" s="24"/>
      <c r="M8" s="24"/>
      <c r="N8" s="24"/>
      <c r="O8" s="24"/>
      <c r="P8" s="24"/>
      <c r="Q8" s="42"/>
      <c r="R8" s="24"/>
      <c r="S8" s="24"/>
      <c r="T8" s="24"/>
      <c r="U8" s="24"/>
      <c r="V8" s="24"/>
      <c r="W8" s="24"/>
      <c r="X8" s="24"/>
      <c r="Y8" s="24"/>
      <c r="Z8" s="24"/>
      <c r="AA8" s="24"/>
      <c r="AB8" s="72"/>
      <c r="AC8" s="24"/>
      <c r="AD8" s="24"/>
      <c r="AE8" s="24"/>
      <c r="AF8" s="24"/>
      <c r="AG8" s="72"/>
      <c r="AH8" s="24"/>
      <c r="AI8" s="24"/>
      <c r="AJ8" s="24"/>
      <c r="AK8" s="24"/>
      <c r="AL8" s="72"/>
    </row>
    <row r="9" spans="1:56" ht="14.5" customHeight="1" x14ac:dyDescent="0.2">
      <c r="B9" s="263"/>
      <c r="C9" s="264"/>
      <c r="D9" s="84"/>
      <c r="E9" s="161"/>
      <c r="F9" s="76"/>
      <c r="G9" s="76"/>
      <c r="H9" s="34"/>
      <c r="I9" s="76"/>
      <c r="J9" s="76"/>
      <c r="K9" s="34"/>
      <c r="L9" s="76"/>
      <c r="M9" s="42"/>
      <c r="N9" s="42"/>
      <c r="O9" s="42"/>
      <c r="P9" s="42"/>
      <c r="Q9" s="76"/>
      <c r="R9" s="160"/>
      <c r="S9" s="42"/>
      <c r="T9" s="42"/>
      <c r="U9" s="42"/>
      <c r="V9" s="76"/>
      <c r="W9" s="42"/>
      <c r="X9" s="42"/>
      <c r="Y9" s="42"/>
      <c r="Z9" s="42"/>
      <c r="AA9" s="42"/>
      <c r="AB9" s="162"/>
      <c r="AC9" s="42"/>
      <c r="AD9" s="42"/>
      <c r="AE9" s="42"/>
      <c r="AF9" s="42"/>
      <c r="AG9" s="162"/>
      <c r="AH9" s="42"/>
      <c r="AI9" s="42"/>
      <c r="AJ9" s="42"/>
      <c r="AK9" s="42"/>
      <c r="AL9" s="162"/>
    </row>
    <row r="10" spans="1:56" ht="15" customHeight="1" x14ac:dyDescent="0.2">
      <c r="B10" s="136" t="s">
        <v>37</v>
      </c>
      <c r="D10" s="81"/>
      <c r="E10" s="242"/>
      <c r="F10" s="242"/>
      <c r="G10" s="7"/>
      <c r="H10" s="242"/>
      <c r="I10" s="242"/>
      <c r="J10" s="242"/>
      <c r="K10" s="242"/>
      <c r="L10" s="242"/>
      <c r="M10" s="242"/>
      <c r="N10" s="7"/>
      <c r="O10" s="7"/>
      <c r="P10" s="7"/>
      <c r="Q10" s="7"/>
      <c r="R10" s="7"/>
      <c r="S10" s="242"/>
      <c r="T10" s="242"/>
      <c r="U10" s="242"/>
      <c r="V10" s="242"/>
      <c r="W10" s="242"/>
      <c r="X10" s="242"/>
      <c r="Y10" s="242"/>
      <c r="Z10" s="242"/>
      <c r="AA10" s="242"/>
      <c r="AB10" s="242"/>
      <c r="AC10" s="242"/>
      <c r="AD10" s="242"/>
      <c r="AE10" s="242"/>
      <c r="AF10" s="242"/>
      <c r="AG10" s="242"/>
      <c r="AH10" s="242"/>
      <c r="AI10" s="242"/>
      <c r="AJ10" s="242"/>
      <c r="AK10" s="242"/>
      <c r="AL10" s="242"/>
    </row>
    <row r="11" spans="1:56" ht="16" x14ac:dyDescent="0.2">
      <c r="A11" s="297"/>
      <c r="B11" s="314" t="s">
        <v>69</v>
      </c>
      <c r="C11" s="315"/>
      <c r="D11" s="21" t="s">
        <v>59</v>
      </c>
      <c r="E11" s="21" t="s">
        <v>212</v>
      </c>
      <c r="F11" s="21" t="s">
        <v>214</v>
      </c>
      <c r="G11" s="21" t="s">
        <v>73</v>
      </c>
      <c r="H11" s="66" t="s">
        <v>73</v>
      </c>
      <c r="I11" s="21" t="s">
        <v>74</v>
      </c>
      <c r="J11" s="21" t="s">
        <v>75</v>
      </c>
      <c r="K11" s="21" t="s">
        <v>76</v>
      </c>
      <c r="L11" s="23" t="s">
        <v>77</v>
      </c>
      <c r="M11" s="68" t="s">
        <v>77</v>
      </c>
      <c r="N11" s="23" t="s">
        <v>78</v>
      </c>
      <c r="O11" s="23" t="s">
        <v>79</v>
      </c>
      <c r="P11" s="23" t="s">
        <v>80</v>
      </c>
      <c r="Q11" s="23" t="s">
        <v>81</v>
      </c>
      <c r="R11" s="68" t="s">
        <v>81</v>
      </c>
      <c r="S11" s="23" t="s">
        <v>82</v>
      </c>
      <c r="T11" s="23" t="s">
        <v>83</v>
      </c>
      <c r="U11" s="23" t="s">
        <v>84</v>
      </c>
      <c r="V11" s="23" t="s">
        <v>85</v>
      </c>
      <c r="W11" s="68" t="s">
        <v>85</v>
      </c>
      <c r="X11" s="23" t="s">
        <v>86</v>
      </c>
      <c r="Y11" s="23" t="s">
        <v>87</v>
      </c>
      <c r="Z11" s="23" t="s">
        <v>88</v>
      </c>
      <c r="AA11" s="23" t="s">
        <v>89</v>
      </c>
      <c r="AB11" s="68" t="s">
        <v>89</v>
      </c>
      <c r="AC11" s="23" t="s">
        <v>216</v>
      </c>
      <c r="AD11" s="23" t="s">
        <v>217</v>
      </c>
      <c r="AE11" s="23" t="s">
        <v>218</v>
      </c>
      <c r="AF11" s="23" t="s">
        <v>219</v>
      </c>
      <c r="AG11" s="68" t="s">
        <v>219</v>
      </c>
      <c r="AH11" s="23" t="s">
        <v>249</v>
      </c>
      <c r="AI11" s="23" t="s">
        <v>250</v>
      </c>
      <c r="AJ11" s="23" t="s">
        <v>251</v>
      </c>
      <c r="AK11" s="23" t="s">
        <v>252</v>
      </c>
      <c r="AL11" s="68" t="s">
        <v>252</v>
      </c>
    </row>
    <row r="12" spans="1:56" ht="17.5" customHeight="1" x14ac:dyDescent="0.35">
      <c r="A12" s="297"/>
      <c r="B12" s="306" t="s">
        <v>3</v>
      </c>
      <c r="C12" s="307"/>
      <c r="D12" s="22" t="s">
        <v>72</v>
      </c>
      <c r="E12" s="22" t="s">
        <v>211</v>
      </c>
      <c r="F12" s="22" t="s">
        <v>215</v>
      </c>
      <c r="G12" s="22" t="s">
        <v>225</v>
      </c>
      <c r="H12" s="67" t="s">
        <v>226</v>
      </c>
      <c r="I12" s="22" t="s">
        <v>227</v>
      </c>
      <c r="J12" s="22" t="s">
        <v>228</v>
      </c>
      <c r="K12" s="22" t="s">
        <v>229</v>
      </c>
      <c r="L12" s="20" t="s">
        <v>90</v>
      </c>
      <c r="M12" s="69" t="s">
        <v>91</v>
      </c>
      <c r="N12" s="20" t="s">
        <v>92</v>
      </c>
      <c r="O12" s="20" t="s">
        <v>93</v>
      </c>
      <c r="P12" s="20" t="s">
        <v>94</v>
      </c>
      <c r="Q12" s="20" t="s">
        <v>95</v>
      </c>
      <c r="R12" s="69" t="s">
        <v>96</v>
      </c>
      <c r="S12" s="20" t="s">
        <v>97</v>
      </c>
      <c r="T12" s="20" t="s">
        <v>98</v>
      </c>
      <c r="U12" s="20" t="s">
        <v>99</v>
      </c>
      <c r="V12" s="20" t="s">
        <v>100</v>
      </c>
      <c r="W12" s="69" t="s">
        <v>101</v>
      </c>
      <c r="X12" s="20" t="s">
        <v>102</v>
      </c>
      <c r="Y12" s="20" t="s">
        <v>103</v>
      </c>
      <c r="Z12" s="20" t="s">
        <v>104</v>
      </c>
      <c r="AA12" s="20" t="s">
        <v>105</v>
      </c>
      <c r="AB12" s="69" t="s">
        <v>106</v>
      </c>
      <c r="AC12" s="20" t="s">
        <v>220</v>
      </c>
      <c r="AD12" s="20" t="s">
        <v>221</v>
      </c>
      <c r="AE12" s="20" t="s">
        <v>222</v>
      </c>
      <c r="AF12" s="20" t="s">
        <v>223</v>
      </c>
      <c r="AG12" s="69" t="s">
        <v>224</v>
      </c>
      <c r="AH12" s="20" t="s">
        <v>253</v>
      </c>
      <c r="AI12" s="20" t="s">
        <v>254</v>
      </c>
      <c r="AJ12" s="20" t="s">
        <v>255</v>
      </c>
      <c r="AK12" s="20" t="s">
        <v>256</v>
      </c>
      <c r="AL12" s="69" t="s">
        <v>257</v>
      </c>
    </row>
    <row r="13" spans="1:56" s="137" customFormat="1" outlineLevel="1" x14ac:dyDescent="0.2">
      <c r="A13" s="296"/>
      <c r="B13" s="312" t="s">
        <v>231</v>
      </c>
      <c r="C13" s="313"/>
      <c r="D13" s="144">
        <v>5370.3</v>
      </c>
      <c r="E13" s="144">
        <v>5159</v>
      </c>
      <c r="F13" s="144">
        <v>5535</v>
      </c>
      <c r="G13" s="144">
        <f>H13-F13-E13-D13</f>
        <v>5480.1000000000013</v>
      </c>
      <c r="H13" s="157">
        <v>21544.400000000001</v>
      </c>
      <c r="I13" s="144">
        <v>5780.7</v>
      </c>
      <c r="J13" s="144">
        <v>4766</v>
      </c>
      <c r="K13" s="144">
        <v>3444.4</v>
      </c>
      <c r="L13" s="144">
        <f>+L56+L89</f>
        <v>4846.8546324920762</v>
      </c>
      <c r="M13" s="157">
        <f>SUM(I13:L13)</f>
        <v>18837.954632492078</v>
      </c>
      <c r="N13" s="144">
        <f t="shared" ref="N13:AK13" si="0">+N56+N89</f>
        <v>6005.2415035801841</v>
      </c>
      <c r="O13" s="144">
        <f t="shared" si="0"/>
        <v>5302.3455380966916</v>
      </c>
      <c r="P13" s="144">
        <f t="shared" si="0"/>
        <v>3852.2765011839524</v>
      </c>
      <c r="Q13" s="144">
        <f t="shared" si="0"/>
        <v>5400.7282099525682</v>
      </c>
      <c r="R13" s="157">
        <f>SUM(N13:Q13)</f>
        <v>20560.591752813398</v>
      </c>
      <c r="S13" s="144">
        <f t="shared" si="0"/>
        <v>6638.5888193876399</v>
      </c>
      <c r="T13" s="144">
        <f t="shared" si="0"/>
        <v>5850.0042185564253</v>
      </c>
      <c r="U13" s="144">
        <f t="shared" si="0"/>
        <v>4309.2992377497485</v>
      </c>
      <c r="V13" s="144">
        <f t="shared" si="0"/>
        <v>5983.9622978787538</v>
      </c>
      <c r="W13" s="157">
        <f>SUM(S13:V13)</f>
        <v>22781.854573572564</v>
      </c>
      <c r="X13" s="144">
        <f t="shared" si="0"/>
        <v>7186.9936048037735</v>
      </c>
      <c r="Y13" s="144">
        <f t="shared" si="0"/>
        <v>6299.8498375838699</v>
      </c>
      <c r="Z13" s="144">
        <f t="shared" si="0"/>
        <v>4641.0693722453088</v>
      </c>
      <c r="AA13" s="144">
        <f t="shared" si="0"/>
        <v>6452.504796793457</v>
      </c>
      <c r="AB13" s="157">
        <f>SUM(X13:AA13)</f>
        <v>24580.417611426412</v>
      </c>
      <c r="AC13" s="144">
        <f t="shared" si="0"/>
        <v>7730.2000435585687</v>
      </c>
      <c r="AD13" s="144">
        <f t="shared" si="0"/>
        <v>6756.275238493844</v>
      </c>
      <c r="AE13" s="144">
        <f t="shared" si="0"/>
        <v>4978.6972206793034</v>
      </c>
      <c r="AF13" s="144">
        <f t="shared" si="0"/>
        <v>6933.4730164445227</v>
      </c>
      <c r="AG13" s="157">
        <f>SUM(AC13:AF13)</f>
        <v>26398.645519176236</v>
      </c>
      <c r="AH13" s="144">
        <f t="shared" si="0"/>
        <v>8301.4815629213972</v>
      </c>
      <c r="AI13" s="144">
        <f t="shared" si="0"/>
        <v>7236.8724496170926</v>
      </c>
      <c r="AJ13" s="144">
        <f t="shared" si="0"/>
        <v>5335.249878832401</v>
      </c>
      <c r="AK13" s="144">
        <f t="shared" si="0"/>
        <v>7442.463746509894</v>
      </c>
      <c r="AL13" s="157">
        <f>SUM(AH13:AK13)</f>
        <v>28316.067637880784</v>
      </c>
    </row>
    <row r="14" spans="1:56" s="137" customFormat="1" outlineLevel="1" x14ac:dyDescent="0.2">
      <c r="A14" s="296"/>
      <c r="B14" s="312" t="s">
        <v>232</v>
      </c>
      <c r="C14" s="313"/>
      <c r="D14" s="144">
        <v>737.1</v>
      </c>
      <c r="E14" s="144">
        <v>678.2</v>
      </c>
      <c r="F14" s="144">
        <v>725</v>
      </c>
      <c r="G14" s="144">
        <f t="shared" ref="G14:G24" si="1">H14-F14-E14-D14</f>
        <v>734.69999999999993</v>
      </c>
      <c r="H14" s="157">
        <v>2875</v>
      </c>
      <c r="I14" s="144">
        <v>792</v>
      </c>
      <c r="J14" s="144">
        <v>689.8</v>
      </c>
      <c r="K14" s="144">
        <v>300.5</v>
      </c>
      <c r="L14" s="144">
        <f>+L63+L96</f>
        <v>648.34</v>
      </c>
      <c r="M14" s="157">
        <f>SUM(I14:L14)</f>
        <v>2430.64</v>
      </c>
      <c r="N14" s="144">
        <f t="shared" ref="N14:AK14" si="2">+N63+N96</f>
        <v>793.52037500000006</v>
      </c>
      <c r="O14" s="144">
        <f t="shared" si="2"/>
        <v>765.78712500000006</v>
      </c>
      <c r="P14" s="144">
        <f t="shared" si="2"/>
        <v>821.4900859375</v>
      </c>
      <c r="Q14" s="144">
        <f t="shared" si="2"/>
        <v>793.76394531250003</v>
      </c>
      <c r="R14" s="157">
        <f>SUM(N14:Q14)</f>
        <v>3174.5615312500004</v>
      </c>
      <c r="S14" s="144">
        <f t="shared" si="2"/>
        <v>833.88207571289058</v>
      </c>
      <c r="T14" s="144">
        <f t="shared" si="2"/>
        <v>805.09349909179696</v>
      </c>
      <c r="U14" s="144">
        <f t="shared" si="2"/>
        <v>863.48638173889162</v>
      </c>
      <c r="V14" s="144">
        <f t="shared" si="2"/>
        <v>834.72640639343263</v>
      </c>
      <c r="W14" s="157">
        <f>SUM(S14:V14)</f>
        <v>3337.1883629370118</v>
      </c>
      <c r="X14" s="144">
        <f t="shared" si="2"/>
        <v>875.66839904049925</v>
      </c>
      <c r="Y14" s="144">
        <f t="shared" si="2"/>
        <v>845.84260522508009</v>
      </c>
      <c r="Z14" s="144">
        <f t="shared" si="2"/>
        <v>906.77688301818716</v>
      </c>
      <c r="AA14" s="144">
        <f t="shared" si="2"/>
        <v>876.93152319629223</v>
      </c>
      <c r="AB14" s="157">
        <f>SUM(X14:AA14)</f>
        <v>3505.2194104800587</v>
      </c>
      <c r="AC14" s="144">
        <f t="shared" si="2"/>
        <v>918.83780127136913</v>
      </c>
      <c r="AD14" s="144">
        <f t="shared" si="2"/>
        <v>887.92174128358533</v>
      </c>
      <c r="AE14" s="144">
        <f t="shared" si="2"/>
        <v>951.4347022794268</v>
      </c>
      <c r="AF14" s="144">
        <f t="shared" si="2"/>
        <v>920.48256651105748</v>
      </c>
      <c r="AG14" s="157">
        <f>SUM(AC14:AF14)</f>
        <v>3678.6768113454386</v>
      </c>
      <c r="AH14" s="144">
        <f t="shared" si="2"/>
        <v>963.39420031112309</v>
      </c>
      <c r="AI14" s="144">
        <f t="shared" si="2"/>
        <v>931.3471729776968</v>
      </c>
      <c r="AJ14" s="144">
        <f t="shared" si="2"/>
        <v>997.51200446340044</v>
      </c>
      <c r="AK14" s="144">
        <f t="shared" si="2"/>
        <v>965.42457668628617</v>
      </c>
      <c r="AL14" s="157">
        <f>SUM(AH14:AK14)</f>
        <v>3857.6779544385063</v>
      </c>
    </row>
    <row r="15" spans="1:56" s="137" customFormat="1" ht="18" outlineLevel="1" x14ac:dyDescent="0.35">
      <c r="A15" s="296"/>
      <c r="B15" s="312" t="s">
        <v>233</v>
      </c>
      <c r="C15" s="313"/>
      <c r="D15" s="143">
        <v>525.29999999999995</v>
      </c>
      <c r="E15" s="143">
        <v>468.7</v>
      </c>
      <c r="F15" s="143">
        <v>563</v>
      </c>
      <c r="G15" s="143">
        <f t="shared" si="1"/>
        <v>532.19999999999982</v>
      </c>
      <c r="H15" s="168">
        <v>2089.1999999999998</v>
      </c>
      <c r="I15" s="143">
        <v>524.4</v>
      </c>
      <c r="J15" s="143">
        <v>539.9</v>
      </c>
      <c r="K15" s="143">
        <v>477.2</v>
      </c>
      <c r="L15" s="143">
        <f>+L64+L97+L115+L129</f>
        <v>525.99700000000007</v>
      </c>
      <c r="M15" s="143">
        <f>SUM(I15:L15)</f>
        <v>2067.4970000000003</v>
      </c>
      <c r="N15" s="143">
        <f>+N64+N97+N115+N129</f>
        <v>555.08000000000004</v>
      </c>
      <c r="O15" s="143">
        <f t="shared" ref="N15:AK15" si="3">+O64+O97+O115+O129</f>
        <v>573.05500000000006</v>
      </c>
      <c r="P15" s="143">
        <f t="shared" si="3"/>
        <v>476.88900000000001</v>
      </c>
      <c r="Q15" s="143">
        <f t="shared" si="3"/>
        <v>559.03290000000004</v>
      </c>
      <c r="R15" s="143">
        <f>SUM(N15:Q15)</f>
        <v>2164.0569000000005</v>
      </c>
      <c r="S15" s="143">
        <f t="shared" si="3"/>
        <v>586.08900000000006</v>
      </c>
      <c r="T15" s="143">
        <f t="shared" si="3"/>
        <v>604.78775000000007</v>
      </c>
      <c r="U15" s="143">
        <f t="shared" si="3"/>
        <v>504.30345</v>
      </c>
      <c r="V15" s="143">
        <f t="shared" si="3"/>
        <v>591.47524500000009</v>
      </c>
      <c r="W15" s="143">
        <f>SUM(S15:V15)</f>
        <v>2286.6554450000003</v>
      </c>
      <c r="X15" s="143">
        <f t="shared" si="3"/>
        <v>616.41063750000001</v>
      </c>
      <c r="Y15" s="143">
        <f t="shared" si="3"/>
        <v>635.98963749999996</v>
      </c>
      <c r="Z15" s="143">
        <f t="shared" si="3"/>
        <v>530.63424750000001</v>
      </c>
      <c r="AA15" s="143">
        <f t="shared" si="3"/>
        <v>622.45235100000014</v>
      </c>
      <c r="AB15" s="143">
        <f>SUM(X15:AA15)</f>
        <v>2405.4868735</v>
      </c>
      <c r="AC15" s="143">
        <f t="shared" si="3"/>
        <v>648.35007562500004</v>
      </c>
      <c r="AD15" s="143">
        <f t="shared" si="3"/>
        <v>668.84786937500019</v>
      </c>
      <c r="AE15" s="143">
        <f t="shared" si="3"/>
        <v>558.39314737500013</v>
      </c>
      <c r="AF15" s="143">
        <f t="shared" si="3"/>
        <v>655.11864667500015</v>
      </c>
      <c r="AG15" s="143">
        <f>SUM(AC15:AF15)</f>
        <v>2530.7097390500007</v>
      </c>
      <c r="AH15" s="143">
        <f t="shared" si="3"/>
        <v>681.9983762812501</v>
      </c>
      <c r="AI15" s="143">
        <f t="shared" si="3"/>
        <v>703.45488784375016</v>
      </c>
      <c r="AJ15" s="143">
        <f t="shared" si="3"/>
        <v>587.66271099375012</v>
      </c>
      <c r="AK15" s="143">
        <f t="shared" si="3"/>
        <v>689.57262494625013</v>
      </c>
      <c r="AL15" s="143">
        <f>SUM(AH15:AK15)</f>
        <v>2662.6886000650006</v>
      </c>
    </row>
    <row r="16" spans="1:56" s="13" customFormat="1" x14ac:dyDescent="0.2">
      <c r="A16" s="296"/>
      <c r="B16" s="339" t="s">
        <v>234</v>
      </c>
      <c r="C16" s="340"/>
      <c r="D16" s="142">
        <f t="shared" ref="D16:H16" si="4">SUM(D13:D15)</f>
        <v>6632.7000000000007</v>
      </c>
      <c r="E16" s="142">
        <f t="shared" si="4"/>
        <v>6305.9</v>
      </c>
      <c r="F16" s="142">
        <f t="shared" si="4"/>
        <v>6823</v>
      </c>
      <c r="G16" s="142">
        <f t="shared" si="4"/>
        <v>6747.0000000000009</v>
      </c>
      <c r="H16" s="158">
        <f t="shared" si="4"/>
        <v>26508.600000000002</v>
      </c>
      <c r="I16" s="142">
        <f>SUM(I13:I15)</f>
        <v>7097.0999999999995</v>
      </c>
      <c r="J16" s="142">
        <f>SUM(J13:J15)</f>
        <v>5995.7</v>
      </c>
      <c r="K16" s="142">
        <f>SUM(K13:K15)</f>
        <v>4222.1000000000004</v>
      </c>
      <c r="L16" s="142">
        <f t="shared" ref="L16:AL16" si="5">SUM(L13:L15)</f>
        <v>6021.1916324920767</v>
      </c>
      <c r="M16" s="158">
        <f t="shared" si="5"/>
        <v>23336.091632492076</v>
      </c>
      <c r="N16" s="142">
        <f t="shared" si="5"/>
        <v>7353.8418785801841</v>
      </c>
      <c r="O16" s="142">
        <f t="shared" si="5"/>
        <v>6641.1876630966917</v>
      </c>
      <c r="P16" s="142">
        <f t="shared" si="5"/>
        <v>5150.6555871214523</v>
      </c>
      <c r="Q16" s="142">
        <f t="shared" si="5"/>
        <v>6753.5250552650687</v>
      </c>
      <c r="R16" s="158">
        <f t="shared" si="5"/>
        <v>25899.210184063399</v>
      </c>
      <c r="S16" s="142">
        <f t="shared" si="5"/>
        <v>8058.5598951005304</v>
      </c>
      <c r="T16" s="142">
        <f t="shared" si="5"/>
        <v>7259.8854676482224</v>
      </c>
      <c r="U16" s="142">
        <f t="shared" si="5"/>
        <v>5677.0890694886402</v>
      </c>
      <c r="V16" s="142">
        <f t="shared" si="5"/>
        <v>7410.1639492721861</v>
      </c>
      <c r="W16" s="158">
        <f t="shared" si="5"/>
        <v>28405.698381509577</v>
      </c>
      <c r="X16" s="142">
        <f t="shared" si="5"/>
        <v>8679.0726413442717</v>
      </c>
      <c r="Y16" s="142">
        <f t="shared" si="5"/>
        <v>7781.6820803089495</v>
      </c>
      <c r="Z16" s="142">
        <f t="shared" si="5"/>
        <v>6078.4805027634957</v>
      </c>
      <c r="AA16" s="142">
        <f t="shared" si="5"/>
        <v>7951.8886709897488</v>
      </c>
      <c r="AB16" s="158">
        <f t="shared" si="5"/>
        <v>30491.123895406468</v>
      </c>
      <c r="AC16" s="142">
        <f t="shared" si="5"/>
        <v>9297.3879204549376</v>
      </c>
      <c r="AD16" s="142">
        <f t="shared" si="5"/>
        <v>8313.0448491524294</v>
      </c>
      <c r="AE16" s="142">
        <f t="shared" si="5"/>
        <v>6488.5250703337297</v>
      </c>
      <c r="AF16" s="142">
        <f t="shared" si="5"/>
        <v>8509.0742296305798</v>
      </c>
      <c r="AG16" s="158">
        <f t="shared" si="5"/>
        <v>32608.032069571676</v>
      </c>
      <c r="AH16" s="142">
        <f t="shared" si="5"/>
        <v>9946.8741395137695</v>
      </c>
      <c r="AI16" s="142">
        <f t="shared" si="5"/>
        <v>8871.6745104385391</v>
      </c>
      <c r="AJ16" s="142">
        <f t="shared" si="5"/>
        <v>6920.4245942895514</v>
      </c>
      <c r="AK16" s="142">
        <f t="shared" si="5"/>
        <v>9097.4609481424304</v>
      </c>
      <c r="AL16" s="158">
        <f t="shared" si="5"/>
        <v>34836.434192384288</v>
      </c>
    </row>
    <row r="17" spans="1:38" s="137" customFormat="1" outlineLevel="1" x14ac:dyDescent="0.2">
      <c r="A17" s="296"/>
      <c r="B17" s="343" t="s">
        <v>230</v>
      </c>
      <c r="C17" s="344"/>
      <c r="D17" s="144">
        <v>2175.8000000000002</v>
      </c>
      <c r="E17" s="144">
        <v>2012</v>
      </c>
      <c r="F17" s="144">
        <v>2199.6</v>
      </c>
      <c r="G17" s="144">
        <f t="shared" si="1"/>
        <v>2139.4999999999991</v>
      </c>
      <c r="H17" s="157">
        <v>8526.9</v>
      </c>
      <c r="I17" s="144">
        <v>2236.4</v>
      </c>
      <c r="J17" s="144">
        <v>1997.7</v>
      </c>
      <c r="K17" s="144">
        <v>1484</v>
      </c>
      <c r="L17" s="144">
        <f>+L69+L102+L117+L131</f>
        <v>1705.9696729110906</v>
      </c>
      <c r="M17" s="157">
        <f t="shared" ref="M17:M23" si="6">SUM(I17:L17)</f>
        <v>7424.0696729110914</v>
      </c>
      <c r="N17" s="144">
        <f t="shared" ref="N17:Q17" si="7">+N69+N102+N117+N131</f>
        <v>1893.0574814467805</v>
      </c>
      <c r="O17" s="144">
        <f t="shared" si="7"/>
        <v>1722.9892415119582</v>
      </c>
      <c r="P17" s="144">
        <f t="shared" si="7"/>
        <v>1370.6753485284398</v>
      </c>
      <c r="Q17" s="144">
        <f t="shared" si="7"/>
        <v>1745.0494172405827</v>
      </c>
      <c r="R17" s="157">
        <f t="shared" ref="R17:R23" si="8">SUM(N17:Q17)</f>
        <v>6731.7714887277607</v>
      </c>
      <c r="S17" s="144">
        <f t="shared" ref="S17:V17" si="9">+S69+S102+S117+S131</f>
        <v>2065.6445584055027</v>
      </c>
      <c r="T17" s="144">
        <f t="shared" si="9"/>
        <v>1874.712780976929</v>
      </c>
      <c r="U17" s="144">
        <f t="shared" si="9"/>
        <v>1500.5018757550554</v>
      </c>
      <c r="V17" s="144">
        <f t="shared" si="9"/>
        <v>1907.9778311467787</v>
      </c>
      <c r="W17" s="157">
        <f t="shared" ref="W17:W23" si="10">SUM(S17:V17)</f>
        <v>7348.8370462842659</v>
      </c>
      <c r="X17" s="144">
        <f t="shared" ref="X17:AA17" si="11">+X69+X102+X117+X131</f>
        <v>2222.9858360006283</v>
      </c>
      <c r="Y17" s="144">
        <f t="shared" si="11"/>
        <v>2005.5570476740043</v>
      </c>
      <c r="Z17" s="144">
        <f t="shared" si="11"/>
        <v>1603.530801415701</v>
      </c>
      <c r="AA17" s="144">
        <f t="shared" si="11"/>
        <v>2044.0096982590235</v>
      </c>
      <c r="AB17" s="157">
        <f t="shared" ref="AB17:AB23" si="12">SUM(X17:AA17)</f>
        <v>7876.0833833493562</v>
      </c>
      <c r="AC17" s="144">
        <f t="shared" ref="AC17:AF17" si="13">+AC69+AC102+AC117+AC131</f>
        <v>2378.124380749698</v>
      </c>
      <c r="AD17" s="144">
        <f t="shared" si="13"/>
        <v>2138.1674290346309</v>
      </c>
      <c r="AE17" s="144">
        <f t="shared" si="13"/>
        <v>1708.6859640158589</v>
      </c>
      <c r="AF17" s="144">
        <f t="shared" si="13"/>
        <v>2183.490297258305</v>
      </c>
      <c r="AG17" s="157">
        <f t="shared" ref="AG17:AG23" si="14">SUM(AC17:AF17)</f>
        <v>8408.4680710584926</v>
      </c>
      <c r="AH17" s="144">
        <f t="shared" ref="AH17:AK17" si="15">+AH69+AH102+AH117+AH131</f>
        <v>2541.0739319438117</v>
      </c>
      <c r="AI17" s="144">
        <f t="shared" si="15"/>
        <v>2277.5423492365858</v>
      </c>
      <c r="AJ17" s="144">
        <f t="shared" si="15"/>
        <v>1819.3861069326392</v>
      </c>
      <c r="AK17" s="144">
        <f t="shared" si="15"/>
        <v>2330.6288980523295</v>
      </c>
      <c r="AL17" s="157">
        <f t="shared" ref="AL17:AL23" si="16">SUM(AH17:AK17)</f>
        <v>8968.631286165366</v>
      </c>
    </row>
    <row r="18" spans="1:38" s="137" customFormat="1" outlineLevel="1" x14ac:dyDescent="0.2">
      <c r="A18" s="296"/>
      <c r="B18" s="257" t="s">
        <v>107</v>
      </c>
      <c r="C18" s="220"/>
      <c r="D18" s="144">
        <v>2586.8000000000002</v>
      </c>
      <c r="E18" s="144">
        <v>2554.1</v>
      </c>
      <c r="F18" s="144">
        <v>2643.2</v>
      </c>
      <c r="G18" s="144">
        <f t="shared" si="1"/>
        <v>2709.5000000000009</v>
      </c>
      <c r="H18" s="157">
        <v>10493.6</v>
      </c>
      <c r="I18" s="144">
        <v>2821.5</v>
      </c>
      <c r="J18" s="144">
        <v>2721.4</v>
      </c>
      <c r="K18" s="144">
        <v>2537.8000000000002</v>
      </c>
      <c r="L18" s="144">
        <f>+L70+L103</f>
        <v>2937.6565048754865</v>
      </c>
      <c r="M18" s="157">
        <f t="shared" si="6"/>
        <v>11018.356504875486</v>
      </c>
      <c r="N18" s="144">
        <f t="shared" ref="N18:Q18" si="17">+N70+N103</f>
        <v>3368.5866757390854</v>
      </c>
      <c r="O18" s="144">
        <f t="shared" si="17"/>
        <v>3033.3933003814445</v>
      </c>
      <c r="P18" s="144">
        <f t="shared" si="17"/>
        <v>2270.8527746274567</v>
      </c>
      <c r="Q18" s="144">
        <f t="shared" si="17"/>
        <v>2978.848945335601</v>
      </c>
      <c r="R18" s="157">
        <f t="shared" si="8"/>
        <v>11651.681696083589</v>
      </c>
      <c r="S18" s="144">
        <f t="shared" ref="S18:V18" si="18">+S70+S103</f>
        <v>3701.0010164809287</v>
      </c>
      <c r="T18" s="144">
        <f t="shared" si="18"/>
        <v>3326.1021813208363</v>
      </c>
      <c r="U18" s="144">
        <f t="shared" si="18"/>
        <v>2513.1892751779014</v>
      </c>
      <c r="V18" s="144">
        <f t="shared" si="18"/>
        <v>3273.8315745069544</v>
      </c>
      <c r="W18" s="157">
        <f t="shared" si="10"/>
        <v>12814.124047486621</v>
      </c>
      <c r="X18" s="144">
        <f t="shared" ref="X18:AA18" si="19">+X70+X103</f>
        <v>3987.3005616513715</v>
      </c>
      <c r="Y18" s="144">
        <f t="shared" si="19"/>
        <v>3568.2533588316664</v>
      </c>
      <c r="Z18" s="144">
        <f t="shared" si="19"/>
        <v>2693.5654158286616</v>
      </c>
      <c r="AA18" s="144">
        <f t="shared" si="19"/>
        <v>3515.3467518455218</v>
      </c>
      <c r="AB18" s="157">
        <f t="shared" si="12"/>
        <v>13764.466088157222</v>
      </c>
      <c r="AC18" s="144">
        <f t="shared" ref="AC18:AF18" si="20">+AC70+AC103</f>
        <v>4274.4061556892484</v>
      </c>
      <c r="AD18" s="144">
        <f t="shared" si="20"/>
        <v>3815.7606257294833</v>
      </c>
      <c r="AE18" s="144">
        <f t="shared" si="20"/>
        <v>2877.9517146397247</v>
      </c>
      <c r="AF18" s="144">
        <f t="shared" si="20"/>
        <v>3764.3576457709823</v>
      </c>
      <c r="AG18" s="157">
        <f t="shared" si="14"/>
        <v>14732.476141829438</v>
      </c>
      <c r="AH18" s="144">
        <f t="shared" ref="AH18:AK18" si="21">+AH70+AH103</f>
        <v>4575.9860806376864</v>
      </c>
      <c r="AI18" s="144">
        <f t="shared" si="21"/>
        <v>4076.0188198306887</v>
      </c>
      <c r="AJ18" s="144">
        <f t="shared" si="21"/>
        <v>3072.2478958050833</v>
      </c>
      <c r="AK18" s="144">
        <f t="shared" si="21"/>
        <v>4027.5011880019583</v>
      </c>
      <c r="AL18" s="157">
        <f t="shared" si="16"/>
        <v>15751.753984275416</v>
      </c>
    </row>
    <row r="19" spans="1:38" s="137" customFormat="1" outlineLevel="1" x14ac:dyDescent="0.2">
      <c r="A19" s="296"/>
      <c r="B19" s="257" t="s">
        <v>108</v>
      </c>
      <c r="C19" s="220"/>
      <c r="D19" s="144">
        <v>97.6</v>
      </c>
      <c r="E19" s="144">
        <v>87.1</v>
      </c>
      <c r="F19" s="144">
        <v>94.4</v>
      </c>
      <c r="G19" s="144">
        <f t="shared" si="1"/>
        <v>91.900000000000034</v>
      </c>
      <c r="H19" s="157">
        <v>371</v>
      </c>
      <c r="I19" s="144">
        <v>101.8</v>
      </c>
      <c r="J19" s="144">
        <v>95</v>
      </c>
      <c r="K19" s="144">
        <v>133.6</v>
      </c>
      <c r="L19" s="144">
        <f>+L71+L104+L118+L132</f>
        <v>151.50415600760019</v>
      </c>
      <c r="M19" s="157">
        <f t="shared" si="6"/>
        <v>481.90415600760014</v>
      </c>
      <c r="N19" s="144">
        <f t="shared" ref="N19:Q19" si="22">+N71+N104+N118+N132</f>
        <v>162.31751548376008</v>
      </c>
      <c r="O19" s="144">
        <f t="shared" si="22"/>
        <v>148.5682762679705</v>
      </c>
      <c r="P19" s="144">
        <f t="shared" si="22"/>
        <v>125.87124044022629</v>
      </c>
      <c r="Q19" s="144">
        <f t="shared" si="22"/>
        <v>155.95264044056256</v>
      </c>
      <c r="R19" s="157">
        <f t="shared" si="8"/>
        <v>592.70967263251941</v>
      </c>
      <c r="S19" s="144">
        <f t="shared" ref="S19:V19" si="23">+S71+S104+S118+S132</f>
        <v>176.2498071631629</v>
      </c>
      <c r="T19" s="144">
        <f t="shared" si="23"/>
        <v>160.3912881788099</v>
      </c>
      <c r="U19" s="144">
        <f t="shared" si="23"/>
        <v>136.67087723628185</v>
      </c>
      <c r="V19" s="144">
        <f t="shared" si="23"/>
        <v>169.94819998519861</v>
      </c>
      <c r="W19" s="157">
        <f t="shared" si="10"/>
        <v>643.26017256345324</v>
      </c>
      <c r="X19" s="144">
        <f t="shared" ref="X19:AA19" si="24">+X71+X104+X118+X132</f>
        <v>189.69374605804722</v>
      </c>
      <c r="Y19" s="144">
        <f t="shared" si="24"/>
        <v>171.18322392817106</v>
      </c>
      <c r="Z19" s="144">
        <f t="shared" si="24"/>
        <v>145.76401482522181</v>
      </c>
      <c r="AA19" s="144">
        <f t="shared" si="24"/>
        <v>181.80425757825464</v>
      </c>
      <c r="AB19" s="157">
        <f t="shared" si="12"/>
        <v>688.44524238969473</v>
      </c>
      <c r="AC19" s="144">
        <f t="shared" ref="AC19:AF19" si="25">+AC71+AC104+AC118+AC132</f>
        <v>202.62190390378512</v>
      </c>
      <c r="AD19" s="144">
        <f t="shared" si="25"/>
        <v>181.99910855537186</v>
      </c>
      <c r="AE19" s="144">
        <f t="shared" si="25"/>
        <v>155.00425657630888</v>
      </c>
      <c r="AF19" s="144">
        <f t="shared" si="25"/>
        <v>193.87075691262561</v>
      </c>
      <c r="AG19" s="157">
        <f t="shared" si="14"/>
        <v>733.49602594809153</v>
      </c>
      <c r="AH19" s="144">
        <f t="shared" ref="AH19:AK19" si="26">+AH71+AH104+AH118+AH132</f>
        <v>216.19852261630291</v>
      </c>
      <c r="AI19" s="144">
        <f t="shared" si="26"/>
        <v>193.36268295824112</v>
      </c>
      <c r="AJ19" s="144">
        <f t="shared" si="26"/>
        <v>164.72067452245093</v>
      </c>
      <c r="AK19" s="144">
        <f t="shared" si="26"/>
        <v>206.57673277896589</v>
      </c>
      <c r="AL19" s="157">
        <f t="shared" si="16"/>
        <v>780.85861287596094</v>
      </c>
    </row>
    <row r="20" spans="1:38" s="137" customFormat="1" outlineLevel="1" x14ac:dyDescent="0.2">
      <c r="A20" s="296"/>
      <c r="B20" s="257" t="s">
        <v>109</v>
      </c>
      <c r="C20" s="220"/>
      <c r="D20" s="144">
        <v>333.4</v>
      </c>
      <c r="E20" s="144">
        <v>356.2</v>
      </c>
      <c r="F20" s="144">
        <v>343.1</v>
      </c>
      <c r="G20" s="144">
        <f t="shared" si="1"/>
        <v>344.5999999999998</v>
      </c>
      <c r="H20" s="157">
        <v>1377.3</v>
      </c>
      <c r="I20" s="144">
        <v>351</v>
      </c>
      <c r="J20" s="144">
        <v>356.3</v>
      </c>
      <c r="K20" s="144">
        <v>361</v>
      </c>
      <c r="L20" s="144">
        <f>+L72+L105+L119+L133</f>
        <v>374.38234431425735</v>
      </c>
      <c r="M20" s="157">
        <f>SUM(I20:L20)</f>
        <v>1442.6823443142573</v>
      </c>
      <c r="N20" s="144">
        <f t="shared" ref="N20:Q20" si="27">+N72+N105+N119+N133</f>
        <v>373.6026776585021</v>
      </c>
      <c r="O20" s="144">
        <f t="shared" si="27"/>
        <v>377.62432252623171</v>
      </c>
      <c r="P20" s="144">
        <f t="shared" si="27"/>
        <v>378.86403363287934</v>
      </c>
      <c r="Q20" s="144">
        <f t="shared" si="27"/>
        <v>374.7117472296577</v>
      </c>
      <c r="R20" s="157">
        <f t="shared" si="8"/>
        <v>1504.8027810472709</v>
      </c>
      <c r="S20" s="144">
        <f t="shared" ref="S20:V20" si="28">+S72+S105+S119+S133</f>
        <v>376.52548542531531</v>
      </c>
      <c r="T20" s="144">
        <f t="shared" si="28"/>
        <v>382.8877795341981</v>
      </c>
      <c r="U20" s="144">
        <f t="shared" si="28"/>
        <v>386.02202439387389</v>
      </c>
      <c r="V20" s="144">
        <f t="shared" si="28"/>
        <v>383.32240631671635</v>
      </c>
      <c r="W20" s="157">
        <f t="shared" si="10"/>
        <v>1528.7576956701037</v>
      </c>
      <c r="X20" s="144">
        <f t="shared" ref="X20:AA20" si="29">+X72+X105+X119+X133</f>
        <v>386.96700444236865</v>
      </c>
      <c r="Y20" s="144">
        <f t="shared" si="29"/>
        <v>394.92238270989071</v>
      </c>
      <c r="Z20" s="144">
        <f t="shared" si="29"/>
        <v>399.20275238632462</v>
      </c>
      <c r="AA20" s="144">
        <f t="shared" si="29"/>
        <v>397.15149190829078</v>
      </c>
      <c r="AB20" s="157">
        <f t="shared" si="12"/>
        <v>1578.2436314468748</v>
      </c>
      <c r="AC20" s="144">
        <f t="shared" ref="AC20:AF20" si="30">+AC72+AC105+AC119+AC133</f>
        <v>401.90660607592162</v>
      </c>
      <c r="AD20" s="144">
        <f t="shared" si="30"/>
        <v>411.17973901979497</v>
      </c>
      <c r="AE20" s="144">
        <f t="shared" si="30"/>
        <v>416.38925018825535</v>
      </c>
      <c r="AF20" s="144">
        <f t="shared" si="30"/>
        <v>414.77900970056032</v>
      </c>
      <c r="AG20" s="157">
        <f t="shared" si="14"/>
        <v>1644.2546049845323</v>
      </c>
      <c r="AH20" s="144">
        <f t="shared" ref="AH20:AK20" si="31">+AH72+AH105+AH119+AH133</f>
        <v>420.4739222518574</v>
      </c>
      <c r="AI20" s="144">
        <f t="shared" si="31"/>
        <v>430.96029857839335</v>
      </c>
      <c r="AJ20" s="144">
        <f t="shared" si="31"/>
        <v>436.9867251595789</v>
      </c>
      <c r="AK20" s="144">
        <f t="shared" si="31"/>
        <v>435.69264237098952</v>
      </c>
      <c r="AL20" s="157">
        <f t="shared" si="16"/>
        <v>1724.1135883608192</v>
      </c>
    </row>
    <row r="21" spans="1:38" s="137" customFormat="1" ht="17.25" customHeight="1" outlineLevel="1" x14ac:dyDescent="0.2">
      <c r="A21" s="296"/>
      <c r="B21" s="257" t="s">
        <v>213</v>
      </c>
      <c r="C21" s="220"/>
      <c r="D21" s="144">
        <v>448</v>
      </c>
      <c r="E21" s="144">
        <v>458.1</v>
      </c>
      <c r="F21" s="144">
        <v>459.7</v>
      </c>
      <c r="G21" s="144">
        <f t="shared" si="1"/>
        <v>458.29999999999984</v>
      </c>
      <c r="H21" s="157">
        <v>1824.1</v>
      </c>
      <c r="I21" s="144">
        <v>434.2</v>
      </c>
      <c r="J21" s="144">
        <v>406.5</v>
      </c>
      <c r="K21" s="144">
        <v>399.9</v>
      </c>
      <c r="L21" s="144">
        <f>+L106+L73+L120+L134</f>
        <v>436.57439340851113</v>
      </c>
      <c r="M21" s="157">
        <f t="shared" si="6"/>
        <v>1677.1743934085112</v>
      </c>
      <c r="N21" s="144">
        <f t="shared" ref="N21:Q21" si="32">+N106+N73+N120+N134</f>
        <v>454.27390786353396</v>
      </c>
      <c r="O21" s="144">
        <f t="shared" si="32"/>
        <v>422.4960600999882</v>
      </c>
      <c r="P21" s="144">
        <f t="shared" si="32"/>
        <v>402.94349335600509</v>
      </c>
      <c r="Q21" s="144">
        <f t="shared" si="32"/>
        <v>439.44047040917764</v>
      </c>
      <c r="R21" s="157">
        <f t="shared" si="8"/>
        <v>1719.1539317287047</v>
      </c>
      <c r="S21" s="144">
        <f t="shared" ref="S21:V21" si="33">+S106+S73+S120+S134</f>
        <v>470.48869628411347</v>
      </c>
      <c r="T21" s="144">
        <f t="shared" si="33"/>
        <v>438.36546354445784</v>
      </c>
      <c r="U21" s="144">
        <f t="shared" si="33"/>
        <v>417.97042681904873</v>
      </c>
      <c r="V21" s="144">
        <f t="shared" si="33"/>
        <v>458.22916810204009</v>
      </c>
      <c r="W21" s="157">
        <f t="shared" si="10"/>
        <v>1785.0537547496601</v>
      </c>
      <c r="X21" s="144">
        <f t="shared" ref="X21:AA21" si="34">+X106+X73+X120+X134</f>
        <v>488.17789796621196</v>
      </c>
      <c r="Y21" s="144">
        <f t="shared" si="34"/>
        <v>451.79247553680796</v>
      </c>
      <c r="Z21" s="144">
        <f t="shared" si="34"/>
        <v>429.40195213334005</v>
      </c>
      <c r="AA21" s="144">
        <f t="shared" si="34"/>
        <v>473.38386390223297</v>
      </c>
      <c r="AB21" s="157">
        <f t="shared" si="12"/>
        <v>1842.7561895385929</v>
      </c>
      <c r="AC21" s="144">
        <f t="shared" ref="AC21:AF21" si="35">+AC106+AC73+AC120+AC134</f>
        <v>504.97956760275957</v>
      </c>
      <c r="AD21" s="144">
        <f t="shared" si="35"/>
        <v>464.78802125622195</v>
      </c>
      <c r="AE21" s="144">
        <f t="shared" si="35"/>
        <v>440.79189349604837</v>
      </c>
      <c r="AF21" s="144">
        <f t="shared" si="35"/>
        <v>488.69227807741333</v>
      </c>
      <c r="AG21" s="157">
        <f t="shared" si="14"/>
        <v>1899.2517604324435</v>
      </c>
      <c r="AH21" s="144">
        <f t="shared" ref="AH21:AK21" si="36">+AH106+AH73+AH120+AH134</f>
        <v>522.65771902223992</v>
      </c>
      <c r="AI21" s="144">
        <f t="shared" si="36"/>
        <v>478.40195973903406</v>
      </c>
      <c r="AJ21" s="144">
        <f t="shared" si="36"/>
        <v>452.76955401512134</v>
      </c>
      <c r="AK21" s="144">
        <f t="shared" si="36"/>
        <v>504.837104652221</v>
      </c>
      <c r="AL21" s="157">
        <f t="shared" si="16"/>
        <v>1958.6663374286163</v>
      </c>
    </row>
    <row r="22" spans="1:38" s="137" customFormat="1" ht="17.25" customHeight="1" outlineLevel="1" x14ac:dyDescent="0.35">
      <c r="A22" s="296"/>
      <c r="B22" s="257" t="s">
        <v>118</v>
      </c>
      <c r="C22" s="220"/>
      <c r="D22" s="143">
        <v>43.2</v>
      </c>
      <c r="E22" s="143">
        <v>43</v>
      </c>
      <c r="F22" s="143">
        <v>37.700000000000003</v>
      </c>
      <c r="G22" s="143">
        <f t="shared" si="1"/>
        <v>11.900000000000006</v>
      </c>
      <c r="H22" s="168">
        <v>135.80000000000001</v>
      </c>
      <c r="I22" s="143">
        <v>6.3</v>
      </c>
      <c r="J22" s="143">
        <v>-0.7</v>
      </c>
      <c r="K22" s="143">
        <v>78.099999999999994</v>
      </c>
      <c r="L22" s="143">
        <f>+L74+L107+L121+L135</f>
        <v>125.81376018437334</v>
      </c>
      <c r="M22" s="168">
        <f t="shared" si="6"/>
        <v>209.51376018437333</v>
      </c>
      <c r="N22" s="143">
        <f t="shared" ref="N22:Q22" si="37">+N74+N107+N121+N135</f>
        <v>148.85954904788088</v>
      </c>
      <c r="O22" s="143">
        <f t="shared" si="37"/>
        <v>141.76664018503541</v>
      </c>
      <c r="P22" s="143">
        <f t="shared" si="37"/>
        <v>101.73337222818327</v>
      </c>
      <c r="Q22" s="143">
        <f t="shared" si="37"/>
        <v>129.61443214375012</v>
      </c>
      <c r="R22" s="168">
        <f t="shared" si="8"/>
        <v>521.97399360484974</v>
      </c>
      <c r="S22" s="143">
        <f t="shared" ref="S22:V22" si="38">+S74+S107+S121+S135</f>
        <v>163.86663411197861</v>
      </c>
      <c r="T22" s="143">
        <f t="shared" si="38"/>
        <v>154.59521984673972</v>
      </c>
      <c r="U22" s="143">
        <f t="shared" si="38"/>
        <v>109.38350608159035</v>
      </c>
      <c r="V22" s="143">
        <f t="shared" si="38"/>
        <v>140.90389515862992</v>
      </c>
      <c r="W22" s="168">
        <f t="shared" si="10"/>
        <v>568.74925519893861</v>
      </c>
      <c r="X22" s="143">
        <f t="shared" ref="X22:AA22" si="39">+X74+X107+X121+X135</f>
        <v>174.66213410250614</v>
      </c>
      <c r="Y22" s="143">
        <f t="shared" si="39"/>
        <v>164.43905881246454</v>
      </c>
      <c r="Z22" s="143">
        <f t="shared" si="39"/>
        <v>115.81466189032568</v>
      </c>
      <c r="AA22" s="143">
        <f t="shared" si="39"/>
        <v>149.94472695147763</v>
      </c>
      <c r="AB22" s="168">
        <f t="shared" si="12"/>
        <v>604.86058175677397</v>
      </c>
      <c r="AC22" s="143">
        <f t="shared" ref="AC22:AF22" si="40">+AC74+AC107+AC121+AC135</f>
        <v>185.87709349584267</v>
      </c>
      <c r="AD22" s="143">
        <f t="shared" si="40"/>
        <v>174.84640741012592</v>
      </c>
      <c r="AE22" s="143">
        <f t="shared" si="40"/>
        <v>122.7082231823848</v>
      </c>
      <c r="AF22" s="143">
        <f t="shared" si="40"/>
        <v>159.33010069993301</v>
      </c>
      <c r="AG22" s="168">
        <f t="shared" si="14"/>
        <v>642.76182478828639</v>
      </c>
      <c r="AH22" s="143">
        <f t="shared" ref="AH22:AK22" si="41">+AH74+AH107+AH121+AH135</f>
        <v>197.63435925665922</v>
      </c>
      <c r="AI22" s="143">
        <f t="shared" si="41"/>
        <v>185.82711074830476</v>
      </c>
      <c r="AJ22" s="143">
        <f t="shared" si="41"/>
        <v>130.00434079407569</v>
      </c>
      <c r="AK22" s="143">
        <f t="shared" si="41"/>
        <v>169.24503287735109</v>
      </c>
      <c r="AL22" s="168">
        <f t="shared" si="16"/>
        <v>682.71084367639082</v>
      </c>
    </row>
    <row r="23" spans="1:38" s="30" customFormat="1" ht="17.25" customHeight="1" x14ac:dyDescent="0.35">
      <c r="A23" s="296"/>
      <c r="B23" s="221" t="s">
        <v>34</v>
      </c>
      <c r="C23" s="222"/>
      <c r="D23" s="145">
        <f t="shared" ref="D23:K23" si="42">SUM(D18:D22)+D17</f>
        <v>5684.8</v>
      </c>
      <c r="E23" s="145">
        <f t="shared" si="42"/>
        <v>5510.5</v>
      </c>
      <c r="F23" s="145">
        <f t="shared" si="42"/>
        <v>5777.6999999999989</v>
      </c>
      <c r="G23" s="145">
        <f t="shared" si="42"/>
        <v>5755.7</v>
      </c>
      <c r="H23" s="185">
        <f t="shared" si="42"/>
        <v>22728.699999999997</v>
      </c>
      <c r="I23" s="145">
        <f t="shared" si="42"/>
        <v>5951.2000000000007</v>
      </c>
      <c r="J23" s="145">
        <f t="shared" si="42"/>
        <v>5576.2000000000007</v>
      </c>
      <c r="K23" s="145">
        <f t="shared" si="42"/>
        <v>4994.3999999999996</v>
      </c>
      <c r="L23" s="145">
        <f>SUM(L17:L22)</f>
        <v>5731.9008317013195</v>
      </c>
      <c r="M23" s="185">
        <f t="shared" si="6"/>
        <v>22253.700831701324</v>
      </c>
      <c r="N23" s="145">
        <f>SUM(N17:N22)</f>
        <v>6400.6978072395432</v>
      </c>
      <c r="O23" s="145">
        <f t="shared" ref="O23:Q23" si="43">SUM(O17:O22)</f>
        <v>5846.8378409726292</v>
      </c>
      <c r="P23" s="145">
        <f t="shared" si="43"/>
        <v>4650.9402628131902</v>
      </c>
      <c r="Q23" s="145">
        <f t="shared" si="43"/>
        <v>5823.6176527993321</v>
      </c>
      <c r="R23" s="185">
        <f t="shared" si="8"/>
        <v>22722.093563824696</v>
      </c>
      <c r="S23" s="145">
        <f t="shared" ref="S23" si="44">SUM(S17:S22)</f>
        <v>6953.7761978710023</v>
      </c>
      <c r="T23" s="145">
        <f t="shared" ref="T23" si="45">SUM(T17:T22)</f>
        <v>6337.0547134019707</v>
      </c>
      <c r="U23" s="145">
        <f t="shared" ref="U23" si="46">SUM(U17:U22)</f>
        <v>5063.7379854637511</v>
      </c>
      <c r="V23" s="145">
        <f t="shared" ref="V23" si="47">SUM(V17:V22)</f>
        <v>6334.2130752163175</v>
      </c>
      <c r="W23" s="185">
        <f t="shared" si="10"/>
        <v>24688.781971953042</v>
      </c>
      <c r="X23" s="145">
        <f t="shared" ref="X23" si="48">SUM(X17:X22)</f>
        <v>7449.7871802211348</v>
      </c>
      <c r="Y23" s="145">
        <f t="shared" ref="Y23" si="49">SUM(Y17:Y22)</f>
        <v>6756.1475474930039</v>
      </c>
      <c r="Z23" s="145">
        <f t="shared" ref="Z23" si="50">SUM(Z17:Z22)</f>
        <v>5387.2795984795748</v>
      </c>
      <c r="AA23" s="145">
        <f t="shared" ref="AA23" si="51">SUM(AA17:AA22)</f>
        <v>6761.6407904448024</v>
      </c>
      <c r="AB23" s="185">
        <f t="shared" si="12"/>
        <v>26354.855116638515</v>
      </c>
      <c r="AC23" s="145">
        <f t="shared" ref="AC23" si="52">SUM(AC17:AC22)</f>
        <v>7947.9157075172552</v>
      </c>
      <c r="AD23" s="145">
        <f t="shared" ref="AD23" si="53">SUM(AD17:AD22)</f>
        <v>7186.741331005629</v>
      </c>
      <c r="AE23" s="145">
        <f t="shared" ref="AE23" si="54">SUM(AE17:AE22)</f>
        <v>5721.5313020985814</v>
      </c>
      <c r="AF23" s="145">
        <f t="shared" ref="AF23" si="55">SUM(AF17:AF22)</f>
        <v>7204.5200884198184</v>
      </c>
      <c r="AG23" s="185">
        <f t="shared" si="14"/>
        <v>28060.708429041282</v>
      </c>
      <c r="AH23" s="145">
        <f t="shared" ref="AH23" si="56">SUM(AH17:AH22)</f>
        <v>8474.0245357285585</v>
      </c>
      <c r="AI23" s="145">
        <f t="shared" ref="AI23" si="57">SUM(AI17:AI22)</f>
        <v>7642.1132210912474</v>
      </c>
      <c r="AJ23" s="145">
        <f t="shared" ref="AJ23" si="58">SUM(AJ17:AJ22)</f>
        <v>6076.1152972289501</v>
      </c>
      <c r="AK23" s="145">
        <f t="shared" ref="AK23" si="59">SUM(AK17:AK22)</f>
        <v>7674.4815987338152</v>
      </c>
      <c r="AL23" s="185">
        <f t="shared" si="16"/>
        <v>29866.734652782572</v>
      </c>
    </row>
    <row r="24" spans="1:38" s="33" customFormat="1" ht="17.25" customHeight="1" x14ac:dyDescent="0.35">
      <c r="A24" s="296"/>
      <c r="B24" s="345" t="s">
        <v>111</v>
      </c>
      <c r="C24" s="346"/>
      <c r="D24" s="143">
        <v>67.8</v>
      </c>
      <c r="E24" s="143">
        <v>62.3</v>
      </c>
      <c r="F24" s="143">
        <v>76</v>
      </c>
      <c r="G24" s="143">
        <f t="shared" si="1"/>
        <v>91.899999999999991</v>
      </c>
      <c r="H24" s="168">
        <v>298</v>
      </c>
      <c r="I24" s="143">
        <v>73.900000000000006</v>
      </c>
      <c r="J24" s="143">
        <v>67.900000000000006</v>
      </c>
      <c r="K24" s="143">
        <v>68.400000000000006</v>
      </c>
      <c r="L24" s="143">
        <f>+L123+L109</f>
        <v>75.525000000000006</v>
      </c>
      <c r="M24" s="168">
        <f>SUM(I24:L24)</f>
        <v>285.72500000000002</v>
      </c>
      <c r="N24" s="143">
        <f t="shared" ref="N24:Q24" si="60">+N123+N109</f>
        <v>71.431249999999991</v>
      </c>
      <c r="O24" s="143">
        <f t="shared" si="60"/>
        <v>70.814062499999991</v>
      </c>
      <c r="P24" s="143">
        <f t="shared" si="60"/>
        <v>71.542578124999991</v>
      </c>
      <c r="Q24" s="143">
        <f t="shared" si="60"/>
        <v>72.328222656249991</v>
      </c>
      <c r="R24" s="168">
        <f>SUM(N24:Q24)</f>
        <v>286.11611328124997</v>
      </c>
      <c r="S24" s="143">
        <f t="shared" ref="S24:V24" si="61">+S123+S109</f>
        <v>71.529028320312506</v>
      </c>
      <c r="T24" s="143">
        <f t="shared" si="61"/>
        <v>71.553472900390616</v>
      </c>
      <c r="U24" s="143">
        <f t="shared" si="61"/>
        <v>71.738325500488273</v>
      </c>
      <c r="V24" s="143">
        <f t="shared" si="61"/>
        <v>71.787262344360343</v>
      </c>
      <c r="W24" s="168">
        <f>SUM(S24:V24)</f>
        <v>286.60808906555172</v>
      </c>
      <c r="X24" s="143">
        <f t="shared" ref="X24:AA24" si="62">+X123+X109</f>
        <v>71.652022266387931</v>
      </c>
      <c r="Y24" s="143">
        <f t="shared" si="62"/>
        <v>71.682770752906805</v>
      </c>
      <c r="Z24" s="143">
        <f t="shared" si="62"/>
        <v>71.715095216035834</v>
      </c>
      <c r="AA24" s="143">
        <f t="shared" si="62"/>
        <v>71.709287644922725</v>
      </c>
      <c r="AB24" s="168">
        <f>SUM(X24:AA24)</f>
        <v>286.75917588025328</v>
      </c>
      <c r="AC24" s="143">
        <f t="shared" ref="AC24:AF24" si="63">+AC123+AC109</f>
        <v>71.68979397006332</v>
      </c>
      <c r="AD24" s="143">
        <f t="shared" si="63"/>
        <v>71.699236895982168</v>
      </c>
      <c r="AE24" s="143">
        <f t="shared" si="63"/>
        <v>71.703353431751026</v>
      </c>
      <c r="AF24" s="143">
        <f t="shared" si="63"/>
        <v>71.700417985679806</v>
      </c>
      <c r="AG24" s="168">
        <f>SUM(AC24:AF24)</f>
        <v>286.79280228347631</v>
      </c>
      <c r="AH24" s="143">
        <f t="shared" ref="AH24:AK24" si="64">+AH123+AH109</f>
        <v>71.698200570869076</v>
      </c>
      <c r="AI24" s="143">
        <f t="shared" si="64"/>
        <v>71.700302221070515</v>
      </c>
      <c r="AJ24" s="143">
        <f t="shared" si="64"/>
        <v>71.700568552342602</v>
      </c>
      <c r="AK24" s="143">
        <f t="shared" si="64"/>
        <v>71.699872332490514</v>
      </c>
      <c r="AL24" s="168">
        <f>SUM(AH24:AK24)</f>
        <v>286.79894367677275</v>
      </c>
    </row>
    <row r="25" spans="1:38" x14ac:dyDescent="0.2">
      <c r="A25" s="296"/>
      <c r="B25" s="223" t="s">
        <v>43</v>
      </c>
      <c r="C25" s="224"/>
      <c r="D25" s="142">
        <f t="shared" ref="D25:R25" si="65">D16-D23+D24</f>
        <v>1015.7000000000005</v>
      </c>
      <c r="E25" s="142">
        <f t="shared" si="65"/>
        <v>857.69999999999959</v>
      </c>
      <c r="F25" s="142">
        <f t="shared" si="65"/>
        <v>1121.3000000000011</v>
      </c>
      <c r="G25" s="142">
        <f t="shared" si="65"/>
        <v>1083.2000000000012</v>
      </c>
      <c r="H25" s="158">
        <f t="shared" si="65"/>
        <v>4077.9000000000051</v>
      </c>
      <c r="I25" s="142">
        <f t="shared" si="65"/>
        <v>1219.7999999999988</v>
      </c>
      <c r="J25" s="142">
        <f t="shared" si="65"/>
        <v>487.39999999999907</v>
      </c>
      <c r="K25" s="142">
        <f t="shared" si="65"/>
        <v>-703.8999999999993</v>
      </c>
      <c r="L25" s="142">
        <f t="shared" si="65"/>
        <v>364.81580079075718</v>
      </c>
      <c r="M25" s="158">
        <f t="shared" si="65"/>
        <v>1368.115800790752</v>
      </c>
      <c r="N25" s="142">
        <f t="shared" si="65"/>
        <v>1024.575321340641</v>
      </c>
      <c r="O25" s="142">
        <f t="shared" si="65"/>
        <v>865.16388462406246</v>
      </c>
      <c r="P25" s="142">
        <f t="shared" si="65"/>
        <v>571.25790243326207</v>
      </c>
      <c r="Q25" s="142">
        <f t="shared" si="65"/>
        <v>1002.2356251219866</v>
      </c>
      <c r="R25" s="158">
        <f t="shared" si="65"/>
        <v>3463.2327335199529</v>
      </c>
      <c r="S25" s="142">
        <f t="shared" ref="S25:AL25" si="66">S16-S23+S24</f>
        <v>1176.3127255498407</v>
      </c>
      <c r="T25" s="142">
        <f t="shared" si="66"/>
        <v>994.38422714664227</v>
      </c>
      <c r="U25" s="142">
        <f t="shared" si="66"/>
        <v>685.08940952537739</v>
      </c>
      <c r="V25" s="142">
        <f t="shared" si="66"/>
        <v>1147.738136400229</v>
      </c>
      <c r="W25" s="158">
        <f t="shared" si="66"/>
        <v>4003.5244986220873</v>
      </c>
      <c r="X25" s="142">
        <f t="shared" si="66"/>
        <v>1300.9374833895249</v>
      </c>
      <c r="Y25" s="142">
        <f t="shared" si="66"/>
        <v>1097.2173035688525</v>
      </c>
      <c r="Z25" s="142">
        <f t="shared" si="66"/>
        <v>762.91599949995668</v>
      </c>
      <c r="AA25" s="142">
        <f t="shared" si="66"/>
        <v>1261.9571681898692</v>
      </c>
      <c r="AB25" s="158">
        <f t="shared" si="66"/>
        <v>4423.027954648207</v>
      </c>
      <c r="AC25" s="142">
        <f t="shared" si="66"/>
        <v>1421.1620069077458</v>
      </c>
      <c r="AD25" s="142">
        <f t="shared" si="66"/>
        <v>1198.0027550427826</v>
      </c>
      <c r="AE25" s="142">
        <f t="shared" si="66"/>
        <v>838.69712166689931</v>
      </c>
      <c r="AF25" s="142">
        <f t="shared" si="66"/>
        <v>1376.2545591964413</v>
      </c>
      <c r="AG25" s="158">
        <f t="shared" si="66"/>
        <v>4834.1164428138709</v>
      </c>
      <c r="AH25" s="142">
        <f t="shared" si="66"/>
        <v>1544.5478043560802</v>
      </c>
      <c r="AI25" s="142">
        <f t="shared" si="66"/>
        <v>1301.2615915683623</v>
      </c>
      <c r="AJ25" s="142">
        <f t="shared" si="66"/>
        <v>916.00986561294383</v>
      </c>
      <c r="AK25" s="142">
        <f t="shared" si="66"/>
        <v>1494.6792217411057</v>
      </c>
      <c r="AL25" s="158">
        <f t="shared" si="66"/>
        <v>5256.4984832784885</v>
      </c>
    </row>
    <row r="26" spans="1:38" ht="18" x14ac:dyDescent="0.35">
      <c r="A26" s="296"/>
      <c r="B26" s="182" t="s">
        <v>162</v>
      </c>
      <c r="C26" s="120"/>
      <c r="D26" s="146">
        <f t="shared" ref="D26:K26" si="67">+D176</f>
        <v>138</v>
      </c>
      <c r="E26" s="146">
        <f t="shared" si="67"/>
        <v>141.4</v>
      </c>
      <c r="F26" s="146">
        <f t="shared" si="67"/>
        <v>125.30000000000001</v>
      </c>
      <c r="G26" s="146">
        <f t="shared" si="67"/>
        <v>77.399999999999991</v>
      </c>
      <c r="H26" s="228">
        <f>SUM(D26:G26)</f>
        <v>482.09999999999997</v>
      </c>
      <c r="I26" s="146">
        <f t="shared" si="67"/>
        <v>71.599999999999994</v>
      </c>
      <c r="J26" s="146">
        <f t="shared" si="67"/>
        <v>66.8</v>
      </c>
      <c r="K26" s="146">
        <f t="shared" si="67"/>
        <v>173.67999999999998</v>
      </c>
      <c r="L26" s="146">
        <f>+L176</f>
        <v>187.04000000000002</v>
      </c>
      <c r="M26" s="228">
        <f t="shared" ref="M26:M27" si="68">SUM(I26:L26)</f>
        <v>499.11999999999995</v>
      </c>
      <c r="N26" s="146">
        <f>+N176</f>
        <v>122.65249999999997</v>
      </c>
      <c r="O26" s="146">
        <f t="shared" ref="O26:P26" si="69">+O176</f>
        <v>120.73406249999999</v>
      </c>
      <c r="P26" s="146">
        <f t="shared" si="69"/>
        <v>118.15082031249997</v>
      </c>
      <c r="Q26" s="146">
        <f>+Q176</f>
        <v>117.25717285156247</v>
      </c>
      <c r="R26" s="228">
        <f t="shared" ref="R26:R27" si="70">SUM(N26:Q26)</f>
        <v>478.79455566406239</v>
      </c>
      <c r="S26" s="146">
        <f>+S176</f>
        <v>122.2393194580078</v>
      </c>
      <c r="T26" s="146">
        <f t="shared" ref="T26:U26" si="71">+T176</f>
        <v>128.56923439025877</v>
      </c>
      <c r="U26" s="146">
        <f t="shared" si="71"/>
        <v>136.29038868904112</v>
      </c>
      <c r="V26" s="146">
        <f>+V176</f>
        <v>131.61668727517127</v>
      </c>
      <c r="W26" s="228">
        <f t="shared" ref="W26:W27" si="72">SUM(S26:V26)</f>
        <v>518.71562981247894</v>
      </c>
      <c r="X26" s="146">
        <f>+X176</f>
        <v>124.68877318456768</v>
      </c>
      <c r="Y26" s="146">
        <f t="shared" ref="Y26:Z26" si="73">+Y176</f>
        <v>124.94330733263865</v>
      </c>
      <c r="Z26" s="146">
        <f t="shared" si="73"/>
        <v>125.46946293671846</v>
      </c>
      <c r="AA26" s="146">
        <f>+AA176</f>
        <v>29.310664942448128</v>
      </c>
      <c r="AB26" s="228">
        <f t="shared" ref="AB26:AB27" si="74">SUM(X26:AA26)</f>
        <v>404.41220839637293</v>
      </c>
      <c r="AC26" s="146">
        <f>+AC176</f>
        <v>127.52518331639368</v>
      </c>
      <c r="AD26" s="146">
        <f t="shared" ref="AD26:AE26" si="75">+AD176</f>
        <v>128.18591629869192</v>
      </c>
      <c r="AE26" s="146">
        <f t="shared" si="75"/>
        <v>128.13800153724605</v>
      </c>
      <c r="AF26" s="146">
        <f>+AF176</f>
        <v>127.1189531432717</v>
      </c>
      <c r="AG26" s="228">
        <f t="shared" ref="AG26:AG27" si="76">SUM(AC26:AF26)</f>
        <v>510.96805429560334</v>
      </c>
      <c r="AH26" s="146">
        <f>+AH176</f>
        <v>126.55673637678426</v>
      </c>
      <c r="AI26" s="146">
        <f t="shared" ref="AI26:AJ26" si="77">+AI176</f>
        <v>126.79023177581131</v>
      </c>
      <c r="AJ26" s="146">
        <f t="shared" si="77"/>
        <v>127.0210973312079</v>
      </c>
      <c r="AK26" s="146">
        <f>+AK176</f>
        <v>127.21505163051907</v>
      </c>
      <c r="AL26" s="228">
        <f t="shared" ref="AL26:AL27" si="78">SUM(AH26:AK26)</f>
        <v>507.58311711432248</v>
      </c>
    </row>
    <row r="27" spans="1:38" x14ac:dyDescent="0.2">
      <c r="A27" s="296"/>
      <c r="B27" s="183" t="s">
        <v>163</v>
      </c>
      <c r="C27" s="114"/>
      <c r="D27" s="147">
        <f t="shared" ref="D27:K27" si="79">+D25+D26</f>
        <v>1153.7000000000005</v>
      </c>
      <c r="E27" s="147">
        <f t="shared" si="79"/>
        <v>999.09999999999957</v>
      </c>
      <c r="F27" s="147">
        <f t="shared" si="79"/>
        <v>1246.600000000001</v>
      </c>
      <c r="G27" s="147">
        <f t="shared" si="79"/>
        <v>1160.6000000000013</v>
      </c>
      <c r="H27" s="229">
        <f t="shared" ref="H27" si="80">+H25+H26</f>
        <v>4560.0000000000055</v>
      </c>
      <c r="I27" s="147">
        <f t="shared" si="79"/>
        <v>1291.3999999999987</v>
      </c>
      <c r="J27" s="147">
        <f t="shared" si="79"/>
        <v>554.19999999999902</v>
      </c>
      <c r="K27" s="147">
        <f t="shared" si="79"/>
        <v>-530.21999999999935</v>
      </c>
      <c r="L27" s="147">
        <f>+L25+L26</f>
        <v>551.85580079075726</v>
      </c>
      <c r="M27" s="229">
        <f t="shared" si="68"/>
        <v>1867.2358007907555</v>
      </c>
      <c r="N27" s="147">
        <f t="shared" ref="N27:P27" si="81">+N25+N26</f>
        <v>1147.227821340641</v>
      </c>
      <c r="O27" s="147">
        <f t="shared" si="81"/>
        <v>985.89794712406251</v>
      </c>
      <c r="P27" s="147">
        <f t="shared" si="81"/>
        <v>689.40872274576202</v>
      </c>
      <c r="Q27" s="147">
        <f>+Q25+Q26</f>
        <v>1119.4927979735489</v>
      </c>
      <c r="R27" s="229">
        <f t="shared" si="70"/>
        <v>3942.0272891840145</v>
      </c>
      <c r="S27" s="147">
        <f t="shared" ref="S27" si="82">+S25+S26</f>
        <v>1298.5520450078484</v>
      </c>
      <c r="T27" s="147">
        <f t="shared" ref="T27" si="83">+T25+T26</f>
        <v>1122.9534615369012</v>
      </c>
      <c r="U27" s="147">
        <f t="shared" ref="U27" si="84">+U25+U26</f>
        <v>821.37979821441854</v>
      </c>
      <c r="V27" s="147">
        <f>+V25+V26</f>
        <v>1279.3548236754002</v>
      </c>
      <c r="W27" s="229">
        <f t="shared" si="72"/>
        <v>4522.2401284345688</v>
      </c>
      <c r="X27" s="147">
        <f t="shared" ref="X27" si="85">+X25+X26</f>
        <v>1425.6262565740926</v>
      </c>
      <c r="Y27" s="147">
        <f t="shared" ref="Y27" si="86">+Y25+Y26</f>
        <v>1222.1606109014911</v>
      </c>
      <c r="Z27" s="147">
        <f t="shared" ref="Z27" si="87">+Z25+Z26</f>
        <v>888.3854624366752</v>
      </c>
      <c r="AA27" s="147">
        <f>+AA25+AA26</f>
        <v>1291.2678331323173</v>
      </c>
      <c r="AB27" s="229">
        <f t="shared" si="74"/>
        <v>4827.4401630445755</v>
      </c>
      <c r="AC27" s="147">
        <f t="shared" ref="AC27" si="88">+AC25+AC26</f>
        <v>1548.6871902241394</v>
      </c>
      <c r="AD27" s="147">
        <f t="shared" ref="AD27" si="89">+AD25+AD26</f>
        <v>1326.1886713414744</v>
      </c>
      <c r="AE27" s="147">
        <f t="shared" ref="AE27" si="90">+AE25+AE26</f>
        <v>966.83512320414536</v>
      </c>
      <c r="AF27" s="147">
        <f>+AF25+AF26</f>
        <v>1503.373512339713</v>
      </c>
      <c r="AG27" s="229">
        <f t="shared" si="76"/>
        <v>5345.0844971094721</v>
      </c>
      <c r="AH27" s="147">
        <f t="shared" ref="AH27" si="91">+AH25+AH26</f>
        <v>1671.1045407328645</v>
      </c>
      <c r="AI27" s="147">
        <f t="shared" ref="AI27" si="92">+AI25+AI26</f>
        <v>1428.0518233441735</v>
      </c>
      <c r="AJ27" s="147">
        <f t="shared" ref="AJ27" si="93">+AJ25+AJ26</f>
        <v>1043.0309629441517</v>
      </c>
      <c r="AK27" s="147">
        <f>+AK25+AK26</f>
        <v>1621.8942733716249</v>
      </c>
      <c r="AL27" s="229">
        <f t="shared" si="78"/>
        <v>5764.0816003928148</v>
      </c>
    </row>
    <row r="28" spans="1:38" x14ac:dyDescent="0.2">
      <c r="A28" s="296"/>
      <c r="B28" s="58" t="s">
        <v>153</v>
      </c>
      <c r="C28" s="26"/>
      <c r="D28" s="144">
        <v>0</v>
      </c>
      <c r="E28" s="144">
        <v>21</v>
      </c>
      <c r="F28" s="144">
        <v>601.79999999999995</v>
      </c>
      <c r="G28" s="144">
        <f t="shared" ref="G28:G30" si="94">H28-F28-E28-D28</f>
        <v>0</v>
      </c>
      <c r="H28" s="157">
        <v>622.79999999999995</v>
      </c>
      <c r="I28" s="144">
        <v>0</v>
      </c>
      <c r="J28" s="144">
        <v>0</v>
      </c>
      <c r="K28" s="144">
        <v>0</v>
      </c>
      <c r="L28" s="144">
        <v>0</v>
      </c>
      <c r="M28" s="157">
        <v>0</v>
      </c>
      <c r="N28" s="144">
        <v>0</v>
      </c>
      <c r="O28" s="144">
        <v>0</v>
      </c>
      <c r="P28" s="144">
        <v>0</v>
      </c>
      <c r="Q28" s="144">
        <v>0</v>
      </c>
      <c r="R28" s="157">
        <v>0</v>
      </c>
      <c r="S28" s="144">
        <v>0</v>
      </c>
      <c r="T28" s="144">
        <v>0</v>
      </c>
      <c r="U28" s="144">
        <v>0</v>
      </c>
      <c r="V28" s="144">
        <v>0</v>
      </c>
      <c r="W28" s="157">
        <v>0</v>
      </c>
      <c r="X28" s="144">
        <v>0</v>
      </c>
      <c r="Y28" s="144">
        <v>0</v>
      </c>
      <c r="Z28" s="144">
        <v>0</v>
      </c>
      <c r="AA28" s="144">
        <v>0</v>
      </c>
      <c r="AB28" s="157">
        <v>0</v>
      </c>
      <c r="AC28" s="144">
        <v>0</v>
      </c>
      <c r="AD28" s="144">
        <v>0</v>
      </c>
      <c r="AE28" s="144">
        <v>0</v>
      </c>
      <c r="AF28" s="144">
        <v>0</v>
      </c>
      <c r="AG28" s="157">
        <v>0</v>
      </c>
      <c r="AH28" s="144">
        <v>0</v>
      </c>
      <c r="AI28" s="144">
        <v>0</v>
      </c>
      <c r="AJ28" s="144">
        <v>0</v>
      </c>
      <c r="AK28" s="144">
        <v>0</v>
      </c>
      <c r="AL28" s="157">
        <v>0</v>
      </c>
    </row>
    <row r="29" spans="1:38" s="137" customFormat="1" x14ac:dyDescent="0.2">
      <c r="A29" s="296"/>
      <c r="B29" s="287" t="s">
        <v>112</v>
      </c>
      <c r="C29" s="220"/>
      <c r="D29" s="144">
        <v>24.8</v>
      </c>
      <c r="E29" s="144">
        <v>15.2</v>
      </c>
      <c r="F29" s="141">
        <v>40.200000000000003</v>
      </c>
      <c r="G29" s="144">
        <f t="shared" si="94"/>
        <v>16.299999999999994</v>
      </c>
      <c r="H29" s="157">
        <v>96.5</v>
      </c>
      <c r="I29" s="144">
        <v>15.9</v>
      </c>
      <c r="J29" s="144">
        <v>2</v>
      </c>
      <c r="K29" s="144">
        <v>12.7</v>
      </c>
      <c r="L29" s="144">
        <f>K29</f>
        <v>12.7</v>
      </c>
      <c r="M29" s="157">
        <f>SUM(I29:L29)</f>
        <v>43.3</v>
      </c>
      <c r="N29" s="144">
        <f>L29</f>
        <v>12.7</v>
      </c>
      <c r="O29" s="144">
        <f t="shared" ref="O29:Q29" si="95">N29</f>
        <v>12.7</v>
      </c>
      <c r="P29" s="144">
        <f t="shared" si="95"/>
        <v>12.7</v>
      </c>
      <c r="Q29" s="144">
        <f t="shared" si="95"/>
        <v>12.7</v>
      </c>
      <c r="R29" s="157">
        <f>SUM(N29:Q29)</f>
        <v>50.8</v>
      </c>
      <c r="S29" s="144">
        <f>Q29</f>
        <v>12.7</v>
      </c>
      <c r="T29" s="144">
        <f t="shared" ref="T29:V29" si="96">S29</f>
        <v>12.7</v>
      </c>
      <c r="U29" s="144">
        <f t="shared" si="96"/>
        <v>12.7</v>
      </c>
      <c r="V29" s="144">
        <f t="shared" si="96"/>
        <v>12.7</v>
      </c>
      <c r="W29" s="157">
        <f>SUM(S29:V29)</f>
        <v>50.8</v>
      </c>
      <c r="X29" s="144">
        <f>V29</f>
        <v>12.7</v>
      </c>
      <c r="Y29" s="144">
        <f t="shared" ref="Y29:AA29" si="97">X29</f>
        <v>12.7</v>
      </c>
      <c r="Z29" s="144">
        <f t="shared" si="97"/>
        <v>12.7</v>
      </c>
      <c r="AA29" s="144">
        <f t="shared" si="97"/>
        <v>12.7</v>
      </c>
      <c r="AB29" s="157">
        <f>SUM(X29:AA29)</f>
        <v>50.8</v>
      </c>
      <c r="AC29" s="144">
        <f>AA29</f>
        <v>12.7</v>
      </c>
      <c r="AD29" s="144">
        <f t="shared" ref="AD29:AF29" si="98">AC29</f>
        <v>12.7</v>
      </c>
      <c r="AE29" s="144">
        <f t="shared" si="98"/>
        <v>12.7</v>
      </c>
      <c r="AF29" s="144">
        <f t="shared" si="98"/>
        <v>12.7</v>
      </c>
      <c r="AG29" s="157">
        <f>SUM(AC29:AF29)</f>
        <v>50.8</v>
      </c>
      <c r="AH29" s="144">
        <f>AF29</f>
        <v>12.7</v>
      </c>
      <c r="AI29" s="144">
        <f t="shared" ref="AI29:AK29" si="99">AH29</f>
        <v>12.7</v>
      </c>
      <c r="AJ29" s="144">
        <f t="shared" si="99"/>
        <v>12.7</v>
      </c>
      <c r="AK29" s="144">
        <f t="shared" si="99"/>
        <v>12.7</v>
      </c>
      <c r="AL29" s="157">
        <f>SUM(AH29:AK29)</f>
        <v>50.8</v>
      </c>
    </row>
    <row r="30" spans="1:38" ht="18" x14ac:dyDescent="0.35">
      <c r="A30" s="296"/>
      <c r="B30" s="58" t="s">
        <v>113</v>
      </c>
      <c r="C30" s="49"/>
      <c r="D30" s="143">
        <v>-75</v>
      </c>
      <c r="E30" s="143">
        <v>-73.900000000000006</v>
      </c>
      <c r="F30" s="143">
        <v>-86.4</v>
      </c>
      <c r="G30" s="143">
        <f t="shared" si="94"/>
        <v>-95.699999999999989</v>
      </c>
      <c r="H30" s="168">
        <v>-331</v>
      </c>
      <c r="I30" s="143">
        <v>-91.9</v>
      </c>
      <c r="J30" s="143">
        <v>-99.2</v>
      </c>
      <c r="K30" s="143">
        <v>-120.8</v>
      </c>
      <c r="L30" s="143">
        <f>-(K206+K209)*L152</f>
        <v>-131.82973718590847</v>
      </c>
      <c r="M30" s="168">
        <f>SUM(I30:L30)</f>
        <v>-443.7297371859085</v>
      </c>
      <c r="N30" s="143">
        <f>-(L206+L209)*N152</f>
        <v>-128.40705289672545</v>
      </c>
      <c r="O30" s="143">
        <f t="shared" ref="O30:Q30" si="100">-(N206+N209)*O152</f>
        <v>-124.98436860754241</v>
      </c>
      <c r="P30" s="143">
        <f t="shared" si="100"/>
        <v>-121.56168431835938</v>
      </c>
      <c r="Q30" s="143">
        <f t="shared" si="100"/>
        <v>-118.13900002917634</v>
      </c>
      <c r="R30" s="168">
        <f>SUM(N30:Q30)</f>
        <v>-493.09210585180358</v>
      </c>
      <c r="S30" s="143">
        <f>-(Q206+Q209)*S152</f>
        <v>-114.70770028754914</v>
      </c>
      <c r="T30" s="143">
        <f t="shared" ref="T30:V30" si="101">-(S206+S209)*T152</f>
        <v>-112.74964291387464</v>
      </c>
      <c r="U30" s="143">
        <f t="shared" si="101"/>
        <v>-110.79158554020015</v>
      </c>
      <c r="V30" s="143">
        <f t="shared" si="101"/>
        <v>-108.83352816652564</v>
      </c>
      <c r="W30" s="168">
        <f>SUM(S30:V30)</f>
        <v>-447.08245690814954</v>
      </c>
      <c r="X30" s="143">
        <f>-(V206+V209)*X152</f>
        <v>-106.87547079285113</v>
      </c>
      <c r="Y30" s="143">
        <f t="shared" ref="Y30:AA30" si="102">-(X206+X209)*Y152</f>
        <v>-104.91741341917664</v>
      </c>
      <c r="Z30" s="143">
        <f t="shared" si="102"/>
        <v>-102.95935604550213</v>
      </c>
      <c r="AA30" s="143">
        <f t="shared" si="102"/>
        <v>-101.00129867182763</v>
      </c>
      <c r="AB30" s="168">
        <f>SUM(X30:AA30)</f>
        <v>-415.75353892935755</v>
      </c>
      <c r="AC30" s="143">
        <f>-(AA206+AA209)*AC152</f>
        <v>-99.043241298153134</v>
      </c>
      <c r="AD30" s="143">
        <f t="shared" ref="AD30:AF30" si="103">-(AC206+AC209)*AD152</f>
        <v>-96.020000713199693</v>
      </c>
      <c r="AE30" s="143">
        <f t="shared" si="103"/>
        <v>-93.004592357740961</v>
      </c>
      <c r="AF30" s="143">
        <f t="shared" si="103"/>
        <v>-89.981351772787534</v>
      </c>
      <c r="AG30" s="168">
        <f>SUM(AC30:AF30)</f>
        <v>-378.04918614188136</v>
      </c>
      <c r="AH30" s="143">
        <f>-(AF206+AF209)*AH152</f>
        <v>-86.958111187834106</v>
      </c>
      <c r="AI30" s="143">
        <f t="shared" ref="AI30:AK30" si="104">-(AH206+AH209)*AI152</f>
        <v>-81.083939066810601</v>
      </c>
      <c r="AJ30" s="143">
        <f t="shared" si="104"/>
        <v>-75.209766945787095</v>
      </c>
      <c r="AK30" s="143">
        <f t="shared" si="104"/>
        <v>-69.335594824763589</v>
      </c>
      <c r="AL30" s="168">
        <f>SUM(AH30:AK30)</f>
        <v>-312.58741202519542</v>
      </c>
    </row>
    <row r="31" spans="1:38" x14ac:dyDescent="0.2">
      <c r="A31" s="296"/>
      <c r="B31" s="337" t="s">
        <v>44</v>
      </c>
      <c r="C31" s="338"/>
      <c r="D31" s="142">
        <f t="shared" ref="D31:R31" si="105">D25+D29+D30+D28</f>
        <v>965.50000000000045</v>
      </c>
      <c r="E31" s="142">
        <f t="shared" si="105"/>
        <v>819.99999999999966</v>
      </c>
      <c r="F31" s="142">
        <f t="shared" si="105"/>
        <v>1676.900000000001</v>
      </c>
      <c r="G31" s="142">
        <f t="shared" si="105"/>
        <v>1003.8000000000011</v>
      </c>
      <c r="H31" s="158">
        <f t="shared" si="105"/>
        <v>4466.2000000000053</v>
      </c>
      <c r="I31" s="142">
        <f t="shared" si="105"/>
        <v>1143.7999999999988</v>
      </c>
      <c r="J31" s="142">
        <f t="shared" si="105"/>
        <v>390.19999999999908</v>
      </c>
      <c r="K31" s="142">
        <f t="shared" si="105"/>
        <v>-811.9999999999992</v>
      </c>
      <c r="L31" s="142">
        <f t="shared" si="105"/>
        <v>245.6860636048487</v>
      </c>
      <c r="M31" s="158">
        <f t="shared" si="105"/>
        <v>967.68606360484341</v>
      </c>
      <c r="N31" s="142">
        <f t="shared" si="105"/>
        <v>908.86826844391567</v>
      </c>
      <c r="O31" s="142">
        <f>O25+O29+O30+O28</f>
        <v>752.87951601652014</v>
      </c>
      <c r="P31" s="142">
        <f t="shared" si="105"/>
        <v>462.39621811490275</v>
      </c>
      <c r="Q31" s="142">
        <f t="shared" si="105"/>
        <v>896.79662509281025</v>
      </c>
      <c r="R31" s="158">
        <f t="shared" si="105"/>
        <v>3020.9406276681493</v>
      </c>
      <c r="S31" s="142">
        <f t="shared" ref="S31" si="106">S25+S29+S30+S28</f>
        <v>1074.3050252622916</v>
      </c>
      <c r="T31" s="142">
        <f>T25+T29+T30+T28</f>
        <v>894.33458423276772</v>
      </c>
      <c r="U31" s="142">
        <f t="shared" ref="U31:X31" si="107">U25+U29+U30+U28</f>
        <v>586.99782398517732</v>
      </c>
      <c r="V31" s="142">
        <f t="shared" si="107"/>
        <v>1051.6046082337034</v>
      </c>
      <c r="W31" s="158">
        <f t="shared" si="107"/>
        <v>3607.2420417139379</v>
      </c>
      <c r="X31" s="142">
        <f t="shared" si="107"/>
        <v>1206.7620125966739</v>
      </c>
      <c r="Y31" s="142">
        <f>Y25+Y29+Y30+Y28</f>
        <v>1004.9998901496758</v>
      </c>
      <c r="Z31" s="142">
        <f t="shared" ref="Z31:AC31" si="108">Z25+Z29+Z30+Z28</f>
        <v>672.65664345445464</v>
      </c>
      <c r="AA31" s="142">
        <f t="shared" si="108"/>
        <v>1173.6558695180415</v>
      </c>
      <c r="AB31" s="158">
        <f t="shared" si="108"/>
        <v>4058.0744157188497</v>
      </c>
      <c r="AC31" s="142">
        <f t="shared" si="108"/>
        <v>1334.8187656095927</v>
      </c>
      <c r="AD31" s="142">
        <f>AD25+AD29+AD30+AD28</f>
        <v>1114.6827543295831</v>
      </c>
      <c r="AE31" s="142">
        <f>AE25+AE29+AE30+AE28</f>
        <v>758.39252930915836</v>
      </c>
      <c r="AF31" s="142">
        <f t="shared" ref="AF31:AH31" si="109">AF25+AF29+AF30+AF28</f>
        <v>1298.9732074236538</v>
      </c>
      <c r="AG31" s="158">
        <f t="shared" si="109"/>
        <v>4506.8672566719897</v>
      </c>
      <c r="AH31" s="142">
        <f t="shared" si="109"/>
        <v>1470.2896931682462</v>
      </c>
      <c r="AI31" s="142">
        <f>AI25+AI29+AI30+AI28</f>
        <v>1232.8776525015517</v>
      </c>
      <c r="AJ31" s="142">
        <f t="shared" ref="AJ31:AL31" si="110">AJ25+AJ29+AJ30+AJ28</f>
        <v>853.50009866715675</v>
      </c>
      <c r="AK31" s="142">
        <f t="shared" si="110"/>
        <v>1438.0436269163422</v>
      </c>
      <c r="AL31" s="158">
        <f t="shared" si="110"/>
        <v>4994.7110712532931</v>
      </c>
    </row>
    <row r="32" spans="1:38" ht="18" x14ac:dyDescent="0.35">
      <c r="A32" s="296"/>
      <c r="B32" s="341" t="s">
        <v>25</v>
      </c>
      <c r="C32" s="342"/>
      <c r="D32" s="143">
        <v>205.1</v>
      </c>
      <c r="E32" s="143">
        <v>161.19999999999999</v>
      </c>
      <c r="F32" s="143">
        <v>303.7</v>
      </c>
      <c r="G32" s="143">
        <f t="shared" ref="G32" si="111">H32-F32-E32-D32</f>
        <v>201.60000000000011</v>
      </c>
      <c r="H32" s="168">
        <v>871.6</v>
      </c>
      <c r="I32" s="143">
        <v>258.5</v>
      </c>
      <c r="J32" s="143">
        <v>65.400000000000006</v>
      </c>
      <c r="K32" s="143">
        <v>-133.9</v>
      </c>
      <c r="L32" s="143">
        <f>L31*L150</f>
        <v>63.878376537260664</v>
      </c>
      <c r="M32" s="168">
        <f>SUM(I32:L32)</f>
        <v>253.87837653726064</v>
      </c>
      <c r="N32" s="143">
        <f t="shared" ref="N32:Q32" si="112">N31*N150</f>
        <v>175.21264517568383</v>
      </c>
      <c r="O32" s="143">
        <f t="shared" si="112"/>
        <v>145.14095835438803</v>
      </c>
      <c r="P32" s="143">
        <f t="shared" si="112"/>
        <v>89.141262059743696</v>
      </c>
      <c r="Q32" s="143">
        <f t="shared" si="112"/>
        <v>172.88546021764154</v>
      </c>
      <c r="R32" s="168">
        <f>SUM(N32:Q32)</f>
        <v>582.38032580745698</v>
      </c>
      <c r="S32" s="143">
        <f t="shared" ref="S32" si="113">S31*S150</f>
        <v>207.10572889073345</v>
      </c>
      <c r="T32" s="143">
        <f t="shared" ref="T32" si="114">T31*T150</f>
        <v>172.41082521651288</v>
      </c>
      <c r="U32" s="143">
        <f t="shared" ref="U32" si="115">U31*U150</f>
        <v>113.16209952945454</v>
      </c>
      <c r="V32" s="143">
        <f t="shared" ref="V32" si="116">V31*V150</f>
        <v>202.72951701023749</v>
      </c>
      <c r="W32" s="168">
        <f>SUM(S32:V32)</f>
        <v>695.40817064693829</v>
      </c>
      <c r="X32" s="143">
        <f t="shared" ref="X32" si="117">X31*X150</f>
        <v>232.64093561832019</v>
      </c>
      <c r="Y32" s="143">
        <f t="shared" ref="Y32" si="118">Y31*Y150</f>
        <v>193.74500713495033</v>
      </c>
      <c r="Z32" s="143">
        <f t="shared" ref="Z32" si="119">Z31*Z150</f>
        <v>129.67550291577223</v>
      </c>
      <c r="AA32" s="143">
        <f t="shared" ref="AA32" si="120">AA31*AA150</f>
        <v>226.25869618740339</v>
      </c>
      <c r="AB32" s="168">
        <f>SUM(X32:AA32)</f>
        <v>782.32014185644618</v>
      </c>
      <c r="AC32" s="143">
        <f t="shared" ref="AC32" si="121">AC31*AC150</f>
        <v>257.32786023327861</v>
      </c>
      <c r="AD32" s="143">
        <f t="shared" ref="AD32" si="122">AD31*AD150</f>
        <v>214.88979283234283</v>
      </c>
      <c r="AE32" s="143">
        <f t="shared" ref="AE32" si="123">AE31*AE150</f>
        <v>146.20376324639471</v>
      </c>
      <c r="AF32" s="143">
        <f t="shared" ref="AF32" si="124">AF31*AF150</f>
        <v>250.41751328243794</v>
      </c>
      <c r="AG32" s="168">
        <f>SUM(AC32:AF32)</f>
        <v>868.83892959445416</v>
      </c>
      <c r="AH32" s="143">
        <f t="shared" ref="AH32" si="125">AH31*AH150</f>
        <v>283.44409774104656</v>
      </c>
      <c r="AI32" s="143">
        <f t="shared" ref="AI32" si="126">AI31*AI150</f>
        <v>237.67553799917297</v>
      </c>
      <c r="AJ32" s="143">
        <f t="shared" ref="AJ32" si="127">AJ31*AJ150</f>
        <v>164.53870724435762</v>
      </c>
      <c r="AK32" s="143">
        <f t="shared" ref="AK32" si="128">AK31*AK150</f>
        <v>277.22766488639343</v>
      </c>
      <c r="AL32" s="168">
        <f>SUM(AH32:AK32)</f>
        <v>962.88600787097062</v>
      </c>
    </row>
    <row r="33" spans="1:38" x14ac:dyDescent="0.2">
      <c r="A33" s="296"/>
      <c r="B33" s="337" t="s">
        <v>114</v>
      </c>
      <c r="C33" s="338"/>
      <c r="D33" s="142">
        <f t="shared" ref="D33:R33" si="129">+D31-D32</f>
        <v>760.40000000000043</v>
      </c>
      <c r="E33" s="142">
        <f t="shared" si="129"/>
        <v>658.79999999999973</v>
      </c>
      <c r="F33" s="142">
        <f t="shared" si="129"/>
        <v>1373.200000000001</v>
      </c>
      <c r="G33" s="142">
        <f t="shared" si="129"/>
        <v>802.20000000000095</v>
      </c>
      <c r="H33" s="158">
        <f t="shared" ref="H33" si="130">+H31-H32</f>
        <v>3594.6000000000054</v>
      </c>
      <c r="I33" s="142">
        <f t="shared" si="129"/>
        <v>885.29999999999882</v>
      </c>
      <c r="J33" s="142">
        <f t="shared" si="129"/>
        <v>324.79999999999905</v>
      </c>
      <c r="K33" s="142">
        <f t="shared" si="129"/>
        <v>-678.09999999999923</v>
      </c>
      <c r="L33" s="142">
        <f t="shared" si="129"/>
        <v>181.80768706758803</v>
      </c>
      <c r="M33" s="158">
        <f t="shared" si="129"/>
        <v>713.80768706758272</v>
      </c>
      <c r="N33" s="142">
        <f t="shared" si="129"/>
        <v>733.65562326823181</v>
      </c>
      <c r="O33" s="142">
        <f t="shared" si="129"/>
        <v>607.73855766213205</v>
      </c>
      <c r="P33" s="142">
        <f t="shared" si="129"/>
        <v>373.25495605515903</v>
      </c>
      <c r="Q33" s="142">
        <f t="shared" si="129"/>
        <v>723.91116487516865</v>
      </c>
      <c r="R33" s="158">
        <f t="shared" si="129"/>
        <v>2438.5603018606926</v>
      </c>
      <c r="S33" s="142">
        <f t="shared" ref="S33:AL33" si="131">+S31-S32</f>
        <v>867.19929637155815</v>
      </c>
      <c r="T33" s="142">
        <f t="shared" si="131"/>
        <v>721.92375901625485</v>
      </c>
      <c r="U33" s="142">
        <f t="shared" si="131"/>
        <v>473.83572445572281</v>
      </c>
      <c r="V33" s="142">
        <f t="shared" si="131"/>
        <v>848.87509122346592</v>
      </c>
      <c r="W33" s="158">
        <f t="shared" si="131"/>
        <v>2911.8338710669996</v>
      </c>
      <c r="X33" s="142">
        <f t="shared" si="131"/>
        <v>974.1210769783537</v>
      </c>
      <c r="Y33" s="142">
        <f t="shared" si="131"/>
        <v>811.25488301472546</v>
      </c>
      <c r="Z33" s="142">
        <f t="shared" si="131"/>
        <v>542.98114053868244</v>
      </c>
      <c r="AA33" s="142">
        <f t="shared" si="131"/>
        <v>947.39717333063811</v>
      </c>
      <c r="AB33" s="158">
        <f t="shared" si="131"/>
        <v>3275.7542738624034</v>
      </c>
      <c r="AC33" s="142">
        <f t="shared" si="131"/>
        <v>1077.490905376314</v>
      </c>
      <c r="AD33" s="142">
        <f t="shared" si="131"/>
        <v>899.79296149724019</v>
      </c>
      <c r="AE33" s="142">
        <f t="shared" si="131"/>
        <v>612.18876606276365</v>
      </c>
      <c r="AF33" s="142">
        <f t="shared" si="131"/>
        <v>1048.5556941412158</v>
      </c>
      <c r="AG33" s="158">
        <f t="shared" si="131"/>
        <v>3638.0283270775353</v>
      </c>
      <c r="AH33" s="142">
        <f t="shared" si="131"/>
        <v>1186.8455954271997</v>
      </c>
      <c r="AI33" s="142">
        <f t="shared" si="131"/>
        <v>995.20211450237866</v>
      </c>
      <c r="AJ33" s="142">
        <f t="shared" si="131"/>
        <v>688.96139142279912</v>
      </c>
      <c r="AK33" s="142">
        <f t="shared" si="131"/>
        <v>1160.8159620299489</v>
      </c>
      <c r="AL33" s="158">
        <f t="shared" si="131"/>
        <v>4031.8250633823227</v>
      </c>
    </row>
    <row r="34" spans="1:38" s="137" customFormat="1" ht="18" x14ac:dyDescent="0.35">
      <c r="A34" s="296"/>
      <c r="B34" s="650" t="s">
        <v>115</v>
      </c>
      <c r="C34" s="282"/>
      <c r="D34" s="143">
        <v>-0.2</v>
      </c>
      <c r="E34" s="143">
        <v>-4.4000000000000004</v>
      </c>
      <c r="F34" s="143">
        <v>0.4</v>
      </c>
      <c r="G34" s="143">
        <f t="shared" ref="G34" si="132">H34-F34-E34-D34</f>
        <v>-0.39999999999999963</v>
      </c>
      <c r="H34" s="168">
        <v>-4.5999999999999996</v>
      </c>
      <c r="I34" s="143">
        <v>-0.4</v>
      </c>
      <c r="J34" s="143">
        <v>-3.6</v>
      </c>
      <c r="K34" s="143">
        <v>0.3</v>
      </c>
      <c r="L34" s="169">
        <f>AVERAGE(G34,I34,J34,K34)</f>
        <v>-1.0249999999999999</v>
      </c>
      <c r="M34" s="168">
        <f>SUM(I34:L34)</f>
        <v>-4.7249999999999996</v>
      </c>
      <c r="N34" s="169">
        <f>AVERAGE(I34,J34,K34,L34)</f>
        <v>-1.1812499999999999</v>
      </c>
      <c r="O34" s="169">
        <f>AVERAGE(J34,K34,L34,N34)</f>
        <v>-1.3765624999999999</v>
      </c>
      <c r="P34" s="169">
        <f>AVERAGE(K34,L34,N34,O34)</f>
        <v>-0.82070312499999987</v>
      </c>
      <c r="Q34" s="169">
        <f>AVERAGE(L34,N34,O34,P34)</f>
        <v>-1.10087890625</v>
      </c>
      <c r="R34" s="168">
        <f>SUM(N34:Q34)</f>
        <v>-4.4793945312499996</v>
      </c>
      <c r="S34" s="169">
        <f>AVERAGE(N34,O34,P34,Q34)</f>
        <v>-1.1198486328124999</v>
      </c>
      <c r="T34" s="169">
        <f>AVERAGE(O34,P34,Q34,S34)</f>
        <v>-1.1044982910156249</v>
      </c>
      <c r="U34" s="169">
        <f>AVERAGE(P34,Q34,S34,T34)</f>
        <v>-1.0364822387695312</v>
      </c>
      <c r="V34" s="169">
        <f>AVERAGE(Q34,S34,T34,U34)</f>
        <v>-1.0904270172119139</v>
      </c>
      <c r="W34" s="168">
        <f>SUM(S34:V34)</f>
        <v>-4.3512561798095701</v>
      </c>
      <c r="X34" s="169">
        <f>AVERAGE(S34,T34,U34,V34)</f>
        <v>-1.0878140449523925</v>
      </c>
      <c r="Y34" s="169">
        <f>AVERAGE(T34,U34,V34,X34)</f>
        <v>-1.0798053979873656</v>
      </c>
      <c r="Z34" s="169">
        <f>AVERAGE(U34,V34,X34,Y34)</f>
        <v>-1.0736321747303008</v>
      </c>
      <c r="AA34" s="169">
        <f>AVERAGE(V34,X34,Y34,Z34)</f>
        <v>-1.0829196587204932</v>
      </c>
      <c r="AB34" s="168">
        <f>SUM(X34:AA34)</f>
        <v>-4.324171276390552</v>
      </c>
      <c r="AC34" s="169">
        <f>AVERAGE(X34,Y34,Z34,AA34)</f>
        <v>-1.081042819097638</v>
      </c>
      <c r="AD34" s="169">
        <f>AVERAGE(Y34,Z34,AA34,AC34)</f>
        <v>-1.0793500126339495</v>
      </c>
      <c r="AE34" s="169">
        <f>AVERAGE(Z34,AA34,AC34,AD34)</f>
        <v>-1.0792361662955954</v>
      </c>
      <c r="AF34" s="169">
        <f>AVERAGE(AA34,AC34,AD34,AE34)</f>
        <v>-1.080637164186919</v>
      </c>
      <c r="AG34" s="168">
        <f>SUM(AC34:AF34)</f>
        <v>-4.3202661622141019</v>
      </c>
      <c r="AH34" s="169">
        <f>AVERAGE(AC34,AD34,AE34,AF34)</f>
        <v>-1.0800665405535255</v>
      </c>
      <c r="AI34" s="169">
        <f>AVERAGE(AD34,AE34,AF34,AH34)</f>
        <v>-1.0798224709174973</v>
      </c>
      <c r="AJ34" s="169">
        <f>AVERAGE(AE34,AF34,AH34,AI34)</f>
        <v>-1.0799405854883843</v>
      </c>
      <c r="AK34" s="169">
        <f>AVERAGE(AF34,AH34,AI34,AJ34)</f>
        <v>-1.0801166902865815</v>
      </c>
      <c r="AL34" s="168">
        <f>SUM(AH34:AK34)</f>
        <v>-4.3199462872459886</v>
      </c>
    </row>
    <row r="35" spans="1:38" s="13" customFormat="1" x14ac:dyDescent="0.2">
      <c r="A35" s="296"/>
      <c r="B35" s="181" t="s">
        <v>60</v>
      </c>
      <c r="C35" s="57"/>
      <c r="D35" s="142">
        <f t="shared" ref="D35:R35" si="133">+D33-D34</f>
        <v>760.60000000000048</v>
      </c>
      <c r="E35" s="142">
        <f t="shared" si="133"/>
        <v>663.1999999999997</v>
      </c>
      <c r="F35" s="142">
        <f t="shared" si="133"/>
        <v>1372.8000000000009</v>
      </c>
      <c r="G35" s="142">
        <f t="shared" si="133"/>
        <v>802.60000000000093</v>
      </c>
      <c r="H35" s="158">
        <f t="shared" si="133"/>
        <v>3599.2000000000053</v>
      </c>
      <c r="I35" s="142">
        <f t="shared" si="133"/>
        <v>885.69999999999879</v>
      </c>
      <c r="J35" s="142">
        <f t="shared" si="133"/>
        <v>328.39999999999907</v>
      </c>
      <c r="K35" s="142">
        <f t="shared" si="133"/>
        <v>-678.39999999999918</v>
      </c>
      <c r="L35" s="142">
        <f t="shared" si="133"/>
        <v>182.83268706758804</v>
      </c>
      <c r="M35" s="158">
        <f t="shared" si="133"/>
        <v>718.53268706758274</v>
      </c>
      <c r="N35" s="142">
        <f t="shared" si="133"/>
        <v>734.83687326823178</v>
      </c>
      <c r="O35" s="142">
        <f t="shared" si="133"/>
        <v>609.11512016213203</v>
      </c>
      <c r="P35" s="142">
        <f t="shared" si="133"/>
        <v>374.07565918015905</v>
      </c>
      <c r="Q35" s="142">
        <f t="shared" si="133"/>
        <v>725.0120437814187</v>
      </c>
      <c r="R35" s="158">
        <f t="shared" si="133"/>
        <v>2443.0396963919425</v>
      </c>
      <c r="S35" s="142">
        <f t="shared" ref="S35:AL35" si="134">+S33-S34</f>
        <v>868.31914500437063</v>
      </c>
      <c r="T35" s="142">
        <f t="shared" si="134"/>
        <v>723.02825730727045</v>
      </c>
      <c r="U35" s="142">
        <f t="shared" si="134"/>
        <v>474.87220669449232</v>
      </c>
      <c r="V35" s="142">
        <f t="shared" si="134"/>
        <v>849.96551824067785</v>
      </c>
      <c r="W35" s="158">
        <f t="shared" si="134"/>
        <v>2916.1851272468093</v>
      </c>
      <c r="X35" s="142">
        <f t="shared" si="134"/>
        <v>975.20889102330614</v>
      </c>
      <c r="Y35" s="142">
        <f t="shared" si="134"/>
        <v>812.33468841271281</v>
      </c>
      <c r="Z35" s="142">
        <f t="shared" si="134"/>
        <v>544.05477271341272</v>
      </c>
      <c r="AA35" s="142">
        <f t="shared" si="134"/>
        <v>948.48009298935858</v>
      </c>
      <c r="AB35" s="158">
        <f t="shared" si="134"/>
        <v>3280.078445138794</v>
      </c>
      <c r="AC35" s="142">
        <f t="shared" si="134"/>
        <v>1078.5719481954116</v>
      </c>
      <c r="AD35" s="142">
        <f t="shared" si="134"/>
        <v>900.87231150987418</v>
      </c>
      <c r="AE35" s="142">
        <f t="shared" si="134"/>
        <v>613.26800222905922</v>
      </c>
      <c r="AF35" s="142">
        <f t="shared" si="134"/>
        <v>1049.6363313054028</v>
      </c>
      <c r="AG35" s="158">
        <f t="shared" si="134"/>
        <v>3642.3485932397493</v>
      </c>
      <c r="AH35" s="142">
        <f t="shared" si="134"/>
        <v>1187.9256619677533</v>
      </c>
      <c r="AI35" s="142">
        <f t="shared" si="134"/>
        <v>996.28193697329618</v>
      </c>
      <c r="AJ35" s="142">
        <f t="shared" si="134"/>
        <v>690.04133200828755</v>
      </c>
      <c r="AK35" s="142">
        <f t="shared" si="134"/>
        <v>1161.8960787202354</v>
      </c>
      <c r="AL35" s="158">
        <f t="shared" si="134"/>
        <v>4036.1450096695685</v>
      </c>
    </row>
    <row r="36" spans="1:38" s="13" customFormat="1" ht="18" x14ac:dyDescent="0.35">
      <c r="A36" s="296"/>
      <c r="B36" s="119" t="s">
        <v>164</v>
      </c>
      <c r="C36" s="116"/>
      <c r="D36" s="148">
        <f t="shared" ref="D36:K36" si="135">-D177-D178</f>
        <v>41.449999999998646</v>
      </c>
      <c r="E36" s="148">
        <f t="shared" si="135"/>
        <v>-54.179999999999545</v>
      </c>
      <c r="F36" s="148">
        <f t="shared" si="135"/>
        <v>-544.16000000000076</v>
      </c>
      <c r="G36" s="148">
        <f t="shared" si="135"/>
        <v>-30</v>
      </c>
      <c r="H36" s="230">
        <f>SUM(D36:G36)</f>
        <v>-586.89000000000169</v>
      </c>
      <c r="I36" s="148">
        <f t="shared" si="135"/>
        <v>-11</v>
      </c>
      <c r="J36" s="148">
        <f t="shared" si="135"/>
        <v>-23</v>
      </c>
      <c r="K36" s="148">
        <f t="shared" si="135"/>
        <v>-35.055</v>
      </c>
      <c r="L36" s="148">
        <f>-L177-L178</f>
        <v>-47</v>
      </c>
      <c r="M36" s="230">
        <f>SUM(I36:L36)</f>
        <v>-116.05500000000001</v>
      </c>
      <c r="N36" s="148">
        <f>-N177-N178</f>
        <v>-24.530499999999996</v>
      </c>
      <c r="O36" s="148">
        <f t="shared" ref="O36:Q36" si="136">-O177-O178</f>
        <v>-24.146812499999999</v>
      </c>
      <c r="P36" s="148">
        <f t="shared" si="136"/>
        <v>-23.630164062499997</v>
      </c>
      <c r="Q36" s="148">
        <f t="shared" si="136"/>
        <v>-23.451434570312497</v>
      </c>
      <c r="R36" s="230">
        <f>SUM(N36:Q36)</f>
        <v>-95.7589111328125</v>
      </c>
      <c r="S36" s="148">
        <f>-S177-S178</f>
        <v>-24.44786389160156</v>
      </c>
      <c r="T36" s="148">
        <f t="shared" ref="T36:V36" si="137">-T177-T178</f>
        <v>-25.713846878051754</v>
      </c>
      <c r="U36" s="148">
        <f t="shared" si="137"/>
        <v>-27.258077737808225</v>
      </c>
      <c r="V36" s="148">
        <f t="shared" si="137"/>
        <v>-26.323337455034256</v>
      </c>
      <c r="W36" s="230">
        <f>SUM(S36:V36)</f>
        <v>-103.74312596249578</v>
      </c>
      <c r="X36" s="148">
        <f>-X177-X178</f>
        <v>-24.937754636913539</v>
      </c>
      <c r="Y36" s="148">
        <f t="shared" ref="Y36:AA36" si="138">-Y177-Y178</f>
        <v>-24.988661466527731</v>
      </c>
      <c r="Z36" s="148">
        <f t="shared" si="138"/>
        <v>-25.093892587343692</v>
      </c>
      <c r="AA36" s="148">
        <f t="shared" si="138"/>
        <v>-5.8621329884896261</v>
      </c>
      <c r="AB36" s="230">
        <f>SUM(X36:AA36)</f>
        <v>-80.882441679274578</v>
      </c>
      <c r="AC36" s="148">
        <f>-AC177-AC178</f>
        <v>-25.505036663278737</v>
      </c>
      <c r="AD36" s="148">
        <f t="shared" ref="AD36:AF36" si="139">-AD177-AD178</f>
        <v>-25.637183259738386</v>
      </c>
      <c r="AE36" s="148">
        <f t="shared" si="139"/>
        <v>-25.627600307449214</v>
      </c>
      <c r="AF36" s="148">
        <f t="shared" si="139"/>
        <v>-25.423790628654341</v>
      </c>
      <c r="AG36" s="230">
        <f>SUM(AC36:AF36)</f>
        <v>-102.19361085912068</v>
      </c>
      <c r="AH36" s="148">
        <f>-AH177-AH178</f>
        <v>-25.311347275356852</v>
      </c>
      <c r="AI36" s="148">
        <f t="shared" ref="AI36:AK36" si="140">-AI177-AI178</f>
        <v>-25.358046355162262</v>
      </c>
      <c r="AJ36" s="148">
        <f t="shared" si="140"/>
        <v>-25.404219466241582</v>
      </c>
      <c r="AK36" s="148">
        <f t="shared" si="140"/>
        <v>-25.443010326103817</v>
      </c>
      <c r="AL36" s="230">
        <f>SUM(AH36:AK36)</f>
        <v>-101.51662342286451</v>
      </c>
    </row>
    <row r="37" spans="1:38" s="13" customFormat="1" x14ac:dyDescent="0.2">
      <c r="A37" s="296"/>
      <c r="B37" s="117" t="s">
        <v>165</v>
      </c>
      <c r="C37" s="118"/>
      <c r="D37" s="147">
        <f t="shared" ref="D37:J37" si="141">+D27+D28+D29+D30-D32-D34+D36</f>
        <v>940.04999999999916</v>
      </c>
      <c r="E37" s="147">
        <f t="shared" si="141"/>
        <v>750.42000000000007</v>
      </c>
      <c r="F37" s="147">
        <f t="shared" si="141"/>
        <v>953.94</v>
      </c>
      <c r="G37" s="147">
        <f t="shared" si="141"/>
        <v>850.00000000000102</v>
      </c>
      <c r="H37" s="229">
        <f t="shared" si="141"/>
        <v>3494.4100000000039</v>
      </c>
      <c r="I37" s="147">
        <f t="shared" si="141"/>
        <v>946.2999999999987</v>
      </c>
      <c r="J37" s="147">
        <f t="shared" si="141"/>
        <v>372.19999999999902</v>
      </c>
      <c r="K37" s="147">
        <f>+K27+K28+K29+K30-K32-K34+K36</f>
        <v>-539.7749999999993</v>
      </c>
      <c r="L37" s="147">
        <f>+L27+L28+L29+L30-L32-L34+L36</f>
        <v>322.87268706758812</v>
      </c>
      <c r="M37" s="229">
        <f>SUM(I37:L37)</f>
        <v>1101.5976870675865</v>
      </c>
      <c r="N37" s="147">
        <f t="shared" ref="N37:Q37" si="142">+N27+N28+N29+N30-N32-N34+N36</f>
        <v>832.95887326823174</v>
      </c>
      <c r="O37" s="147">
        <f t="shared" si="142"/>
        <v>705.70237016213218</v>
      </c>
      <c r="P37" s="147">
        <f t="shared" si="142"/>
        <v>468.596315430159</v>
      </c>
      <c r="Q37" s="147">
        <f t="shared" si="142"/>
        <v>818.8177820626687</v>
      </c>
      <c r="R37" s="229">
        <f t="shared" ref="R37" si="143">SUM(N37:Q37)</f>
        <v>2826.0753409231916</v>
      </c>
      <c r="S37" s="147">
        <f t="shared" ref="S37" si="144">+S27+S28+S29+S30-S32-S34+S36</f>
        <v>966.1106005707768</v>
      </c>
      <c r="T37" s="147">
        <f t="shared" ref="T37" si="145">+T27+T28+T29+T30-T32-T34+T36</f>
        <v>825.88364481947758</v>
      </c>
      <c r="U37" s="147">
        <f t="shared" ref="U37" si="146">+U27+U28+U29+U30-U32-U34+U36</f>
        <v>583.90451764572526</v>
      </c>
      <c r="V37" s="147">
        <f t="shared" ref="V37" si="147">+V27+V28+V29+V30-V32-V34+V36</f>
        <v>955.25886806081485</v>
      </c>
      <c r="W37" s="229">
        <f t="shared" ref="W37" si="148">SUM(S37:V37)</f>
        <v>3331.1576310967948</v>
      </c>
      <c r="X37" s="147">
        <f t="shared" ref="X37" si="149">+X27+X28+X29+X30-X32-X34+X36</f>
        <v>1074.9599095709605</v>
      </c>
      <c r="Y37" s="147">
        <f t="shared" ref="Y37" si="150">+Y27+Y28+Y29+Y30-Y32-Y34+Y36</f>
        <v>912.28933427882362</v>
      </c>
      <c r="Z37" s="147">
        <f t="shared" ref="Z37" si="151">+Z27+Z28+Z29+Z30-Z32-Z34+Z36</f>
        <v>644.43034306278753</v>
      </c>
      <c r="AA37" s="147">
        <f t="shared" ref="AA37" si="152">+AA27+AA28+AA29+AA30-AA32-AA34+AA36</f>
        <v>971.928624943317</v>
      </c>
      <c r="AB37" s="229">
        <f t="shared" ref="AB37" si="153">SUM(X37:AA37)</f>
        <v>3603.6082118558888</v>
      </c>
      <c r="AC37" s="147">
        <f t="shared" ref="AC37" si="154">+AC27+AC28+AC29+AC30-AC32-AC34+AC36</f>
        <v>1180.5920948485264</v>
      </c>
      <c r="AD37" s="147">
        <f t="shared" ref="AD37" si="155">+AD27+AD28+AD29+AD30-AD32-AD34+AD36</f>
        <v>1003.4210445488274</v>
      </c>
      <c r="AE37" s="147">
        <f t="shared" ref="AE37" si="156">+AE27+AE28+AE29+AE30-AE32-AE34+AE36</f>
        <v>715.77840345885602</v>
      </c>
      <c r="AF37" s="147">
        <f t="shared" ref="AF37" si="157">+AF27+AF28+AF29+AF30-AF32-AF34+AF36</f>
        <v>1151.3314938200201</v>
      </c>
      <c r="AG37" s="229">
        <f t="shared" ref="AG37" si="158">SUM(AC37:AF37)</f>
        <v>4051.1230366762302</v>
      </c>
      <c r="AH37" s="147">
        <f t="shared" ref="AH37" si="159">+AH27+AH28+AH29+AH30-AH32-AH34+AH36</f>
        <v>1289.1710510691805</v>
      </c>
      <c r="AI37" s="147">
        <f t="shared" ref="AI37" si="160">+AI27+AI28+AI29+AI30-AI32-AI34+AI36</f>
        <v>1097.714122393945</v>
      </c>
      <c r="AJ37" s="147">
        <f t="shared" ref="AJ37" si="161">+AJ27+AJ28+AJ29+AJ30-AJ32-AJ34+AJ36</f>
        <v>791.6582098732539</v>
      </c>
      <c r="AK37" s="147">
        <f t="shared" ref="AK37" si="162">+AK27+AK28+AK29+AK30-AK32-AK34+AK36</f>
        <v>1263.6681200246508</v>
      </c>
      <c r="AL37" s="229">
        <f t="shared" ref="AL37" si="163">SUM(AH37:AK37)</f>
        <v>4442.2115033610298</v>
      </c>
    </row>
    <row r="38" spans="1:38" x14ac:dyDescent="0.2">
      <c r="A38" s="296"/>
      <c r="B38" s="310" t="s">
        <v>0</v>
      </c>
      <c r="C38" s="311"/>
      <c r="D38" s="139">
        <v>1242</v>
      </c>
      <c r="E38" s="139">
        <v>1239.2</v>
      </c>
      <c r="F38" s="139">
        <v>1211</v>
      </c>
      <c r="G38" s="139">
        <v>1210.7904210526317</v>
      </c>
      <c r="H38" s="140">
        <v>1221.2</v>
      </c>
      <c r="I38" s="139">
        <v>1180.4000000000001</v>
      </c>
      <c r="J38" s="139">
        <v>1171.8</v>
      </c>
      <c r="K38" s="139">
        <v>1168.5</v>
      </c>
      <c r="L38" s="139">
        <f>K38*(1+L157)-L161-L164-L167</f>
        <v>1167.494302107825</v>
      </c>
      <c r="M38" s="255">
        <f>+(I35/M35*I38)+(J35/M35*J38)+(K35/M35*K38)+(L35/M35*L38)</f>
        <v>1184.4208839874589</v>
      </c>
      <c r="N38" s="139">
        <f>L38*(1+N157)-N161-N164-N167</f>
        <v>1160.8849395177706</v>
      </c>
      <c r="O38" s="139">
        <f t="shared" ref="O38:P38" si="164">N38*(1+O157)-O161-O164-O167</f>
        <v>1157.1624575172966</v>
      </c>
      <c r="P38" s="139">
        <f t="shared" si="164"/>
        <v>1153.2634744609375</v>
      </c>
      <c r="Q38" s="139">
        <f>P38*(1+Q157)-Q161-Q164-Q167</f>
        <v>1149.5253520597555</v>
      </c>
      <c r="R38" s="255">
        <f>+(N35/R35*N38)+(O35/R35*O38)+(P35/R35*P38)+(Q35/R35*Q38)</f>
        <v>1155.4186909032899</v>
      </c>
      <c r="S38" s="139">
        <f>Q38*(1+S157)-S161-S164-S167</f>
        <v>1145.1073136720356</v>
      </c>
      <c r="T38" s="139">
        <f t="shared" ref="T38:U38" si="165">S38*(1+T157)-T161-T164-T167</f>
        <v>1141.2062005994173</v>
      </c>
      <c r="U38" s="139">
        <f t="shared" si="165"/>
        <v>1137.240761166654</v>
      </c>
      <c r="V38" s="139">
        <f>U38*(1+V157)-V161-V164-V167</f>
        <v>1133.2591008640495</v>
      </c>
      <c r="W38" s="255">
        <f>+(S35/W35*S38)+(T35/W35*T38)+(U35/W35*U38)+(V35/W35*V38)</f>
        <v>1139.4057571014403</v>
      </c>
      <c r="X38" s="139">
        <f>V38*(1+X157)-X161-X164-X167</f>
        <v>1129.217721385957</v>
      </c>
      <c r="Y38" s="139">
        <f t="shared" ref="Y38:Z38" si="166">X38*(1+Y157)-Y161-Y164-Y167</f>
        <v>1125.268958034553</v>
      </c>
      <c r="Z38" s="139">
        <f t="shared" si="166"/>
        <v>1121.3085964814036</v>
      </c>
      <c r="AA38" s="139">
        <f>Z38*(1+AA157)-AA161-AA164-AA167</f>
        <v>1117.3495919045677</v>
      </c>
      <c r="AB38" s="255">
        <f>+(X35/AB35*X38)+(Y35/AB35*Y38)+(Z35/AB35*Z38)+(AA35/AB35*AA38)</f>
        <v>1123.4960901911534</v>
      </c>
      <c r="AC38" s="139">
        <f>AA38*(1+AC157)-AC161-AC164-AC167</f>
        <v>1113.3962624311018</v>
      </c>
      <c r="AD38" s="139">
        <f t="shared" ref="AD38:AE38" si="167">AC38*(1+AD157)-AD161-AD164-AD167</f>
        <v>1109.4646701228128</v>
      </c>
      <c r="AE38" s="139">
        <f t="shared" si="167"/>
        <v>1105.5374048705698</v>
      </c>
      <c r="AF38" s="139">
        <f>AE38*(1+AF157)-AF161-AF164-AF167</f>
        <v>1101.6183783447582</v>
      </c>
      <c r="AG38" s="255">
        <f>+(AC35/AG35*AC38)+(AD35/AG35*AD38)+(AE35/AG35*AE38)+(AF35/AG35*AF38)</f>
        <v>1107.7065424498708</v>
      </c>
      <c r="AH38" s="139">
        <f>AF38*(1+AH157)-AH161-AH164-AH167</f>
        <v>1097.7092805891709</v>
      </c>
      <c r="AI38" s="139">
        <f t="shared" ref="AI38:AJ38" si="168">AH38*(1+AI157)-AI161-AI164-AI167</f>
        <v>1093.8111560351879</v>
      </c>
      <c r="AJ38" s="139">
        <f t="shared" si="168"/>
        <v>1089.9213606789581</v>
      </c>
      <c r="AK38" s="139">
        <f>AJ38*(1+AK157)-AK161-AK164-AK167</f>
        <v>1086.0408772384276</v>
      </c>
      <c r="AL38" s="255">
        <f>+(AH35/AL35*AH38)+(AI35/AL35*AI38)+(AJ35/AL35*AJ38)+(AK35/AL35*AK38)</f>
        <v>1092.056587300621</v>
      </c>
    </row>
    <row r="39" spans="1:38" ht="15.75" customHeight="1" x14ac:dyDescent="0.2">
      <c r="A39" s="296"/>
      <c r="B39" s="310" t="s">
        <v>1</v>
      </c>
      <c r="C39" s="311"/>
      <c r="D39" s="139">
        <v>1253.4000000000001</v>
      </c>
      <c r="E39" s="139">
        <v>1250.7</v>
      </c>
      <c r="F39" s="139">
        <v>1223</v>
      </c>
      <c r="G39" s="139">
        <v>1222.8144210526316</v>
      </c>
      <c r="H39" s="140">
        <v>1233.2</v>
      </c>
      <c r="I39" s="139">
        <v>1191</v>
      </c>
      <c r="J39" s="139">
        <v>1180.7</v>
      </c>
      <c r="K39" s="139">
        <v>1168.5</v>
      </c>
      <c r="L39" s="139">
        <f>K39*(1+L158)-L161-L164-L167</f>
        <v>1164.5360712829734</v>
      </c>
      <c r="M39" s="255">
        <f>+(I35/M35*I39)+(J35/M35*J39)+(K35/M35*K39)+(L35/M35*L39)</f>
        <v>1200.801932367265</v>
      </c>
      <c r="N39" s="139">
        <f>L39*(1+N158)-N161-N164-N167</f>
        <v>1154.3041344849289</v>
      </c>
      <c r="O39" s="139">
        <f t="shared" ref="O39:P39" si="169">N39*(1+O158)-O161-O164-O167</f>
        <v>1146.3854978446213</v>
      </c>
      <c r="P39" s="139">
        <f t="shared" si="169"/>
        <v>1137.6913500516694</v>
      </c>
      <c r="Q39" s="139">
        <f>P39*(1+Q158)-Q161-Q164-Q167</f>
        <v>1130.1456349896898</v>
      </c>
      <c r="R39" s="255">
        <f>+(N35/R35*N39)+(O35/R35*O39)+(P35/R35*P39)+(Q35/R35*Q39)</f>
        <v>1142.616644211121</v>
      </c>
      <c r="S39" s="139">
        <f>Q39*(1+S158)-S161-S164-S167</f>
        <v>1121.72664856442</v>
      </c>
      <c r="T39" s="139">
        <f t="shared" ref="T39:U39" si="170">S39*(1+T158)-T161-T164-T167</f>
        <v>1113.7250426162182</v>
      </c>
      <c r="U39" s="139">
        <f t="shared" si="170"/>
        <v>1105.6841865811507</v>
      </c>
      <c r="V39" s="139">
        <f>U39*(1+V158)-V161-V164-V167</f>
        <v>1097.8018648197622</v>
      </c>
      <c r="W39" s="255">
        <f>+(S35/W35*S39)+(T35/W35*T39)+(U35/W35*U39)+(V35/W35*V39)</f>
        <v>1110.1571677978231</v>
      </c>
      <c r="X39" s="139">
        <f>V39*(1+X158)-X161-X164-X167</f>
        <v>1089.8393081589252</v>
      </c>
      <c r="Y39" s="139">
        <f t="shared" ref="Y39:Z39" si="171">X39*(1+Y158)-Y161-Y164-Y167</f>
        <v>1081.9877982105195</v>
      </c>
      <c r="Z39" s="139">
        <f t="shared" si="171"/>
        <v>1074.1734647440858</v>
      </c>
      <c r="AA39" s="139">
        <f>Z39*(1+AA158)-AA161-AA164-AA167</f>
        <v>1066.4147323854438</v>
      </c>
      <c r="AB39" s="255">
        <f>+(X35/AB35*X39)+(Y35/AB35*Y39)+(Z35/AB35*Z39)+(AA35/AB35*AA39)</f>
        <v>1078.5228487526522</v>
      </c>
      <c r="AC39" s="139">
        <f>AA39*(1+AC158)-AC161-AC164-AC167</f>
        <v>1058.6867745769018</v>
      </c>
      <c r="AD39" s="139">
        <f t="shared" ref="AD39:AE39" si="172">AC39*(1+AD158)-AD161-AD164-AD167</f>
        <v>1051.0163533010837</v>
      </c>
      <c r="AE39" s="139">
        <f t="shared" si="172"/>
        <v>1043.3905601141482</v>
      </c>
      <c r="AF39" s="139">
        <f>AE39*(1+AF158)-AF161-AF164-AF167</f>
        <v>1035.8111859592111</v>
      </c>
      <c r="AG39" s="255">
        <f>+(AC35/AG35*AC39)+(AD35/AG35*AD39)+(AE35/AG35*AE39)+(AF35/AG35*AF39)</f>
        <v>1047.621991261497</v>
      </c>
      <c r="AH39" s="139">
        <f>AF39*(1+AH158)-AH161-AH164-AH167</f>
        <v>1028.2760113990744</v>
      </c>
      <c r="AI39" s="139">
        <f t="shared" ref="AI39:AJ39" si="173">AH39*(1+AI158)-AI161-AI164-AI167</f>
        <v>1020.7882671811765</v>
      </c>
      <c r="AJ39" s="139">
        <f t="shared" si="173"/>
        <v>1013.3455110566576</v>
      </c>
      <c r="AK39" s="139">
        <f>AJ39*(1+AK158)-AK161-AK164-AK167</f>
        <v>1005.9478240898967</v>
      </c>
      <c r="AL39" s="255">
        <f>+(AH35/AL35*AH39)+(AI35/AL35*AI39)+(AJ35/AL35*AJ39)+(AK35/AL35*AK39)</f>
        <v>1017.4474609303591</v>
      </c>
    </row>
    <row r="40" spans="1:38" ht="15.75" customHeight="1" x14ac:dyDescent="0.2">
      <c r="A40" s="296"/>
      <c r="B40" s="302" t="s">
        <v>31</v>
      </c>
      <c r="C40" s="303"/>
      <c r="D40" s="149">
        <f t="shared" ref="D40:J40" si="174">D35/D38</f>
        <v>0.61239935587761718</v>
      </c>
      <c r="E40" s="149">
        <f t="shared" si="174"/>
        <v>0.53518398967075509</v>
      </c>
      <c r="F40" s="149">
        <f t="shared" si="174"/>
        <v>1.1336085879438487</v>
      </c>
      <c r="G40" s="149">
        <f t="shared" si="174"/>
        <v>0.66287276975832043</v>
      </c>
      <c r="H40" s="184">
        <f t="shared" si="174"/>
        <v>2.947264985260404</v>
      </c>
      <c r="I40" s="149">
        <f t="shared" si="174"/>
        <v>0.75033886818027684</v>
      </c>
      <c r="J40" s="149">
        <f t="shared" si="174"/>
        <v>0.28025260283324721</v>
      </c>
      <c r="K40" s="149">
        <f>K35/K38</f>
        <v>-0.58057338468121455</v>
      </c>
      <c r="L40" s="149">
        <f t="shared" ref="L40:R40" si="175">L35/L38</f>
        <v>0.15660263757818527</v>
      </c>
      <c r="M40" s="184">
        <f t="shared" si="175"/>
        <v>0.60665317268687302</v>
      </c>
      <c r="N40" s="149">
        <f t="shared" si="175"/>
        <v>0.63299716298626596</v>
      </c>
      <c r="O40" s="149">
        <f t="shared" si="175"/>
        <v>0.52638686660211431</v>
      </c>
      <c r="P40" s="149">
        <f t="shared" si="175"/>
        <v>0.32436270415570978</v>
      </c>
      <c r="Q40" s="149">
        <f t="shared" si="175"/>
        <v>0.63070557120146975</v>
      </c>
      <c r="R40" s="184">
        <f t="shared" si="175"/>
        <v>2.1144194010588566</v>
      </c>
      <c r="S40" s="149">
        <f t="shared" ref="S40:AL40" si="176">S35/S38</f>
        <v>0.75828626246383535</v>
      </c>
      <c r="T40" s="149">
        <f t="shared" si="176"/>
        <v>0.63356495690919012</v>
      </c>
      <c r="U40" s="149">
        <f t="shared" si="176"/>
        <v>0.4175652358849134</v>
      </c>
      <c r="V40" s="149">
        <f t="shared" si="176"/>
        <v>0.75001870057132081</v>
      </c>
      <c r="W40" s="184">
        <f t="shared" si="176"/>
        <v>2.5593912520376918</v>
      </c>
      <c r="X40" s="149">
        <f t="shared" si="176"/>
        <v>0.86361458251502943</v>
      </c>
      <c r="Y40" s="149">
        <f t="shared" si="176"/>
        <v>0.72190269056348477</v>
      </c>
      <c r="Z40" s="149">
        <f t="shared" si="176"/>
        <v>0.48519629156560706</v>
      </c>
      <c r="AA40" s="149">
        <f t="shared" si="176"/>
        <v>0.84886601280503071</v>
      </c>
      <c r="AB40" s="184">
        <f t="shared" si="176"/>
        <v>2.9195281352342901</v>
      </c>
      <c r="AC40" s="149">
        <f t="shared" si="176"/>
        <v>0.96872244374195104</v>
      </c>
      <c r="AD40" s="149">
        <f t="shared" si="176"/>
        <v>0.81198828206954232</v>
      </c>
      <c r="AE40" s="149">
        <f t="shared" si="176"/>
        <v>0.55472388317865851</v>
      </c>
      <c r="AF40" s="149">
        <f t="shared" si="176"/>
        <v>0.95281301759193482</v>
      </c>
      <c r="AG40" s="184">
        <f t="shared" si="176"/>
        <v>3.2881891129613723</v>
      </c>
      <c r="AH40" s="149">
        <f t="shared" si="176"/>
        <v>1.0821860423100009</v>
      </c>
      <c r="AI40" s="149">
        <f t="shared" si="176"/>
        <v>0.91083541384290456</v>
      </c>
      <c r="AJ40" s="149">
        <f t="shared" si="176"/>
        <v>0.6331111187493671</v>
      </c>
      <c r="AK40" s="149">
        <f t="shared" si="176"/>
        <v>1.0698456228228643</v>
      </c>
      <c r="AL40" s="184">
        <f t="shared" si="176"/>
        <v>3.6959119670219982</v>
      </c>
    </row>
    <row r="41" spans="1:38" x14ac:dyDescent="0.2">
      <c r="A41" s="296"/>
      <c r="B41" s="302" t="s">
        <v>32</v>
      </c>
      <c r="C41" s="303"/>
      <c r="D41" s="149">
        <f t="shared" ref="D41:K41" si="177">D35/D39</f>
        <v>0.60682942396681061</v>
      </c>
      <c r="E41" s="149">
        <f t="shared" si="177"/>
        <v>0.53026305269049312</v>
      </c>
      <c r="F41" s="149">
        <f t="shared" si="177"/>
        <v>1.1224856909239582</v>
      </c>
      <c r="G41" s="149">
        <f t="shared" si="177"/>
        <v>0.65635470614510849</v>
      </c>
      <c r="H41" s="184">
        <f t="shared" si="177"/>
        <v>2.9185857930587131</v>
      </c>
      <c r="I41" s="149">
        <f t="shared" si="177"/>
        <v>0.74366078925272783</v>
      </c>
      <c r="J41" s="149">
        <f t="shared" si="177"/>
        <v>0.27814008638942922</v>
      </c>
      <c r="K41" s="149">
        <f t="shared" si="177"/>
        <v>-0.58057338468121455</v>
      </c>
      <c r="L41" s="149">
        <f>L35/L39</f>
        <v>0.15700044985825184</v>
      </c>
      <c r="M41" s="184">
        <f t="shared" ref="L41:R41" si="178">M35/M39</f>
        <v>0.59837735741402831</v>
      </c>
      <c r="N41" s="149">
        <f t="shared" si="178"/>
        <v>0.6366059440618127</v>
      </c>
      <c r="O41" s="149">
        <f t="shared" si="178"/>
        <v>0.53133533292889767</v>
      </c>
      <c r="P41" s="149">
        <f t="shared" si="178"/>
        <v>0.32880241127188847</v>
      </c>
      <c r="Q41" s="149">
        <f t="shared" si="178"/>
        <v>0.64152089901938425</v>
      </c>
      <c r="R41" s="184">
        <f t="shared" si="178"/>
        <v>2.1381096702636011</v>
      </c>
      <c r="S41" s="149">
        <f t="shared" ref="S41:AL41" si="179">S35/S39</f>
        <v>0.77409157223432379</v>
      </c>
      <c r="T41" s="149">
        <f t="shared" si="179"/>
        <v>0.64919816798662122</v>
      </c>
      <c r="U41" s="149">
        <f t="shared" si="179"/>
        <v>0.42948267910281768</v>
      </c>
      <c r="V41" s="149">
        <f t="shared" si="179"/>
        <v>0.77424309930483293</v>
      </c>
      <c r="W41" s="184">
        <f t="shared" si="179"/>
        <v>2.6268218697642025</v>
      </c>
      <c r="X41" s="149">
        <f t="shared" si="179"/>
        <v>0.89481897351521922</v>
      </c>
      <c r="Y41" s="149">
        <f t="shared" si="179"/>
        <v>0.75077989766263431</v>
      </c>
      <c r="Z41" s="149">
        <f t="shared" si="179"/>
        <v>0.50648688556371102</v>
      </c>
      <c r="AA41" s="149">
        <f t="shared" si="179"/>
        <v>0.88941015552900382</v>
      </c>
      <c r="AB41" s="184">
        <f t="shared" si="179"/>
        <v>3.0412693147227383</v>
      </c>
      <c r="AC41" s="149">
        <f t="shared" si="179"/>
        <v>1.0187828676961197</v>
      </c>
      <c r="AD41" s="149">
        <f t="shared" si="179"/>
        <v>0.85714395278472144</v>
      </c>
      <c r="AE41" s="149">
        <f t="shared" si="179"/>
        <v>0.58776456839130975</v>
      </c>
      <c r="AF41" s="149">
        <f t="shared" si="179"/>
        <v>1.0133471674505898</v>
      </c>
      <c r="AG41" s="184">
        <f t="shared" si="179"/>
        <v>3.4767775243566672</v>
      </c>
      <c r="AH41" s="149">
        <f t="shared" si="179"/>
        <v>1.1552595303195485</v>
      </c>
      <c r="AI41" s="149">
        <f t="shared" si="179"/>
        <v>0.97599273914506035</v>
      </c>
      <c r="AJ41" s="149">
        <f t="shared" si="179"/>
        <v>0.68095365744379988</v>
      </c>
      <c r="AK41" s="149">
        <f t="shared" si="179"/>
        <v>1.1550261861458158</v>
      </c>
      <c r="AL41" s="184">
        <f t="shared" si="179"/>
        <v>3.9669321165526301</v>
      </c>
    </row>
    <row r="42" spans="1:38" x14ac:dyDescent="0.2">
      <c r="A42" s="296"/>
      <c r="B42" s="121" t="s">
        <v>166</v>
      </c>
      <c r="C42" s="138"/>
      <c r="D42" s="150">
        <f t="shared" ref="D42:J42" si="180">+D37/D39</f>
        <v>0.74999999999999922</v>
      </c>
      <c r="E42" s="150">
        <f t="shared" si="180"/>
        <v>0.60000000000000009</v>
      </c>
      <c r="F42" s="166">
        <f t="shared" si="180"/>
        <v>0.78</v>
      </c>
      <c r="G42" s="166">
        <f t="shared" si="180"/>
        <v>0.69511774261567683</v>
      </c>
      <c r="H42" s="165">
        <f t="shared" si="180"/>
        <v>2.8336117418099285</v>
      </c>
      <c r="I42" s="150">
        <f t="shared" si="180"/>
        <v>0.79454240134340781</v>
      </c>
      <c r="J42" s="150">
        <f t="shared" si="180"/>
        <v>0.31523672397730074</v>
      </c>
      <c r="K42" s="150">
        <f>+K37/K39</f>
        <v>-0.46193838254171954</v>
      </c>
      <c r="L42" s="150">
        <f t="shared" ref="L42:AL42" si="181">+L37/L39</f>
        <v>0.27725434619803419</v>
      </c>
      <c r="M42" s="165">
        <f>+M37/M39</f>
        <v>0.91738500528217271</v>
      </c>
      <c r="N42" s="150">
        <f t="shared" si="181"/>
        <v>0.72161127070718922</v>
      </c>
      <c r="O42" s="150">
        <f t="shared" si="181"/>
        <v>0.61558905925533747</v>
      </c>
      <c r="P42" s="150">
        <f t="shared" si="181"/>
        <v>0.41188351780021643</v>
      </c>
      <c r="Q42" s="150">
        <f t="shared" si="181"/>
        <v>0.72452412920228526</v>
      </c>
      <c r="R42" s="165">
        <f t="shared" si="181"/>
        <v>2.4733364031068836</v>
      </c>
      <c r="S42" s="150">
        <f t="shared" si="181"/>
        <v>0.86127097168209399</v>
      </c>
      <c r="T42" s="150">
        <f t="shared" si="181"/>
        <v>0.74155075374745905</v>
      </c>
      <c r="U42" s="150">
        <f t="shared" si="181"/>
        <v>0.52809339658840293</v>
      </c>
      <c r="V42" s="150">
        <f t="shared" si="181"/>
        <v>0.87015598959439722</v>
      </c>
      <c r="W42" s="165">
        <f t="shared" si="181"/>
        <v>3.0006180455553753</v>
      </c>
      <c r="X42" s="150">
        <f t="shared" si="181"/>
        <v>0.98634716285550339</v>
      </c>
      <c r="Y42" s="150">
        <f t="shared" si="181"/>
        <v>0.84316046427477542</v>
      </c>
      <c r="Z42" s="150">
        <f t="shared" si="181"/>
        <v>0.59993135579486545</v>
      </c>
      <c r="AA42" s="150">
        <f t="shared" si="181"/>
        <v>0.9113983475914923</v>
      </c>
      <c r="AB42" s="165">
        <f t="shared" si="181"/>
        <v>3.3412441989741639</v>
      </c>
      <c r="AC42" s="150">
        <f t="shared" si="181"/>
        <v>1.1151476746465858</v>
      </c>
      <c r="AD42" s="150">
        <f t="shared" si="181"/>
        <v>0.95471496841817294</v>
      </c>
      <c r="AE42" s="150">
        <f t="shared" si="181"/>
        <v>0.68601196025824596</v>
      </c>
      <c r="AF42" s="150">
        <f t="shared" si="181"/>
        <v>1.1115264146851549</v>
      </c>
      <c r="AG42" s="165">
        <f t="shared" si="181"/>
        <v>3.8669702148940752</v>
      </c>
      <c r="AH42" s="150">
        <f t="shared" si="181"/>
        <v>1.2537208266826452</v>
      </c>
      <c r="AI42" s="150">
        <f t="shared" si="181"/>
        <v>1.0753592666432119</v>
      </c>
      <c r="AJ42" s="150">
        <f t="shared" si="181"/>
        <v>0.7812322660291442</v>
      </c>
      <c r="AK42" s="150">
        <f t="shared" si="181"/>
        <v>1.2561964843136066</v>
      </c>
      <c r="AL42" s="165">
        <f t="shared" si="181"/>
        <v>4.3660352735059647</v>
      </c>
    </row>
    <row r="43" spans="1:38" s="137" customFormat="1" x14ac:dyDescent="0.2">
      <c r="A43" s="296"/>
      <c r="B43" s="238" t="s">
        <v>116</v>
      </c>
      <c r="C43" s="239"/>
      <c r="D43" s="151">
        <v>0.36</v>
      </c>
      <c r="E43" s="151">
        <v>0.36</v>
      </c>
      <c r="F43" s="151">
        <v>0.36</v>
      </c>
      <c r="G43" s="151">
        <v>0.41</v>
      </c>
      <c r="H43" s="776">
        <f>+SUM(D43:G43)</f>
        <v>1.49</v>
      </c>
      <c r="I43" s="151">
        <v>0.41</v>
      </c>
      <c r="J43" s="151">
        <v>0.41</v>
      </c>
      <c r="K43" s="151">
        <v>0.41</v>
      </c>
      <c r="L43" s="151">
        <f>1.07*G43</f>
        <v>0.43869999999999998</v>
      </c>
      <c r="M43" s="776">
        <f>SUM(I43:L43)</f>
        <v>1.6686999999999999</v>
      </c>
      <c r="N43" s="151">
        <f>+L43</f>
        <v>0.43869999999999998</v>
      </c>
      <c r="O43" s="151">
        <f>+N43</f>
        <v>0.43869999999999998</v>
      </c>
      <c r="P43" s="151">
        <f>+O43</f>
        <v>0.43869999999999998</v>
      </c>
      <c r="Q43" s="151">
        <f>1.05*O43</f>
        <v>0.46063500000000002</v>
      </c>
      <c r="R43" s="776">
        <f>SUM(N43:Q43)</f>
        <v>1.776735</v>
      </c>
      <c r="S43" s="151">
        <f>+Q43</f>
        <v>0.46063500000000002</v>
      </c>
      <c r="T43" s="151">
        <f>+S43</f>
        <v>0.46063500000000002</v>
      </c>
      <c r="U43" s="151">
        <f>+T43</f>
        <v>0.46063500000000002</v>
      </c>
      <c r="V43" s="151">
        <f>1.05*T43</f>
        <v>0.48366675000000003</v>
      </c>
      <c r="W43" s="776">
        <f>SUM(S43:V43)</f>
        <v>1.8655717500000002</v>
      </c>
      <c r="X43" s="151">
        <f>+V43</f>
        <v>0.48366675000000003</v>
      </c>
      <c r="Y43" s="151">
        <f>+X43</f>
        <v>0.48366675000000003</v>
      </c>
      <c r="Z43" s="151">
        <f>+Y43</f>
        <v>0.48366675000000003</v>
      </c>
      <c r="AA43" s="151">
        <f>1.05*Y43</f>
        <v>0.50785008750000005</v>
      </c>
      <c r="AB43" s="776">
        <f>SUM(X43:AA43)</f>
        <v>1.9588503375000001</v>
      </c>
      <c r="AC43" s="151">
        <f>+AA43</f>
        <v>0.50785008750000005</v>
      </c>
      <c r="AD43" s="151">
        <f>+AC43</f>
        <v>0.50785008750000005</v>
      </c>
      <c r="AE43" s="151">
        <f>+AD43</f>
        <v>0.50785008750000005</v>
      </c>
      <c r="AF43" s="151">
        <f>1.05*AD43</f>
        <v>0.53324259187500012</v>
      </c>
      <c r="AG43" s="776">
        <f>SUM(AC43:AF43)</f>
        <v>2.0567928543750003</v>
      </c>
      <c r="AH43" s="151">
        <f>+AF43</f>
        <v>0.53324259187500012</v>
      </c>
      <c r="AI43" s="151">
        <f>+AH43</f>
        <v>0.53324259187500012</v>
      </c>
      <c r="AJ43" s="151">
        <f>+AI43</f>
        <v>0.53324259187500012</v>
      </c>
      <c r="AK43" s="151">
        <f>1.05*AI43</f>
        <v>0.55990472146875014</v>
      </c>
      <c r="AL43" s="776">
        <f>SUM(AH43:AK43)</f>
        <v>2.1596324970937504</v>
      </c>
    </row>
    <row r="44" spans="1:38" x14ac:dyDescent="0.2">
      <c r="A44" s="296"/>
      <c r="B44" s="136" t="s">
        <v>37</v>
      </c>
      <c r="C44" s="41"/>
      <c r="D44" s="231"/>
      <c r="E44" s="207"/>
      <c r="F44" s="206"/>
      <c r="G44" s="207"/>
      <c r="H44" s="208"/>
      <c r="I44" s="207"/>
      <c r="J44" s="209"/>
      <c r="K44" s="209"/>
      <c r="L44" s="231"/>
      <c r="M44" s="237"/>
      <c r="N44" s="178"/>
      <c r="O44" s="41"/>
      <c r="P44" s="41"/>
      <c r="Q44" s="115"/>
      <c r="R44" s="6"/>
      <c r="S44" s="41"/>
      <c r="T44" s="41"/>
      <c r="U44" s="41"/>
      <c r="V44" s="115"/>
      <c r="W44" s="6"/>
      <c r="X44" s="41"/>
      <c r="Y44" s="41"/>
      <c r="Z44" s="41"/>
      <c r="AA44" s="115"/>
      <c r="AB44" s="6"/>
      <c r="AC44" s="41"/>
      <c r="AD44" s="41"/>
      <c r="AE44" s="41"/>
      <c r="AF44" s="115"/>
      <c r="AG44" s="6"/>
      <c r="AH44" s="41"/>
      <c r="AI44" s="41"/>
      <c r="AJ44" s="41"/>
      <c r="AK44" s="115"/>
      <c r="AL44" s="6"/>
    </row>
    <row r="45" spans="1:38" ht="16" x14ac:dyDescent="0.2">
      <c r="A45" s="296"/>
      <c r="B45" s="314" t="s">
        <v>57</v>
      </c>
      <c r="C45" s="315"/>
      <c r="D45" s="21" t="s">
        <v>59</v>
      </c>
      <c r="E45" s="21" t="s">
        <v>212</v>
      </c>
      <c r="F45" s="21" t="s">
        <v>214</v>
      </c>
      <c r="G45" s="21" t="s">
        <v>73</v>
      </c>
      <c r="H45" s="66" t="s">
        <v>73</v>
      </c>
      <c r="I45" s="21" t="s">
        <v>74</v>
      </c>
      <c r="J45" s="21" t="s">
        <v>75</v>
      </c>
      <c r="K45" s="21" t="s">
        <v>76</v>
      </c>
      <c r="L45" s="23" t="s">
        <v>77</v>
      </c>
      <c r="M45" s="68" t="s">
        <v>77</v>
      </c>
      <c r="N45" s="23" t="s">
        <v>78</v>
      </c>
      <c r="O45" s="23" t="s">
        <v>79</v>
      </c>
      <c r="P45" s="23" t="s">
        <v>80</v>
      </c>
      <c r="Q45" s="23" t="s">
        <v>81</v>
      </c>
      <c r="R45" s="68" t="s">
        <v>81</v>
      </c>
      <c r="S45" s="23" t="s">
        <v>82</v>
      </c>
      <c r="T45" s="23" t="s">
        <v>83</v>
      </c>
      <c r="U45" s="23" t="s">
        <v>84</v>
      </c>
      <c r="V45" s="23" t="s">
        <v>85</v>
      </c>
      <c r="W45" s="68" t="s">
        <v>85</v>
      </c>
      <c r="X45" s="23" t="s">
        <v>86</v>
      </c>
      <c r="Y45" s="23" t="s">
        <v>87</v>
      </c>
      <c r="Z45" s="23" t="s">
        <v>88</v>
      </c>
      <c r="AA45" s="23" t="s">
        <v>89</v>
      </c>
      <c r="AB45" s="68" t="s">
        <v>89</v>
      </c>
      <c r="AC45" s="23" t="s">
        <v>216</v>
      </c>
      <c r="AD45" s="23" t="s">
        <v>217</v>
      </c>
      <c r="AE45" s="23" t="s">
        <v>218</v>
      </c>
      <c r="AF45" s="23" t="s">
        <v>219</v>
      </c>
      <c r="AG45" s="68" t="s">
        <v>219</v>
      </c>
      <c r="AH45" s="23" t="s">
        <v>249</v>
      </c>
      <c r="AI45" s="23" t="s">
        <v>250</v>
      </c>
      <c r="AJ45" s="23" t="s">
        <v>251</v>
      </c>
      <c r="AK45" s="23" t="s">
        <v>252</v>
      </c>
      <c r="AL45" s="68" t="s">
        <v>252</v>
      </c>
    </row>
    <row r="46" spans="1:38" ht="18" x14ac:dyDescent="0.35">
      <c r="A46" s="137"/>
      <c r="B46" s="306"/>
      <c r="C46" s="307"/>
      <c r="D46" s="22" t="s">
        <v>72</v>
      </c>
      <c r="E46" s="22" t="s">
        <v>211</v>
      </c>
      <c r="F46" s="22" t="s">
        <v>215</v>
      </c>
      <c r="G46" s="22" t="s">
        <v>225</v>
      </c>
      <c r="H46" s="67" t="s">
        <v>226</v>
      </c>
      <c r="I46" s="22" t="s">
        <v>227</v>
      </c>
      <c r="J46" s="22" t="s">
        <v>228</v>
      </c>
      <c r="K46" s="22" t="s">
        <v>229</v>
      </c>
      <c r="L46" s="20" t="s">
        <v>90</v>
      </c>
      <c r="M46" s="69" t="s">
        <v>91</v>
      </c>
      <c r="N46" s="20" t="s">
        <v>92</v>
      </c>
      <c r="O46" s="20" t="s">
        <v>93</v>
      </c>
      <c r="P46" s="20" t="s">
        <v>94</v>
      </c>
      <c r="Q46" s="20" t="s">
        <v>95</v>
      </c>
      <c r="R46" s="69" t="s">
        <v>96</v>
      </c>
      <c r="S46" s="20" t="s">
        <v>97</v>
      </c>
      <c r="T46" s="20" t="s">
        <v>98</v>
      </c>
      <c r="U46" s="20" t="s">
        <v>99</v>
      </c>
      <c r="V46" s="20" t="s">
        <v>100</v>
      </c>
      <c r="W46" s="69" t="s">
        <v>101</v>
      </c>
      <c r="X46" s="20" t="s">
        <v>102</v>
      </c>
      <c r="Y46" s="20" t="s">
        <v>103</v>
      </c>
      <c r="Z46" s="20" t="s">
        <v>104</v>
      </c>
      <c r="AA46" s="20" t="s">
        <v>105</v>
      </c>
      <c r="AB46" s="69" t="s">
        <v>106</v>
      </c>
      <c r="AC46" s="20" t="s">
        <v>220</v>
      </c>
      <c r="AD46" s="20" t="s">
        <v>221</v>
      </c>
      <c r="AE46" s="20" t="s">
        <v>222</v>
      </c>
      <c r="AF46" s="732" t="s">
        <v>223</v>
      </c>
      <c r="AG46" s="732" t="s">
        <v>224</v>
      </c>
      <c r="AH46" s="20" t="s">
        <v>253</v>
      </c>
      <c r="AI46" s="20" t="s">
        <v>254</v>
      </c>
      <c r="AJ46" s="20" t="s">
        <v>255</v>
      </c>
      <c r="AK46" s="20" t="s">
        <v>256</v>
      </c>
      <c r="AL46" s="69" t="s">
        <v>257</v>
      </c>
    </row>
    <row r="47" spans="1:38" ht="19" x14ac:dyDescent="0.35">
      <c r="A47" s="137"/>
      <c r="B47" s="298" t="s">
        <v>117</v>
      </c>
      <c r="C47" s="299"/>
      <c r="D47" s="22"/>
      <c r="E47" s="22"/>
      <c r="F47" s="22"/>
      <c r="G47" s="22"/>
      <c r="H47" s="67"/>
      <c r="I47" s="22"/>
      <c r="J47" s="22"/>
      <c r="K47" s="22"/>
      <c r="L47" s="20"/>
      <c r="M47" s="69"/>
      <c r="N47" s="20"/>
      <c r="O47" s="20"/>
      <c r="P47" s="20"/>
      <c r="Q47" s="20"/>
      <c r="R47" s="69"/>
      <c r="S47" s="20"/>
      <c r="T47" s="20"/>
      <c r="U47" s="20"/>
      <c r="V47" s="20"/>
      <c r="W47" s="69"/>
      <c r="X47" s="20"/>
      <c r="Y47" s="20"/>
      <c r="Z47" s="20"/>
      <c r="AA47" s="20"/>
      <c r="AB47" s="69"/>
      <c r="AC47" s="20"/>
      <c r="AD47" s="20"/>
      <c r="AE47" s="20"/>
      <c r="AF47" s="732"/>
      <c r="AG47" s="732"/>
      <c r="AH47" s="20"/>
      <c r="AI47" s="20"/>
      <c r="AJ47" s="20"/>
      <c r="AK47" s="20"/>
      <c r="AL47" s="69"/>
    </row>
    <row r="48" spans="1:38" s="13" customFormat="1" outlineLevel="1" x14ac:dyDescent="0.2">
      <c r="A48" s="152"/>
      <c r="B48" s="304" t="s">
        <v>119</v>
      </c>
      <c r="C48" s="305"/>
      <c r="D48" s="31">
        <v>9777</v>
      </c>
      <c r="E48" s="31">
        <v>9776</v>
      </c>
      <c r="F48" s="169">
        <v>9857</v>
      </c>
      <c r="G48" s="31">
        <v>9974</v>
      </c>
      <c r="H48" s="90"/>
      <c r="I48" s="31">
        <v>10020</v>
      </c>
      <c r="J48" s="31">
        <v>10051</v>
      </c>
      <c r="K48" s="31">
        <v>10017</v>
      </c>
      <c r="L48" s="169">
        <f>+K48+L49</f>
        <v>10084</v>
      </c>
      <c r="M48" s="250"/>
      <c r="N48" s="169">
        <f>+L48+N49</f>
        <v>10122</v>
      </c>
      <c r="O48" s="169">
        <f t="shared" ref="O48:Q48" si="182">+N48+O49</f>
        <v>10147.5</v>
      </c>
      <c r="P48" s="169">
        <f t="shared" si="182"/>
        <v>10171.625</v>
      </c>
      <c r="Q48" s="169">
        <f>+P48+Q49</f>
        <v>10210.28125</v>
      </c>
      <c r="R48" s="250"/>
      <c r="S48" s="169">
        <f>+Q48+S49</f>
        <v>10241.8515625</v>
      </c>
      <c r="T48" s="169">
        <f t="shared" ref="T48" si="183">+S48+T49</f>
        <v>10271.814453125</v>
      </c>
      <c r="U48" s="169">
        <f t="shared" ref="U48" si="184">+T48+U49</f>
        <v>10299.814453125</v>
      </c>
      <c r="V48" s="169">
        <f t="shared" ref="V48" si="185">+U48+V49</f>
        <v>10326.814453125</v>
      </c>
      <c r="W48" s="250"/>
      <c r="X48" s="169">
        <f>+V48+X49</f>
        <v>10355.94775390625</v>
      </c>
      <c r="Y48" s="169">
        <f t="shared" ref="Y48" si="186">+X48+Y49</f>
        <v>10382.94775390625</v>
      </c>
      <c r="Z48" s="169">
        <f t="shared" ref="Z48" si="187">+Y48+Z49</f>
        <v>10407.94775390625</v>
      </c>
      <c r="AA48" s="169">
        <f t="shared" ref="AA48" si="188">+Z48+AA49</f>
        <v>10432.94775390625</v>
      </c>
      <c r="AB48" s="250"/>
      <c r="AC48" s="169">
        <f>+AA48+AC49</f>
        <v>10457.94775390625</v>
      </c>
      <c r="AD48" s="169">
        <f t="shared" ref="AD48" si="189">+AC48+AD49</f>
        <v>10483.44775390625</v>
      </c>
      <c r="AE48" s="169">
        <f t="shared" ref="AE48" si="190">+AD48+AE49</f>
        <v>10508.57275390625</v>
      </c>
      <c r="AF48" s="709">
        <f t="shared" ref="AF48" si="191">+AE48+AF49</f>
        <v>10533.72900390625</v>
      </c>
      <c r="AG48" s="718"/>
      <c r="AH48" s="169">
        <f>+AF48+AH49</f>
        <v>10558.92431640625</v>
      </c>
      <c r="AI48" s="169">
        <f t="shared" ref="AI48" si="192">+AH48+AI49</f>
        <v>10584.16845703125</v>
      </c>
      <c r="AJ48" s="169">
        <f t="shared" ref="AJ48" si="193">+AI48+AJ49</f>
        <v>10609.3486328125</v>
      </c>
      <c r="AK48" s="709">
        <f t="shared" ref="AK48" si="194">+AJ48+AK49</f>
        <v>10634.542602539062</v>
      </c>
      <c r="AL48" s="718"/>
    </row>
    <row r="49" spans="1:38" s="137" customFormat="1" outlineLevel="1" x14ac:dyDescent="0.2">
      <c r="B49" s="651" t="s">
        <v>124</v>
      </c>
      <c r="C49" s="282"/>
      <c r="D49" s="139">
        <f>+D48-9690</f>
        <v>87</v>
      </c>
      <c r="E49" s="139">
        <f>E48-D48</f>
        <v>-1</v>
      </c>
      <c r="F49" s="139">
        <f t="shared" ref="F49:G49" si="195">F48-E48</f>
        <v>81</v>
      </c>
      <c r="G49" s="139">
        <f t="shared" si="195"/>
        <v>117</v>
      </c>
      <c r="H49" s="177">
        <f>+SUM(D49:G49)</f>
        <v>284</v>
      </c>
      <c r="I49" s="139">
        <f>I48-G48</f>
        <v>46</v>
      </c>
      <c r="J49" s="139">
        <f t="shared" ref="J49" si="196">J48-I48</f>
        <v>31</v>
      </c>
      <c r="K49" s="139">
        <f>K48-J48</f>
        <v>-34</v>
      </c>
      <c r="L49" s="139">
        <v>67</v>
      </c>
      <c r="M49" s="177">
        <f>SUM(I49:L49)</f>
        <v>110</v>
      </c>
      <c r="N49" s="139">
        <v>38</v>
      </c>
      <c r="O49" s="139">
        <f>AVERAGE(J49,K49,L49,N49)</f>
        <v>25.5</v>
      </c>
      <c r="P49" s="139">
        <f>AVERAGE(K49,L49,N49,O49)</f>
        <v>24.125</v>
      </c>
      <c r="Q49" s="139">
        <f>AVERAGE(L49,N49,O49,P49)</f>
        <v>38.65625</v>
      </c>
      <c r="R49" s="177">
        <f>SUM(N49:Q49)</f>
        <v>126.28125</v>
      </c>
      <c r="S49" s="139">
        <f>AVERAGE(N49,O49,P49,Q49)</f>
        <v>31.5703125</v>
      </c>
      <c r="T49" s="139">
        <f>AVERAGE(O49,P49,Q49,S49)</f>
        <v>29.962890625</v>
      </c>
      <c r="U49" s="139">
        <v>28</v>
      </c>
      <c r="V49" s="139">
        <v>27</v>
      </c>
      <c r="W49" s="177">
        <f>SUM(S49:V49)</f>
        <v>116.533203125</v>
      </c>
      <c r="X49" s="139">
        <f>AVERAGE(S49,T49,U49,V49)</f>
        <v>29.13330078125</v>
      </c>
      <c r="Y49" s="139">
        <v>27</v>
      </c>
      <c r="Z49" s="139">
        <v>25</v>
      </c>
      <c r="AA49" s="139">
        <v>25</v>
      </c>
      <c r="AB49" s="177">
        <f>SUM(X49:AA49)</f>
        <v>106.13330078125</v>
      </c>
      <c r="AC49" s="139">
        <v>25</v>
      </c>
      <c r="AD49" s="139">
        <f>AVERAGE(Y49,Z49,AA49,AC49)</f>
        <v>25.5</v>
      </c>
      <c r="AE49" s="139">
        <f>AVERAGE(Z49,AA49,AC49,AD49)</f>
        <v>25.125</v>
      </c>
      <c r="AF49" s="708">
        <f>AVERAGE(AA49,AC49,AD49,AE49)</f>
        <v>25.15625</v>
      </c>
      <c r="AG49" s="719">
        <f>SUM(AC49:AF49)</f>
        <v>100.78125</v>
      </c>
      <c r="AH49" s="139">
        <f>AVERAGE(AC49,AD49,AE49,AF49)</f>
        <v>25.1953125</v>
      </c>
      <c r="AI49" s="139">
        <f>AVERAGE(AD49,AE49,AF49,AH49)</f>
        <v>25.244140625</v>
      </c>
      <c r="AJ49" s="139">
        <f>AVERAGE(AE49,AF49,AH49,AI49)</f>
        <v>25.18017578125</v>
      </c>
      <c r="AK49" s="708">
        <f>AVERAGE(AF49,AH49,AI49,AJ49)</f>
        <v>25.1939697265625</v>
      </c>
      <c r="AL49" s="719">
        <f>SUM(AH49:AK49)</f>
        <v>100.8135986328125</v>
      </c>
    </row>
    <row r="50" spans="1:38" s="156" customFormat="1" outlineLevel="1" x14ac:dyDescent="0.2">
      <c r="B50" s="652" t="s">
        <v>125</v>
      </c>
      <c r="C50" s="653"/>
      <c r="D50" s="176">
        <v>9527</v>
      </c>
      <c r="E50" s="176">
        <v>9499</v>
      </c>
      <c r="F50" s="176">
        <v>9594</v>
      </c>
      <c r="G50" s="176">
        <v>9690</v>
      </c>
      <c r="H50" s="210"/>
      <c r="I50" s="176">
        <f>D48</f>
        <v>9777</v>
      </c>
      <c r="J50" s="176">
        <f>E48</f>
        <v>9776</v>
      </c>
      <c r="K50" s="176">
        <f>F48</f>
        <v>9857</v>
      </c>
      <c r="L50" s="176">
        <f>G48</f>
        <v>9974</v>
      </c>
      <c r="M50" s="210"/>
      <c r="N50" s="176">
        <f>I48</f>
        <v>10020</v>
      </c>
      <c r="O50" s="176">
        <f t="shared" ref="O50:Q50" si="197">J48</f>
        <v>10051</v>
      </c>
      <c r="P50" s="176">
        <f t="shared" si="197"/>
        <v>10017</v>
      </c>
      <c r="Q50" s="176">
        <f t="shared" si="197"/>
        <v>10084</v>
      </c>
      <c r="R50" s="210"/>
      <c r="S50" s="176">
        <f>N48</f>
        <v>10122</v>
      </c>
      <c r="T50" s="176">
        <f t="shared" ref="T50" si="198">O48</f>
        <v>10147.5</v>
      </c>
      <c r="U50" s="176">
        <f t="shared" ref="U50" si="199">P48</f>
        <v>10171.625</v>
      </c>
      <c r="V50" s="176">
        <f t="shared" ref="V50" si="200">Q48</f>
        <v>10210.28125</v>
      </c>
      <c r="W50" s="210"/>
      <c r="X50" s="176">
        <f>S48</f>
        <v>10241.8515625</v>
      </c>
      <c r="Y50" s="176">
        <f t="shared" ref="Y50" si="201">T48</f>
        <v>10271.814453125</v>
      </c>
      <c r="Z50" s="176">
        <f t="shared" ref="Z50" si="202">U48</f>
        <v>10299.814453125</v>
      </c>
      <c r="AA50" s="176">
        <f t="shared" ref="AA50" si="203">V48</f>
        <v>10326.814453125</v>
      </c>
      <c r="AB50" s="210"/>
      <c r="AC50" s="176">
        <f>X48</f>
        <v>10355.94775390625</v>
      </c>
      <c r="AD50" s="176">
        <f t="shared" ref="AD50" si="204">Y48</f>
        <v>10382.94775390625</v>
      </c>
      <c r="AE50" s="176">
        <f t="shared" ref="AE50" si="205">Z48</f>
        <v>10407.94775390625</v>
      </c>
      <c r="AF50" s="717">
        <f t="shared" ref="AF50" si="206">AA48</f>
        <v>10432.94775390625</v>
      </c>
      <c r="AG50" s="720"/>
      <c r="AH50" s="176">
        <f>AC48</f>
        <v>10457.94775390625</v>
      </c>
      <c r="AI50" s="176">
        <f t="shared" ref="AI50" si="207">AD48</f>
        <v>10483.44775390625</v>
      </c>
      <c r="AJ50" s="176">
        <f t="shared" ref="AJ50" si="208">AE48</f>
        <v>10508.57275390625</v>
      </c>
      <c r="AK50" s="717">
        <f t="shared" ref="AK50" si="209">AF48</f>
        <v>10533.72900390625</v>
      </c>
      <c r="AL50" s="720"/>
    </row>
    <row r="51" spans="1:38" s="156" customFormat="1" outlineLevel="1" x14ac:dyDescent="0.2">
      <c r="B51" s="652" t="s">
        <v>126</v>
      </c>
      <c r="C51" s="653"/>
      <c r="D51" s="172">
        <v>0.42069471068107506</v>
      </c>
      <c r="E51" s="172">
        <v>0.39562181698744753</v>
      </c>
      <c r="F51" s="172">
        <v>0.42259741164000009</v>
      </c>
      <c r="G51" s="172">
        <v>0.41931398367073175</v>
      </c>
      <c r="H51" s="235"/>
      <c r="I51" s="172">
        <f>+D51*(1+I54)</f>
        <v>0.44593639332193957</v>
      </c>
      <c r="J51" s="172">
        <f>+E51*(1+J54)</f>
        <v>0.38375316247782409</v>
      </c>
      <c r="K51" s="172">
        <f t="shared" ref="K51" si="210">+F51*(1+K54)</f>
        <v>0.24933247286760007</v>
      </c>
      <c r="L51" s="172">
        <f>+G51*(1+L54)</f>
        <v>0.35557825815278055</v>
      </c>
      <c r="M51" s="235"/>
      <c r="N51" s="172">
        <f>+I51*(1+N54)</f>
        <v>0.45619293036834413</v>
      </c>
      <c r="O51" s="172">
        <f t="shared" ref="O51:Q51" si="211">+J51*(1+O54)</f>
        <v>0.42274248378557105</v>
      </c>
      <c r="P51" s="172">
        <f t="shared" si="211"/>
        <v>0.27466465211094826</v>
      </c>
      <c r="Q51" s="172">
        <f t="shared" si="211"/>
        <v>0.39198947178762528</v>
      </c>
      <c r="R51" s="235"/>
      <c r="S51" s="172">
        <f>+N51*(1+S54)</f>
        <v>0.49807144137615816</v>
      </c>
      <c r="T51" s="172">
        <f t="shared" ref="T51" si="212">+O51*(1+T54)</f>
        <v>0.46155024379708653</v>
      </c>
      <c r="U51" s="172">
        <f t="shared" ref="U51" si="213">+P51*(1+U54)</f>
        <v>0.3027079130914761</v>
      </c>
      <c r="V51" s="172">
        <f t="shared" ref="V51" si="214">+Q51*(1+V54)</f>
        <v>0.42393661373831681</v>
      </c>
      <c r="W51" s="235"/>
      <c r="X51" s="172">
        <f>+S51*(1+X54)</f>
        <v>0.52795572785872769</v>
      </c>
      <c r="Y51" s="172">
        <f t="shared" ref="Y51" si="215">+T51*(1+Y54)</f>
        <v>0.48924325842491173</v>
      </c>
      <c r="Z51" s="172">
        <f t="shared" ref="Z51" si="216">+U51*(1+Z54)</f>
        <v>0.3208703878769647</v>
      </c>
      <c r="AA51" s="172">
        <f t="shared" ref="AA51" si="217">+V51*(1+AA54)</f>
        <v>0.44937281056261585</v>
      </c>
      <c r="AB51" s="235"/>
      <c r="AC51" s="172">
        <f>+X51*(1+AC54)</f>
        <v>0.55963307153025132</v>
      </c>
      <c r="AD51" s="172">
        <f t="shared" ref="AD51" si="218">+Y51*(1+AD54)</f>
        <v>0.51859785393040647</v>
      </c>
      <c r="AE51" s="172">
        <f t="shared" ref="AE51" si="219">+Z51*(1+AE54)</f>
        <v>0.34012261114958259</v>
      </c>
      <c r="AF51" s="758">
        <f t="shared" ref="AF51" si="220">+AA51*(1+AF54)</f>
        <v>0.4763351791963728</v>
      </c>
      <c r="AG51" s="721"/>
      <c r="AH51" s="172">
        <f>+AC51*(1+AH54)</f>
        <v>0.59321105582206646</v>
      </c>
      <c r="AI51" s="172">
        <f t="shared" ref="AI51" si="221">+AD51*(1+AI54)</f>
        <v>0.54971372516623085</v>
      </c>
      <c r="AJ51" s="172">
        <f t="shared" ref="AJ51" si="222">+AE51*(1+AJ54)</f>
        <v>0.36052996781855756</v>
      </c>
      <c r="AK51" s="758">
        <f t="shared" ref="AK51" si="223">+AF51*(1+AK54)</f>
        <v>0.50491528994815515</v>
      </c>
      <c r="AL51" s="721"/>
    </row>
    <row r="52" spans="1:38" outlineLevel="1" x14ac:dyDescent="0.2">
      <c r="A52" s="137"/>
      <c r="B52" s="35" t="s">
        <v>122</v>
      </c>
      <c r="C52" s="85"/>
      <c r="D52" s="171">
        <v>0.04</v>
      </c>
      <c r="E52" s="171">
        <v>0</v>
      </c>
      <c r="F52" s="171">
        <v>0.03</v>
      </c>
      <c r="G52" s="171">
        <v>0.03</v>
      </c>
      <c r="H52" s="200"/>
      <c r="I52" s="171">
        <v>0.02</v>
      </c>
      <c r="J52" s="171">
        <v>-7.0000000000000007E-2</v>
      </c>
      <c r="K52" s="171">
        <v>-0.53</v>
      </c>
      <c r="L52" s="171">
        <v>-0.2</v>
      </c>
      <c r="M52" s="200"/>
      <c r="N52" s="171">
        <v>-7.0000000000000007E-2</v>
      </c>
      <c r="O52" s="171">
        <v>0.02</v>
      </c>
      <c r="P52" s="171">
        <v>0.02</v>
      </c>
      <c r="Q52" s="171">
        <v>0.04</v>
      </c>
      <c r="R52" s="200"/>
      <c r="S52" s="171">
        <v>0.03</v>
      </c>
      <c r="T52" s="171">
        <v>0.03</v>
      </c>
      <c r="U52" s="171">
        <v>0.03</v>
      </c>
      <c r="V52" s="171">
        <v>0.03</v>
      </c>
      <c r="W52" s="200"/>
      <c r="X52" s="171"/>
      <c r="Y52" s="171"/>
      <c r="Z52" s="171"/>
      <c r="AA52" s="171"/>
      <c r="AB52" s="200"/>
      <c r="AC52" s="171"/>
      <c r="AD52" s="171"/>
      <c r="AE52" s="171"/>
      <c r="AF52" s="687"/>
      <c r="AG52" s="687"/>
      <c r="AH52" s="171"/>
      <c r="AI52" s="171"/>
      <c r="AJ52" s="171"/>
      <c r="AK52" s="687"/>
      <c r="AL52" s="687"/>
    </row>
    <row r="53" spans="1:38" outlineLevel="1" x14ac:dyDescent="0.2">
      <c r="A53" s="137"/>
      <c r="B53" s="35" t="s">
        <v>121</v>
      </c>
      <c r="C53" s="85"/>
      <c r="D53" s="246">
        <v>0</v>
      </c>
      <c r="E53" s="246">
        <v>0.04</v>
      </c>
      <c r="F53" s="246">
        <v>0.04</v>
      </c>
      <c r="G53" s="246">
        <v>0.03</v>
      </c>
      <c r="H53" s="236"/>
      <c r="I53" s="246">
        <v>0.03</v>
      </c>
      <c r="J53" s="246">
        <v>0.05</v>
      </c>
      <c r="K53" s="246">
        <v>0.27</v>
      </c>
      <c r="L53" s="246">
        <v>0.06</v>
      </c>
      <c r="M53" s="236"/>
      <c r="N53" s="246">
        <v>0.1</v>
      </c>
      <c r="O53" s="246">
        <v>0.08</v>
      </c>
      <c r="P53" s="246">
        <v>0.08</v>
      </c>
      <c r="Q53" s="246">
        <v>0.06</v>
      </c>
      <c r="R53" s="236"/>
      <c r="S53" s="246">
        <v>0.06</v>
      </c>
      <c r="T53" s="246">
        <v>0.06</v>
      </c>
      <c r="U53" s="246">
        <v>7.0000000000000007E-2</v>
      </c>
      <c r="V53" s="246">
        <v>0.05</v>
      </c>
      <c r="W53" s="236"/>
      <c r="X53" s="246">
        <f>AVERAGE(S53:V53)</f>
        <v>0.06</v>
      </c>
      <c r="Y53" s="246">
        <f>AVERAGE($S$53:$V$53)</f>
        <v>0.06</v>
      </c>
      <c r="Z53" s="246">
        <f t="shared" ref="Z53:AA53" si="224">AVERAGE($S$53:$V$53)</f>
        <v>0.06</v>
      </c>
      <c r="AA53" s="246">
        <f t="shared" si="224"/>
        <v>0.06</v>
      </c>
      <c r="AB53" s="236"/>
      <c r="AC53" s="246">
        <f t="shared" ref="AC53:AF53" si="225">AVERAGE($S$53:$V$53)</f>
        <v>0.06</v>
      </c>
      <c r="AD53" s="246">
        <f t="shared" si="225"/>
        <v>0.06</v>
      </c>
      <c r="AE53" s="246">
        <f t="shared" si="225"/>
        <v>0.06</v>
      </c>
      <c r="AF53" s="722">
        <f t="shared" si="225"/>
        <v>0.06</v>
      </c>
      <c r="AG53" s="722"/>
      <c r="AH53" s="246">
        <f t="shared" ref="AH53:AK53" si="226">AVERAGE($S$53:$V$53)</f>
        <v>0.06</v>
      </c>
      <c r="AI53" s="246">
        <f t="shared" si="226"/>
        <v>0.06</v>
      </c>
      <c r="AJ53" s="246">
        <f t="shared" si="226"/>
        <v>0.06</v>
      </c>
      <c r="AK53" s="722">
        <f t="shared" si="226"/>
        <v>0.06</v>
      </c>
      <c r="AL53" s="722"/>
    </row>
    <row r="54" spans="1:38" s="152" customFormat="1" outlineLevel="1" x14ac:dyDescent="0.2">
      <c r="B54" s="654" t="s">
        <v>123</v>
      </c>
      <c r="C54" s="286"/>
      <c r="D54" s="247">
        <v>0.04</v>
      </c>
      <c r="E54" s="247">
        <v>4.2999999999999997E-2</v>
      </c>
      <c r="F54" s="248">
        <v>7.0000000000000007E-2</v>
      </c>
      <c r="G54" s="247">
        <v>0.06</v>
      </c>
      <c r="H54" s="218"/>
      <c r="I54" s="247">
        <v>0.06</v>
      </c>
      <c r="J54" s="247">
        <v>-0.03</v>
      </c>
      <c r="K54" s="247">
        <v>-0.41</v>
      </c>
      <c r="L54" s="253">
        <f>(1+L52)*(1+L53)-1</f>
        <v>-0.15199999999999991</v>
      </c>
      <c r="M54" s="218"/>
      <c r="N54" s="253">
        <f>(1+N52)*(1+N53)-1</f>
        <v>2.2999999999999909E-2</v>
      </c>
      <c r="O54" s="253">
        <f t="shared" ref="O54:Q54" si="227">(1+O52)*(1+O53)-1</f>
        <v>0.10160000000000013</v>
      </c>
      <c r="P54" s="253">
        <f t="shared" si="227"/>
        <v>0.10160000000000013</v>
      </c>
      <c r="Q54" s="253">
        <f t="shared" si="227"/>
        <v>0.10240000000000005</v>
      </c>
      <c r="R54" s="218"/>
      <c r="S54" s="253">
        <f>(1+S52)*(1+S53)-1</f>
        <v>9.1800000000000104E-2</v>
      </c>
      <c r="T54" s="253">
        <f t="shared" ref="T54" si="228">(1+T52)*(1+T53)-1</f>
        <v>9.1800000000000104E-2</v>
      </c>
      <c r="U54" s="253">
        <f t="shared" ref="U54" si="229">(1+U52)*(1+U53)-1</f>
        <v>0.10210000000000008</v>
      </c>
      <c r="V54" s="253">
        <f t="shared" ref="V54" si="230">(1+V52)*(1+V53)-1</f>
        <v>8.1500000000000128E-2</v>
      </c>
      <c r="W54" s="218"/>
      <c r="X54" s="253">
        <f>(1+X52)*(1+X53)-1</f>
        <v>6.0000000000000053E-2</v>
      </c>
      <c r="Y54" s="253">
        <f t="shared" ref="Y54" si="231">(1+Y52)*(1+Y53)-1</f>
        <v>6.0000000000000053E-2</v>
      </c>
      <c r="Z54" s="253">
        <f t="shared" ref="Z54" si="232">(1+Z52)*(1+Z53)-1</f>
        <v>6.0000000000000053E-2</v>
      </c>
      <c r="AA54" s="253">
        <f t="shared" ref="AA54" si="233">(1+AA52)*(1+AA53)-1</f>
        <v>6.0000000000000053E-2</v>
      </c>
      <c r="AB54" s="218"/>
      <c r="AC54" s="253">
        <f>(1+AC52)*(1+AC53)-1</f>
        <v>6.0000000000000053E-2</v>
      </c>
      <c r="AD54" s="253">
        <f t="shared" ref="AD54" si="234">(1+AD52)*(1+AD53)-1</f>
        <v>6.0000000000000053E-2</v>
      </c>
      <c r="AE54" s="253">
        <f t="shared" ref="AE54" si="235">(1+AE52)*(1+AE53)-1</f>
        <v>6.0000000000000053E-2</v>
      </c>
      <c r="AF54" s="716">
        <f t="shared" ref="AF54" si="236">(1+AF52)*(1+AF53)-1</f>
        <v>6.0000000000000053E-2</v>
      </c>
      <c r="AG54" s="723"/>
      <c r="AH54" s="253">
        <f>(1+AH52)*(1+AH53)-1</f>
        <v>6.0000000000000053E-2</v>
      </c>
      <c r="AI54" s="253">
        <f t="shared" ref="AI54" si="237">(1+AI52)*(1+AI53)-1</f>
        <v>6.0000000000000053E-2</v>
      </c>
      <c r="AJ54" s="253">
        <f t="shared" ref="AJ54" si="238">(1+AJ52)*(1+AJ53)-1</f>
        <v>6.0000000000000053E-2</v>
      </c>
      <c r="AK54" s="716">
        <f t="shared" ref="AK54" si="239">(1+AK52)*(1+AK53)-1</f>
        <v>6.0000000000000053E-2</v>
      </c>
      <c r="AL54" s="723"/>
    </row>
    <row r="55" spans="1:38" s="137" customFormat="1" ht="18" outlineLevel="1" x14ac:dyDescent="0.35">
      <c r="B55" s="655" t="s">
        <v>154</v>
      </c>
      <c r="C55" s="656"/>
      <c r="D55" s="154">
        <v>84</v>
      </c>
      <c r="E55" s="154">
        <v>92</v>
      </c>
      <c r="F55" s="154">
        <v>128</v>
      </c>
      <c r="G55" s="154">
        <f>AVERAGE(D55:F55)</f>
        <v>101.33333333333333</v>
      </c>
      <c r="H55" s="214"/>
      <c r="I55" s="154">
        <v>111</v>
      </c>
      <c r="J55" s="154">
        <v>112</v>
      </c>
      <c r="K55" s="154">
        <v>111</v>
      </c>
      <c r="L55" s="154">
        <f>AVERAGE(G55,I55,J55,K55)</f>
        <v>108.83333333333333</v>
      </c>
      <c r="M55" s="388"/>
      <c r="N55" s="154">
        <f>AVERAGE(I55,J55,K55,L55)</f>
        <v>110.70833333333333</v>
      </c>
      <c r="O55" s="154">
        <f>AVERAGE(J55,K55,L55,N55)</f>
        <v>110.63541666666666</v>
      </c>
      <c r="P55" s="154">
        <f>AVERAGE(K55,L55,N55,O55)</f>
        <v>110.29427083333331</v>
      </c>
      <c r="Q55" s="154">
        <f>AVERAGE(L55,N55,O55,P55)</f>
        <v>110.11783854166666</v>
      </c>
      <c r="R55" s="388"/>
      <c r="S55" s="154">
        <f>AVERAGE(N55,O55,P55,Q55)</f>
        <v>110.43896484375</v>
      </c>
      <c r="T55" s="154">
        <f>AVERAGE(O55,P55,Q55,S55)</f>
        <v>110.37162272135416</v>
      </c>
      <c r="U55" s="154">
        <f>AVERAGE(P55,Q55,S55,T55)</f>
        <v>110.30567423502603</v>
      </c>
      <c r="V55" s="154">
        <f>AVERAGE(Q55,S55,T55,U55)</f>
        <v>110.30852508544922</v>
      </c>
      <c r="W55" s="388"/>
      <c r="X55" s="154">
        <f>AVERAGE(S55,T55,U55,V55)</f>
        <v>110.35619672139485</v>
      </c>
      <c r="Y55" s="154">
        <f>AVERAGE(T55,U55,V55,X55)</f>
        <v>110.33550469080606</v>
      </c>
      <c r="Z55" s="154">
        <f>AVERAGE(U55,V55,X55,Y55)</f>
        <v>110.32647518316904</v>
      </c>
      <c r="AA55" s="154">
        <f>AVERAGE(V55,X55,Y55,Z55)</f>
        <v>110.33167542020479</v>
      </c>
      <c r="AB55" s="388"/>
      <c r="AC55" s="154">
        <f>AVERAGE(X55,Y55,Z55,AA55)</f>
        <v>110.33746300389367</v>
      </c>
      <c r="AD55" s="154">
        <f>AVERAGE(Y55,Z55,AA55,AC55)</f>
        <v>110.3327795745184</v>
      </c>
      <c r="AE55" s="154">
        <f>AVERAGE(Z55,AA55,AC55,AD55)</f>
        <v>110.33209829544647</v>
      </c>
      <c r="AF55" s="710">
        <f>AVERAGE(AA55,AC55,AD55,AE55)</f>
        <v>110.33350407351584</v>
      </c>
      <c r="AG55" s="724"/>
      <c r="AH55" s="154">
        <f>AVERAGE(AC55,AD55,AE55,AF55)</f>
        <v>110.33396123684359</v>
      </c>
      <c r="AI55" s="154">
        <f>AVERAGE(AD55,AE55,AF55,AH55)</f>
        <v>110.33308579508108</v>
      </c>
      <c r="AJ55" s="154">
        <f>AVERAGE(AE55,AF55,AH55,AI55)</f>
        <v>110.33316235022176</v>
      </c>
      <c r="AK55" s="710">
        <f>AVERAGE(AF55,AH55,AI55,AJ55)</f>
        <v>110.33342836391557</v>
      </c>
      <c r="AL55" s="724"/>
    </row>
    <row r="56" spans="1:38" s="13" customFormat="1" outlineLevel="1" x14ac:dyDescent="0.2">
      <c r="A56" s="152"/>
      <c r="B56" s="302" t="s">
        <v>134</v>
      </c>
      <c r="C56" s="303"/>
      <c r="D56" s="89">
        <v>4092.2</v>
      </c>
      <c r="E56" s="89">
        <v>3849.6</v>
      </c>
      <c r="F56" s="89">
        <v>4182.2</v>
      </c>
      <c r="G56" s="89">
        <v>4164.2</v>
      </c>
      <c r="H56" s="125">
        <f>SUM(D56:G56)</f>
        <v>16288.2</v>
      </c>
      <c r="I56" s="89">
        <v>4471</v>
      </c>
      <c r="J56" s="89">
        <v>3863.6</v>
      </c>
      <c r="K56" s="142">
        <v>2568.9</v>
      </c>
      <c r="L56" s="142">
        <f>(L50*L51)+L55</f>
        <v>3655.3708801491666</v>
      </c>
      <c r="M56" s="216">
        <f>SUM(I56:L56)</f>
        <v>14558.870880149167</v>
      </c>
      <c r="N56" s="142">
        <f t="shared" ref="N56:Q56" si="240">(N50*N51)+N55</f>
        <v>4681.7614956241414</v>
      </c>
      <c r="O56" s="142">
        <f t="shared" si="240"/>
        <v>4359.6201211954412</v>
      </c>
      <c r="P56" s="142">
        <f t="shared" si="240"/>
        <v>2861.6100910287023</v>
      </c>
      <c r="Q56" s="142">
        <f t="shared" si="240"/>
        <v>4062.93967204808</v>
      </c>
      <c r="R56" s="216">
        <f>SUM(N56:Q56)</f>
        <v>15965.931379896365</v>
      </c>
      <c r="S56" s="142">
        <f t="shared" ref="S56" si="241">(S50*S51)+S55</f>
        <v>5151.9180944532227</v>
      </c>
      <c r="T56" s="142">
        <f t="shared" ref="T56" si="242">(T50*T51)+T55</f>
        <v>4793.9527216522902</v>
      </c>
      <c r="U56" s="142">
        <f t="shared" ref="U56" si="243">(U50*U51)+U55</f>
        <v>3189.3370507341115</v>
      </c>
      <c r="V56" s="142">
        <f t="shared" ref="V56" si="244">(V50*V51)+V55</f>
        <v>4438.8205835262779</v>
      </c>
      <c r="W56" s="216">
        <f>SUM(S56:V56)</f>
        <v>17574.028450365902</v>
      </c>
      <c r="X56" s="142">
        <f t="shared" ref="X56" si="245">(X50*X51)+X55</f>
        <v>5517.6003930221295</v>
      </c>
      <c r="Y56" s="142">
        <f t="shared" ref="Y56" si="246">(Y50*Y51)+Y55</f>
        <v>5135.7514776737844</v>
      </c>
      <c r="Z56" s="142">
        <f t="shared" ref="Z56" si="247">(Z50*Z51)+Z55</f>
        <v>3415.2319338181546</v>
      </c>
      <c r="AA56" s="142">
        <f t="shared" ref="AA56" si="248">(AA50*AA51)+AA55</f>
        <v>4750.9213103796292</v>
      </c>
      <c r="AB56" s="216">
        <f>SUM(X56:AA56)</f>
        <v>18819.505114893698</v>
      </c>
      <c r="AC56" s="142">
        <f t="shared" ref="AC56" si="249">(AC50*AC51)+AC55</f>
        <v>5905.8683131292555</v>
      </c>
      <c r="AD56" s="142">
        <f t="shared" ref="AD56" si="250">(AD50*AD51)+AD55</f>
        <v>5494.9072022218334</v>
      </c>
      <c r="AE56" s="142">
        <f t="shared" ref="AE56" si="251">(AE50*AE51)+AE55</f>
        <v>3650.3104650624737</v>
      </c>
      <c r="AF56" s="714">
        <f t="shared" ref="AF56" si="252">(AF50*AF51)+AF55</f>
        <v>5079.9135419768445</v>
      </c>
      <c r="AG56" s="725">
        <f>SUM(AC56:AF56)</f>
        <v>20130.999522390404</v>
      </c>
      <c r="AH56" s="142">
        <f t="shared" ref="AH56" si="253">(AH50*AH51)+AH55</f>
        <v>6314.1041900635782</v>
      </c>
      <c r="AI56" s="142">
        <f t="shared" ref="AI56" si="254">(AI50*AI51)+AI55</f>
        <v>5873.2282031804416</v>
      </c>
      <c r="AJ56" s="142">
        <f t="shared" ref="AJ56" si="255">(AJ50*AJ51)+AJ55</f>
        <v>3898.988559135013</v>
      </c>
      <c r="AK56" s="714">
        <f t="shared" ref="AK56" si="256">(AK50*AK51)+AK55</f>
        <v>5428.9742626065308</v>
      </c>
      <c r="AL56" s="725">
        <f>SUM(AH56:AK56)</f>
        <v>21515.295214985563</v>
      </c>
    </row>
    <row r="57" spans="1:38" s="13" customFormat="1" outlineLevel="1" x14ac:dyDescent="0.2">
      <c r="A57" s="152"/>
      <c r="B57" s="96" t="s">
        <v>129</v>
      </c>
      <c r="C57" s="52"/>
      <c r="D57" s="100">
        <f>+D56/D48</f>
        <v>0.41855374859363809</v>
      </c>
      <c r="E57" s="100">
        <f t="shared" ref="E57" si="257">+E56/E48</f>
        <v>0.39378068739770866</v>
      </c>
      <c r="F57" s="100">
        <f t="shared" ref="F57" si="258">+F56/F48</f>
        <v>0.42428730851171753</v>
      </c>
      <c r="G57" s="100">
        <f t="shared" ref="G57" si="259">+G56/G48</f>
        <v>0.4175055143372769</v>
      </c>
      <c r="H57" s="91"/>
      <c r="I57" s="100">
        <f t="shared" ref="I57:J57" si="260">+I56/I48</f>
        <v>0.44620758483033934</v>
      </c>
      <c r="J57" s="100">
        <f t="shared" si="260"/>
        <v>0.38439956223261368</v>
      </c>
      <c r="K57" s="100">
        <f t="shared" ref="K57:Q57" si="261">+K56/K48</f>
        <v>0.25645402815214136</v>
      </c>
      <c r="L57" s="100">
        <f>+L56/L48</f>
        <v>0.36249215392197209</v>
      </c>
      <c r="M57" s="703"/>
      <c r="N57" s="701">
        <f t="shared" si="261"/>
        <v>0.46253324398578755</v>
      </c>
      <c r="O57" s="100">
        <f t="shared" si="261"/>
        <v>0.42962504273914176</v>
      </c>
      <c r="P57" s="100">
        <f t="shared" si="261"/>
        <v>0.28133263770820321</v>
      </c>
      <c r="Q57" s="100">
        <f t="shared" si="261"/>
        <v>0.3979263227492465</v>
      </c>
      <c r="R57" s="703"/>
      <c r="S57" s="100">
        <f t="shared" ref="S57:V57" si="262">+S56/S48</f>
        <v>0.50302604592676381</v>
      </c>
      <c r="T57" s="100">
        <f t="shared" si="262"/>
        <v>0.46670943517616043</v>
      </c>
      <c r="U57" s="100">
        <f t="shared" si="262"/>
        <v>0.30964995197233436</v>
      </c>
      <c r="V57" s="100">
        <f t="shared" si="262"/>
        <v>0.42983444736755633</v>
      </c>
      <c r="W57" s="703"/>
      <c r="X57" s="100">
        <f t="shared" ref="X57:AA57" si="263">+X56/X48</f>
        <v>0.53279530991655477</v>
      </c>
      <c r="Y57" s="100">
        <f t="shared" si="263"/>
        <v>0.49463327750461067</v>
      </c>
      <c r="Z57" s="100">
        <f t="shared" si="263"/>
        <v>0.32813692137687467</v>
      </c>
      <c r="AA57" s="100">
        <f t="shared" si="263"/>
        <v>0.45537669913096362</v>
      </c>
      <c r="AB57" s="703"/>
      <c r="AC57" s="100">
        <f t="shared" ref="AC57:AF57" si="264">+AC56/AC48</f>
        <v>0.56472536028144693</v>
      </c>
      <c r="AD57" s="100">
        <f t="shared" si="264"/>
        <v>0.52415076902294566</v>
      </c>
      <c r="AE57" s="100">
        <f t="shared" si="264"/>
        <v>0.34736500860267433</v>
      </c>
      <c r="AF57" s="711">
        <f t="shared" si="264"/>
        <v>0.48225215781543718</v>
      </c>
      <c r="AG57" s="711"/>
      <c r="AH57" s="100">
        <f t="shared" ref="AH57:AK57" si="265">+AH56/AH48</f>
        <v>0.59798744652926872</v>
      </c>
      <c r="AI57" s="100">
        <f t="shared" si="265"/>
        <v>0.55490690903343964</v>
      </c>
      <c r="AJ57" s="100">
        <f t="shared" si="265"/>
        <v>0.36750498961606892</v>
      </c>
      <c r="AK57" s="711">
        <f t="shared" si="265"/>
        <v>0.51050378615346648</v>
      </c>
      <c r="AL57" s="711"/>
    </row>
    <row r="58" spans="1:38" s="92" customFormat="1" outlineLevel="1" x14ac:dyDescent="0.2">
      <c r="A58" s="156"/>
      <c r="B58" s="96" t="s">
        <v>127</v>
      </c>
      <c r="C58" s="97"/>
      <c r="D58" s="94">
        <f>ROUND((+D56-D55-(D50*D51)),0)</f>
        <v>0</v>
      </c>
      <c r="E58" s="98">
        <f>ROUND((+E56-E55-(E50*E51)),0)</f>
        <v>0</v>
      </c>
      <c r="F58" s="159">
        <f>ROUND((+F56-F55-(F50*F51)),0)</f>
        <v>0</v>
      </c>
      <c r="G58" s="98">
        <f>ROUND((+G56-G55-(G50*G51)),0)</f>
        <v>0</v>
      </c>
      <c r="H58" s="99"/>
      <c r="I58" s="98">
        <f>ROUND((+I56-I55-(I50*I51)),0)</f>
        <v>0</v>
      </c>
      <c r="J58" s="98">
        <f>ROUND((+J56-J55-(J50*J51)),0)</f>
        <v>0</v>
      </c>
      <c r="K58" s="98">
        <f>ROUND((+K56-K55-(K50*K51)),0)</f>
        <v>0</v>
      </c>
      <c r="L58" s="98">
        <f>ROUND((+L56-L55-(L50*L51)),0)</f>
        <v>0</v>
      </c>
      <c r="M58" s="704"/>
      <c r="N58" s="702">
        <f t="shared" ref="N58:Q58" si="266">ROUND((+N56-N55-(N50*N51)),0)</f>
        <v>0</v>
      </c>
      <c r="O58" s="98">
        <f t="shared" si="266"/>
        <v>0</v>
      </c>
      <c r="P58" s="98">
        <f t="shared" si="266"/>
        <v>0</v>
      </c>
      <c r="Q58" s="98">
        <f t="shared" si="266"/>
        <v>0</v>
      </c>
      <c r="R58" s="773"/>
      <c r="S58" s="98">
        <f t="shared" ref="S58:V58" si="267">ROUND((+S56-S55-(S50*S51)),0)</f>
        <v>0</v>
      </c>
      <c r="T58" s="98">
        <f t="shared" si="267"/>
        <v>0</v>
      </c>
      <c r="U58" s="98">
        <f t="shared" si="267"/>
        <v>0</v>
      </c>
      <c r="V58" s="98">
        <f t="shared" si="267"/>
        <v>0</v>
      </c>
      <c r="W58" s="773"/>
      <c r="X58" s="98">
        <f t="shared" ref="X58:AA58" si="268">ROUND((+X56-X55-(X50*X51)),0)</f>
        <v>0</v>
      </c>
      <c r="Y58" s="98">
        <f t="shared" si="268"/>
        <v>0</v>
      </c>
      <c r="Z58" s="98">
        <f t="shared" si="268"/>
        <v>0</v>
      </c>
      <c r="AA58" s="98">
        <f t="shared" si="268"/>
        <v>0</v>
      </c>
      <c r="AB58" s="773"/>
      <c r="AC58" s="98">
        <f t="shared" ref="AC58:AF58" si="269">ROUND((+AC56-AC55-(AC50*AC51)),0)</f>
        <v>0</v>
      </c>
      <c r="AD58" s="98">
        <f t="shared" si="269"/>
        <v>0</v>
      </c>
      <c r="AE58" s="98">
        <f t="shared" si="269"/>
        <v>0</v>
      </c>
      <c r="AF58" s="760">
        <f t="shared" si="269"/>
        <v>0</v>
      </c>
      <c r="AG58" s="712"/>
      <c r="AH58" s="98">
        <f t="shared" ref="AH58:AK58" si="270">ROUND((+AH56-AH55-(AH50*AH51)),0)</f>
        <v>0</v>
      </c>
      <c r="AI58" s="98">
        <f t="shared" si="270"/>
        <v>0</v>
      </c>
      <c r="AJ58" s="98">
        <f t="shared" si="270"/>
        <v>0</v>
      </c>
      <c r="AK58" s="760">
        <f t="shared" si="270"/>
        <v>0</v>
      </c>
      <c r="AL58" s="712"/>
    </row>
    <row r="59" spans="1:38" s="13" customFormat="1" outlineLevel="1" x14ac:dyDescent="0.2">
      <c r="A59" s="152"/>
      <c r="B59" s="333" t="s">
        <v>120</v>
      </c>
      <c r="C59" s="334"/>
      <c r="D59" s="101">
        <v>7876</v>
      </c>
      <c r="E59" s="101">
        <v>7943</v>
      </c>
      <c r="F59" s="170">
        <v>7996</v>
      </c>
      <c r="G59" s="101">
        <v>8093</v>
      </c>
      <c r="H59" s="102"/>
      <c r="I59" s="101">
        <v>8183</v>
      </c>
      <c r="J59" s="101">
        <v>8220</v>
      </c>
      <c r="K59" s="101">
        <v>8218</v>
      </c>
      <c r="L59" s="170">
        <f>K59+L60</f>
        <v>8288</v>
      </c>
      <c r="M59" s="389"/>
      <c r="N59" s="170">
        <f>L59+N60</f>
        <v>8336.75</v>
      </c>
      <c r="O59" s="170">
        <f t="shared" ref="O59:Q59" si="271">N59+O60</f>
        <v>8375.1875</v>
      </c>
      <c r="P59" s="170">
        <f t="shared" si="271"/>
        <v>8413.984375</v>
      </c>
      <c r="Q59" s="170">
        <f t="shared" si="271"/>
        <v>8462.98046875</v>
      </c>
      <c r="R59" s="389"/>
      <c r="S59" s="170">
        <f>Q59+S60</f>
        <v>8506.7255859375</v>
      </c>
      <c r="T59" s="170">
        <f t="shared" ref="T59" si="272">S59+T60</f>
        <v>8549.219482421875</v>
      </c>
      <c r="U59" s="170">
        <f t="shared" ref="U59" si="273">T59+U60</f>
        <v>8592.7274780273438</v>
      </c>
      <c r="V59" s="170">
        <f t="shared" ref="V59" si="274">U59+V60</f>
        <v>8637.4132537841797</v>
      </c>
      <c r="W59" s="389"/>
      <c r="X59" s="170">
        <f>V59+X60</f>
        <v>8681.0214500427246</v>
      </c>
      <c r="Y59" s="170">
        <f t="shared" ref="Y59" si="275">X59+Y60</f>
        <v>8724.5954160690308</v>
      </c>
      <c r="Z59" s="170">
        <f t="shared" ref="Z59" si="276">Y59+Z60</f>
        <v>8768.4393994808197</v>
      </c>
      <c r="AA59" s="170">
        <f t="shared" ref="AA59" si="277">Z59+AA60</f>
        <v>8812.3673798441887</v>
      </c>
      <c r="AB59" s="389"/>
      <c r="AC59" s="170">
        <f>AA59+AC60</f>
        <v>8856.1059113591909</v>
      </c>
      <c r="AD59" s="170">
        <f t="shared" ref="AD59" si="278">AC59+AD60</f>
        <v>8899.8770266883075</v>
      </c>
      <c r="AE59" s="170">
        <f t="shared" ref="AE59" si="279">AD59+AE60</f>
        <v>8943.6974293431267</v>
      </c>
      <c r="AF59" s="761">
        <f t="shared" ref="AF59" si="280">AE59+AF60</f>
        <v>8987.5119368087035</v>
      </c>
      <c r="AG59" s="726"/>
      <c r="AH59" s="170">
        <f>AF59+AH60</f>
        <v>9031.2980760498322</v>
      </c>
      <c r="AI59" s="170">
        <f t="shared" ref="AI59" si="281">AH59+AI60</f>
        <v>9075.0961172224925</v>
      </c>
      <c r="AJ59" s="170">
        <f t="shared" ref="AJ59" si="282">AI59+AJ60</f>
        <v>9118.9008898560387</v>
      </c>
      <c r="AK59" s="761">
        <f t="shared" ref="AK59" si="283">AJ59+AK60</f>
        <v>9162.7017549842676</v>
      </c>
      <c r="AL59" s="726"/>
    </row>
    <row r="60" spans="1:38" s="137" customFormat="1" outlineLevel="1" x14ac:dyDescent="0.2">
      <c r="B60" s="651" t="s">
        <v>128</v>
      </c>
      <c r="C60" s="282"/>
      <c r="D60" s="139">
        <f>+D59-7770</f>
        <v>106</v>
      </c>
      <c r="E60" s="139">
        <f>E59-D59</f>
        <v>67</v>
      </c>
      <c r="F60" s="139">
        <f t="shared" ref="F60:G60" si="284">F59-E59</f>
        <v>53</v>
      </c>
      <c r="G60" s="139">
        <f t="shared" si="284"/>
        <v>97</v>
      </c>
      <c r="H60" s="177">
        <f>+SUM(D60:G60)</f>
        <v>323</v>
      </c>
      <c r="I60" s="139">
        <f>I59-G59</f>
        <v>90</v>
      </c>
      <c r="J60" s="139">
        <f t="shared" ref="J60:K60" si="285">J59-I59</f>
        <v>37</v>
      </c>
      <c r="K60" s="139">
        <f t="shared" si="285"/>
        <v>-2</v>
      </c>
      <c r="L60" s="139">
        <v>70</v>
      </c>
      <c r="M60" s="177">
        <f>SUM(I60:L60)</f>
        <v>195</v>
      </c>
      <c r="N60" s="139">
        <f>AVERAGE(I60,J60,K60,L60)</f>
        <v>48.75</v>
      </c>
      <c r="O60" s="139">
        <f>AVERAGE(J60,K60,L60,N60)</f>
        <v>38.4375</v>
      </c>
      <c r="P60" s="139">
        <f>AVERAGE(K60,L60,N60,O60)</f>
        <v>38.796875</v>
      </c>
      <c r="Q60" s="139">
        <f>AVERAGE(L60,N60,O60,P60)</f>
        <v>48.99609375</v>
      </c>
      <c r="R60" s="177">
        <f>SUM(N60:Q60)</f>
        <v>174.98046875</v>
      </c>
      <c r="S60" s="139">
        <f>AVERAGE(N60,O60,P60,Q60)</f>
        <v>43.7451171875</v>
      </c>
      <c r="T60" s="139">
        <f>AVERAGE(O60,P60,Q60,S60)</f>
        <v>42.493896484375</v>
      </c>
      <c r="U60" s="139">
        <f>AVERAGE(P60,Q60,S60,T60)</f>
        <v>43.50799560546875</v>
      </c>
      <c r="V60" s="139">
        <f>AVERAGE(Q60,S60,T60,U60)</f>
        <v>44.685775756835938</v>
      </c>
      <c r="W60" s="177">
        <f>SUM(S60:V60)</f>
        <v>174.43278503417969</v>
      </c>
      <c r="X60" s="139">
        <f>AVERAGE(S60,T60,U60,V60)</f>
        <v>43.608196258544922</v>
      </c>
      <c r="Y60" s="139">
        <f>AVERAGE(T60,U60,V60,X60)</f>
        <v>43.573966026306152</v>
      </c>
      <c r="Z60" s="139">
        <f>AVERAGE(U60,V60,X60,Y60)</f>
        <v>43.84398341178894</v>
      </c>
      <c r="AA60" s="139">
        <f>AVERAGE(V60,X60,Y60,Z60)</f>
        <v>43.927980363368988</v>
      </c>
      <c r="AB60" s="177">
        <f>SUM(X60:AA60)</f>
        <v>174.954126060009</v>
      </c>
      <c r="AC60" s="139">
        <f>AVERAGE(X60,Y60,Z60,AA60)</f>
        <v>43.738531515002251</v>
      </c>
      <c r="AD60" s="139">
        <f>AVERAGE(Y60,Z60,AA60,AC60)</f>
        <v>43.771115329116583</v>
      </c>
      <c r="AE60" s="139">
        <f>AVERAGE(Z60,AA60,AC60,AD60)</f>
        <v>43.820402654819191</v>
      </c>
      <c r="AF60" s="708">
        <f>AVERAGE(AA60,AC60,AD60,AE60)</f>
        <v>43.814507465576753</v>
      </c>
      <c r="AG60" s="719">
        <f>SUM(AC60:AF60)</f>
        <v>175.14455696451478</v>
      </c>
      <c r="AH60" s="139">
        <f>AVERAGE(AC60,AD60,AE60,AF60)</f>
        <v>43.786139241128694</v>
      </c>
      <c r="AI60" s="139">
        <f>AVERAGE(AD60,AE60,AF60,AH60)</f>
        <v>43.798041172660305</v>
      </c>
      <c r="AJ60" s="139">
        <f>AVERAGE(AE60,AF60,AH60,AI60)</f>
        <v>43.804772633546236</v>
      </c>
      <c r="AK60" s="708">
        <f>AVERAGE(AF60,AH60,AI60,AJ60)</f>
        <v>43.800865128227997</v>
      </c>
      <c r="AL60" s="719">
        <f>SUM(AH60:AK60)</f>
        <v>175.18981817556323</v>
      </c>
    </row>
    <row r="61" spans="1:38" s="137" customFormat="1" outlineLevel="1" x14ac:dyDescent="0.2">
      <c r="B61" s="651" t="s">
        <v>131</v>
      </c>
      <c r="C61" s="282"/>
      <c r="D61" s="139">
        <f>AVERAGE(D59,7770)</f>
        <v>7823</v>
      </c>
      <c r="E61" s="139">
        <f>AVERAGE(E59,D59)</f>
        <v>7909.5</v>
      </c>
      <c r="F61" s="139">
        <f t="shared" ref="F61:G61" si="286">AVERAGE(F59,E59)</f>
        <v>7969.5</v>
      </c>
      <c r="G61" s="139">
        <f t="shared" si="286"/>
        <v>8044.5</v>
      </c>
      <c r="H61" s="177"/>
      <c r="I61" s="139">
        <f>AVERAGE(I59,G59)</f>
        <v>8138</v>
      </c>
      <c r="J61" s="139">
        <f>AVERAGE(J59,I59)</f>
        <v>8201.5</v>
      </c>
      <c r="K61" s="139">
        <f t="shared" ref="K61" si="287">AVERAGE(K59,J59)</f>
        <v>8219</v>
      </c>
      <c r="L61" s="139">
        <f>AVERAGE(K59,L59)</f>
        <v>8253</v>
      </c>
      <c r="M61" s="390"/>
      <c r="N61" s="139">
        <f>AVERAGE(L59,N59)</f>
        <v>8312.375</v>
      </c>
      <c r="O61" s="139">
        <f t="shared" ref="O61:Q61" si="288">AVERAGE(N59,O59)</f>
        <v>8355.96875</v>
      </c>
      <c r="P61" s="139">
        <f t="shared" si="288"/>
        <v>8394.5859375</v>
      </c>
      <c r="Q61" s="139">
        <f t="shared" si="288"/>
        <v>8438.482421875</v>
      </c>
      <c r="R61" s="390"/>
      <c r="S61" s="139">
        <f>AVERAGE(Q59,S59)</f>
        <v>8484.85302734375</v>
      </c>
      <c r="T61" s="139">
        <f t="shared" ref="T61:V61" si="289">AVERAGE(S59,T59)</f>
        <v>8527.9725341796875</v>
      </c>
      <c r="U61" s="139">
        <f t="shared" si="289"/>
        <v>8570.9734802246094</v>
      </c>
      <c r="V61" s="139">
        <f t="shared" si="289"/>
        <v>8615.0703659057617</v>
      </c>
      <c r="W61" s="390"/>
      <c r="X61" s="139">
        <f>AVERAGE(V59,X59)</f>
        <v>8659.2173519134521</v>
      </c>
      <c r="Y61" s="139">
        <f t="shared" ref="Y61:AA61" si="290">AVERAGE(X59,Y59)</f>
        <v>8702.8084330558777</v>
      </c>
      <c r="Z61" s="139">
        <f t="shared" si="290"/>
        <v>8746.5174077749252</v>
      </c>
      <c r="AA61" s="139">
        <f t="shared" si="290"/>
        <v>8790.4033896625042</v>
      </c>
      <c r="AB61" s="390"/>
      <c r="AC61" s="139">
        <f>AVERAGE(AA59,AC59)</f>
        <v>8834.2366456016898</v>
      </c>
      <c r="AD61" s="139">
        <f t="shared" ref="AD61:AF61" si="291">AVERAGE(AC59,AD59)</f>
        <v>8877.9914690237492</v>
      </c>
      <c r="AE61" s="139">
        <f t="shared" si="291"/>
        <v>8921.7872280157171</v>
      </c>
      <c r="AF61" s="708">
        <f t="shared" si="291"/>
        <v>8965.6046830759151</v>
      </c>
      <c r="AG61" s="727"/>
      <c r="AH61" s="139">
        <f>AVERAGE(AF59,AH59)</f>
        <v>9009.4050064292678</v>
      </c>
      <c r="AI61" s="139">
        <f t="shared" ref="AI61:AK61" si="292">AVERAGE(AH59,AI59)</f>
        <v>9053.1970966361623</v>
      </c>
      <c r="AJ61" s="139">
        <f t="shared" si="292"/>
        <v>9096.9985035392656</v>
      </c>
      <c r="AK61" s="708">
        <f t="shared" si="292"/>
        <v>9140.8013224201532</v>
      </c>
      <c r="AL61" s="727"/>
    </row>
    <row r="62" spans="1:38" s="137" customFormat="1" outlineLevel="1" x14ac:dyDescent="0.2">
      <c r="B62" s="651" t="s">
        <v>130</v>
      </c>
      <c r="C62" s="282"/>
      <c r="D62" s="163">
        <f>+D63/D61</f>
        <v>6.5780391154288645E-2</v>
      </c>
      <c r="E62" s="163">
        <f>+E63/E61</f>
        <v>5.8549845122953414E-2</v>
      </c>
      <c r="F62" s="163">
        <f>+F63/F61</f>
        <v>6.2274923144488362E-2</v>
      </c>
      <c r="G62" s="163">
        <f t="shared" ref="G62:K62" si="293">+G63/G61</f>
        <v>6.016533034992852E-2</v>
      </c>
      <c r="H62" s="199"/>
      <c r="I62" s="163">
        <f t="shared" si="293"/>
        <v>6.6023593020398133E-2</v>
      </c>
      <c r="J62" s="163">
        <f t="shared" si="293"/>
        <v>5.6599402548314331E-2</v>
      </c>
      <c r="K62" s="163">
        <f>+K63/K61</f>
        <v>2.8653120817617714E-2</v>
      </c>
      <c r="L62" s="163">
        <v>5.5E-2</v>
      </c>
      <c r="M62" s="391"/>
      <c r="N62" s="163">
        <v>6.5000000000000002E-2</v>
      </c>
      <c r="O62" s="163">
        <v>0.06</v>
      </c>
      <c r="P62" s="163">
        <v>6.5000000000000002E-2</v>
      </c>
      <c r="Q62" s="163">
        <v>0.06</v>
      </c>
      <c r="R62" s="391"/>
      <c r="S62" s="163">
        <f>N62*1.02</f>
        <v>6.6299999999999998E-2</v>
      </c>
      <c r="T62" s="163">
        <f t="shared" ref="T62:V62" si="294">O62*1.02</f>
        <v>6.1199999999999997E-2</v>
      </c>
      <c r="U62" s="163">
        <f t="shared" si="294"/>
        <v>6.6299999999999998E-2</v>
      </c>
      <c r="V62" s="163">
        <f t="shared" si="294"/>
        <v>6.1199999999999997E-2</v>
      </c>
      <c r="W62" s="391"/>
      <c r="X62" s="163">
        <f>S62*1.02</f>
        <v>6.7626000000000006E-2</v>
      </c>
      <c r="Y62" s="163">
        <f t="shared" ref="Y62" si="295">T62*1.02</f>
        <v>6.2424E-2</v>
      </c>
      <c r="Z62" s="163">
        <f t="shared" ref="Z62" si="296">U62*1.02</f>
        <v>6.7626000000000006E-2</v>
      </c>
      <c r="AA62" s="163">
        <f t="shared" ref="AA62" si="297">V62*1.02</f>
        <v>6.2424E-2</v>
      </c>
      <c r="AB62" s="391"/>
      <c r="AC62" s="163">
        <f>X62*1.02</f>
        <v>6.8978520000000001E-2</v>
      </c>
      <c r="AD62" s="163">
        <f t="shared" ref="AD62" si="298">Y62*1.02</f>
        <v>6.3672480000000004E-2</v>
      </c>
      <c r="AE62" s="163">
        <f t="shared" ref="AE62" si="299">Z62*1.02</f>
        <v>6.8978520000000001E-2</v>
      </c>
      <c r="AF62" s="762">
        <f t="shared" ref="AF62" si="300">AA62*1.02</f>
        <v>6.3672480000000004E-2</v>
      </c>
      <c r="AG62" s="728"/>
      <c r="AH62" s="163">
        <f>AC62*1.02</f>
        <v>7.0358090400000003E-2</v>
      </c>
      <c r="AI62" s="163">
        <f t="shared" ref="AI62" si="301">AD62*1.02</f>
        <v>6.4945929600000007E-2</v>
      </c>
      <c r="AJ62" s="163">
        <f t="shared" ref="AJ62" si="302">AE62*1.02</f>
        <v>7.0358090400000003E-2</v>
      </c>
      <c r="AK62" s="762">
        <f t="shared" ref="AK62" si="303">AF62*1.02</f>
        <v>6.4945929600000007E-2</v>
      </c>
      <c r="AL62" s="728"/>
    </row>
    <row r="63" spans="1:38" s="152" customFormat="1" outlineLevel="1" x14ac:dyDescent="0.2">
      <c r="B63" s="658" t="s">
        <v>133</v>
      </c>
      <c r="C63" s="659"/>
      <c r="D63" s="164">
        <v>514.6</v>
      </c>
      <c r="E63" s="164">
        <v>463.1</v>
      </c>
      <c r="F63" s="164">
        <v>496.3</v>
      </c>
      <c r="G63" s="164">
        <v>484</v>
      </c>
      <c r="H63" s="249"/>
      <c r="I63" s="164">
        <v>537.29999999999995</v>
      </c>
      <c r="J63" s="164">
        <v>464.2</v>
      </c>
      <c r="K63" s="164">
        <v>235.5</v>
      </c>
      <c r="L63" s="164">
        <f>L62*L61</f>
        <v>453.91500000000002</v>
      </c>
      <c r="M63" s="705"/>
      <c r="N63" s="164">
        <f t="shared" ref="N63:Q63" si="304">N62*N61</f>
        <v>540.30437500000005</v>
      </c>
      <c r="O63" s="164">
        <f t="shared" si="304"/>
        <v>501.35812499999997</v>
      </c>
      <c r="P63" s="164">
        <f t="shared" si="304"/>
        <v>545.64808593750001</v>
      </c>
      <c r="Q63" s="164">
        <f t="shared" si="304"/>
        <v>506.30894531249999</v>
      </c>
      <c r="R63" s="705"/>
      <c r="S63" s="164">
        <f t="shared" ref="S63" si="305">S62*S61</f>
        <v>562.54575571289058</v>
      </c>
      <c r="T63" s="164">
        <f t="shared" ref="T63" si="306">T62*T61</f>
        <v>521.9119190917969</v>
      </c>
      <c r="U63" s="164">
        <f t="shared" ref="U63" si="307">U62*U61</f>
        <v>568.25554173889157</v>
      </c>
      <c r="V63" s="164">
        <f t="shared" ref="V63" si="308">V62*V61</f>
        <v>527.24230639343261</v>
      </c>
      <c r="W63" s="705"/>
      <c r="X63" s="164">
        <f t="shared" ref="X63" si="309">X62*X61</f>
        <v>585.5882326404992</v>
      </c>
      <c r="Y63" s="164">
        <f t="shared" ref="Y63" si="310">Y62*Y61</f>
        <v>543.26411362508009</v>
      </c>
      <c r="Z63" s="164">
        <f t="shared" ref="Z63" si="311">Z62*Z61</f>
        <v>591.49198621818709</v>
      </c>
      <c r="AA63" s="164">
        <f t="shared" ref="AA63" si="312">AA62*AA61</f>
        <v>548.73214119629222</v>
      </c>
      <c r="AB63" s="705"/>
      <c r="AC63" s="164">
        <f t="shared" ref="AC63" si="313">AC62*AC61</f>
        <v>609.37256914336911</v>
      </c>
      <c r="AD63" s="164">
        <f t="shared" ref="AD63" si="314">AD62*AD61</f>
        <v>565.28373425158532</v>
      </c>
      <c r="AE63" s="164">
        <f t="shared" ref="AE63" si="315">AE62*AE61</f>
        <v>615.41167874342671</v>
      </c>
      <c r="AF63" s="713">
        <f t="shared" ref="AF63" si="316">AF62*AF61</f>
        <v>570.86228487105757</v>
      </c>
      <c r="AG63" s="713"/>
      <c r="AH63" s="164">
        <f t="shared" ref="AH63" si="317">AH62*AH61</f>
        <v>633.88453189256302</v>
      </c>
      <c r="AI63" s="164">
        <f t="shared" ref="AI63" si="318">AI62*AI61</f>
        <v>587.9683012930567</v>
      </c>
      <c r="AJ63" s="164">
        <f t="shared" ref="AJ63" si="319">AJ62*AJ61</f>
        <v>640.04744308068041</v>
      </c>
      <c r="AK63" s="713">
        <f t="shared" ref="AK63" si="320">AK62*AK61</f>
        <v>593.6578391734862</v>
      </c>
      <c r="AL63" s="713"/>
    </row>
    <row r="64" spans="1:38" s="152" customFormat="1" outlineLevel="1" x14ac:dyDescent="0.2">
      <c r="B64" s="339" t="s">
        <v>132</v>
      </c>
      <c r="C64" s="340"/>
      <c r="D64" s="142">
        <v>5.7</v>
      </c>
      <c r="E64" s="142">
        <v>1.4</v>
      </c>
      <c r="F64" s="142">
        <v>2.6</v>
      </c>
      <c r="G64" s="142">
        <v>3.2</v>
      </c>
      <c r="H64" s="250"/>
      <c r="I64" s="142">
        <v>2.6</v>
      </c>
      <c r="J64" s="142">
        <v>2.2000000000000002</v>
      </c>
      <c r="K64" s="142">
        <v>1.1000000000000001</v>
      </c>
      <c r="L64" s="142">
        <f>G64*(1+L65)</f>
        <v>5.3440000000000003</v>
      </c>
      <c r="M64" s="158"/>
      <c r="N64" s="142">
        <f t="shared" ref="N64" si="321">I64*(1+N65)</f>
        <v>4.55</v>
      </c>
      <c r="O64" s="142">
        <f t="shared" ref="O64" si="322">J64*(1+O65)</f>
        <v>3.8500000000000005</v>
      </c>
      <c r="P64" s="142">
        <f t="shared" ref="P64" si="323">K64*(1+P65)</f>
        <v>1.9250000000000003</v>
      </c>
      <c r="Q64" s="142">
        <f t="shared" ref="Q64" si="324">L64*(1+Q65)</f>
        <v>8.016</v>
      </c>
      <c r="R64" s="158"/>
      <c r="S64" s="142">
        <f t="shared" ref="S64" si="325">N64*(1+S65)</f>
        <v>5.6875</v>
      </c>
      <c r="T64" s="142">
        <f t="shared" ref="T64" si="326">O64*(1+T65)</f>
        <v>4.8125000000000009</v>
      </c>
      <c r="U64" s="142">
        <f t="shared" ref="U64" si="327">P64*(1+U65)</f>
        <v>2.4062500000000004</v>
      </c>
      <c r="V64" s="142">
        <f t="shared" ref="V64" si="328">Q64*(1+V65)</f>
        <v>10.02</v>
      </c>
      <c r="W64" s="158"/>
      <c r="X64" s="142">
        <f t="shared" ref="X64" si="329">S64*(1+X65)</f>
        <v>6.2562500000000005</v>
      </c>
      <c r="Y64" s="142">
        <f t="shared" ref="Y64" si="330">T64*(1+Y65)</f>
        <v>5.2937500000000011</v>
      </c>
      <c r="Z64" s="142">
        <f t="shared" ref="Z64" si="331">U64*(1+Z65)</f>
        <v>2.6468750000000005</v>
      </c>
      <c r="AA64" s="142">
        <f t="shared" ref="AA64" si="332">V64*(1+AA65)</f>
        <v>11.022</v>
      </c>
      <c r="AB64" s="158"/>
      <c r="AC64" s="142">
        <f t="shared" ref="AC64" si="333">X64*(1+AC65)</f>
        <v>6.8818750000000009</v>
      </c>
      <c r="AD64" s="142">
        <f t="shared" ref="AD64" si="334">Y64*(1+AD65)</f>
        <v>5.8231250000000019</v>
      </c>
      <c r="AE64" s="142">
        <f t="shared" ref="AE64" si="335">Z64*(1+AE65)</f>
        <v>2.9115625000000009</v>
      </c>
      <c r="AF64" s="714">
        <f t="shared" ref="AF64" si="336">AA64*(1+AF65)</f>
        <v>12.124200000000002</v>
      </c>
      <c r="AG64" s="714"/>
      <c r="AH64" s="142">
        <f t="shared" ref="AH64" si="337">AC64*(1+AH65)</f>
        <v>7.5700625000000015</v>
      </c>
      <c r="AI64" s="142">
        <f t="shared" ref="AI64" si="338">AD64*(1+AI65)</f>
        <v>6.4054375000000023</v>
      </c>
      <c r="AJ64" s="142">
        <f t="shared" ref="AJ64" si="339">AE64*(1+AJ65)</f>
        <v>3.2027187500000012</v>
      </c>
      <c r="AK64" s="714">
        <f t="shared" ref="AK64" si="340">AF64*(1+AK65)</f>
        <v>13.336620000000003</v>
      </c>
      <c r="AL64" s="714"/>
    </row>
    <row r="65" spans="1:38" s="137" customFormat="1" outlineLevel="1" x14ac:dyDescent="0.2">
      <c r="B65" s="660" t="s">
        <v>135</v>
      </c>
      <c r="C65" s="661"/>
      <c r="D65" s="175"/>
      <c r="E65" s="175"/>
      <c r="F65" s="175"/>
      <c r="G65" s="175"/>
      <c r="H65" s="251"/>
      <c r="I65" s="175">
        <f>I64/D64-1</f>
        <v>-0.54385964912280704</v>
      </c>
      <c r="J65" s="175">
        <f>J64/E64-1</f>
        <v>0.57142857142857162</v>
      </c>
      <c r="K65" s="175">
        <f>K64/F64-1</f>
        <v>-0.57692307692307687</v>
      </c>
      <c r="L65" s="175">
        <v>0.67</v>
      </c>
      <c r="M65" s="251"/>
      <c r="N65" s="175">
        <v>0.75</v>
      </c>
      <c r="O65" s="175">
        <v>0.75</v>
      </c>
      <c r="P65" s="175">
        <v>0.75</v>
      </c>
      <c r="Q65" s="175">
        <v>0.5</v>
      </c>
      <c r="R65" s="251"/>
      <c r="S65" s="175">
        <v>0.25</v>
      </c>
      <c r="T65" s="175">
        <v>0.25</v>
      </c>
      <c r="U65" s="175">
        <v>0.25</v>
      </c>
      <c r="V65" s="175">
        <v>0.25</v>
      </c>
      <c r="W65" s="251"/>
      <c r="X65" s="175">
        <v>0.1</v>
      </c>
      <c r="Y65" s="175">
        <v>0.1</v>
      </c>
      <c r="Z65" s="175">
        <v>0.1</v>
      </c>
      <c r="AA65" s="175">
        <v>0.1</v>
      </c>
      <c r="AB65" s="251"/>
      <c r="AC65" s="175">
        <v>0.1</v>
      </c>
      <c r="AD65" s="175">
        <v>0.1</v>
      </c>
      <c r="AE65" s="175">
        <v>0.1</v>
      </c>
      <c r="AF65" s="763">
        <v>0.1</v>
      </c>
      <c r="AG65" s="729"/>
      <c r="AH65" s="175">
        <v>0.1</v>
      </c>
      <c r="AI65" s="175">
        <v>0.1</v>
      </c>
      <c r="AJ65" s="175">
        <v>0.1</v>
      </c>
      <c r="AK65" s="763">
        <v>0.1</v>
      </c>
      <c r="AL65" s="729"/>
    </row>
    <row r="66" spans="1:38" outlineLevel="1" x14ac:dyDescent="0.2">
      <c r="A66" s="137"/>
      <c r="B66" s="35" t="s">
        <v>137</v>
      </c>
      <c r="C66" s="85"/>
      <c r="D66" s="139">
        <f t="shared" ref="D66:G66" si="341">+D59+D48</f>
        <v>17653</v>
      </c>
      <c r="E66" s="139">
        <f>+E59+E48</f>
        <v>17719</v>
      </c>
      <c r="F66" s="139">
        <f t="shared" si="341"/>
        <v>17853</v>
      </c>
      <c r="G66" s="139">
        <f t="shared" si="341"/>
        <v>18067</v>
      </c>
      <c r="H66" s="177"/>
      <c r="I66" s="139">
        <f>+I59+I48</f>
        <v>18203</v>
      </c>
      <c r="J66" s="139">
        <f t="shared" ref="J66:K66" si="342">+J59+J48</f>
        <v>18271</v>
      </c>
      <c r="K66" s="139">
        <f t="shared" si="342"/>
        <v>18235</v>
      </c>
      <c r="L66" s="139">
        <f t="shared" ref="L66:AK66" si="343">+L59+L48</f>
        <v>18372</v>
      </c>
      <c r="M66" s="140"/>
      <c r="N66" s="139">
        <f t="shared" si="343"/>
        <v>18458.75</v>
      </c>
      <c r="O66" s="139">
        <f t="shared" si="343"/>
        <v>18522.6875</v>
      </c>
      <c r="P66" s="139">
        <f t="shared" si="343"/>
        <v>18585.609375</v>
      </c>
      <c r="Q66" s="139">
        <f t="shared" si="343"/>
        <v>18673.26171875</v>
      </c>
      <c r="R66" s="140"/>
      <c r="S66" s="139">
        <f t="shared" si="343"/>
        <v>18748.5771484375</v>
      </c>
      <c r="T66" s="139">
        <f t="shared" si="343"/>
        <v>18821.033935546875</v>
      </c>
      <c r="U66" s="139">
        <f t="shared" si="343"/>
        <v>18892.541931152344</v>
      </c>
      <c r="V66" s="139">
        <f t="shared" si="343"/>
        <v>18964.22770690918</v>
      </c>
      <c r="W66" s="140"/>
      <c r="X66" s="139">
        <f t="shared" si="343"/>
        <v>19036.969203948975</v>
      </c>
      <c r="Y66" s="139">
        <f t="shared" si="343"/>
        <v>19107.543169975281</v>
      </c>
      <c r="Z66" s="139">
        <f t="shared" si="343"/>
        <v>19176.38715338707</v>
      </c>
      <c r="AA66" s="139">
        <f t="shared" si="343"/>
        <v>19245.315133750439</v>
      </c>
      <c r="AB66" s="140"/>
      <c r="AC66" s="139">
        <f t="shared" si="343"/>
        <v>19314.053665265441</v>
      </c>
      <c r="AD66" s="139">
        <f t="shared" si="343"/>
        <v>19383.324780594558</v>
      </c>
      <c r="AE66" s="139">
        <f t="shared" si="343"/>
        <v>19452.270183249377</v>
      </c>
      <c r="AF66" s="708">
        <f t="shared" si="343"/>
        <v>19521.240940714953</v>
      </c>
      <c r="AG66" s="708"/>
      <c r="AH66" s="139">
        <f t="shared" si="343"/>
        <v>19590.222392456082</v>
      </c>
      <c r="AI66" s="139">
        <f t="shared" si="343"/>
        <v>19659.264574253742</v>
      </c>
      <c r="AJ66" s="139">
        <f t="shared" si="343"/>
        <v>19728.249522668539</v>
      </c>
      <c r="AK66" s="708">
        <f t="shared" si="343"/>
        <v>19797.24435752333</v>
      </c>
      <c r="AL66" s="708"/>
    </row>
    <row r="67" spans="1:38" outlineLevel="1" x14ac:dyDescent="0.2">
      <c r="A67" s="137"/>
      <c r="B67" s="35" t="s">
        <v>138</v>
      </c>
      <c r="C67" s="85"/>
      <c r="D67" s="139">
        <f t="shared" ref="D67:G67" si="344">+D60+D49</f>
        <v>193</v>
      </c>
      <c r="E67" s="139">
        <f>+E60+E49</f>
        <v>66</v>
      </c>
      <c r="F67" s="139">
        <f t="shared" si="344"/>
        <v>134</v>
      </c>
      <c r="G67" s="139">
        <f t="shared" si="344"/>
        <v>214</v>
      </c>
      <c r="H67" s="177">
        <f>+H60+H49</f>
        <v>607</v>
      </c>
      <c r="I67" s="139">
        <f>+I60+I49</f>
        <v>136</v>
      </c>
      <c r="J67" s="139">
        <f t="shared" ref="J67:K67" si="345">+J60+J49</f>
        <v>68</v>
      </c>
      <c r="K67" s="139">
        <f t="shared" si="345"/>
        <v>-36</v>
      </c>
      <c r="L67" s="139">
        <f>+L60+L49</f>
        <v>137</v>
      </c>
      <c r="M67" s="177">
        <f>SUM(I67:L67)</f>
        <v>305</v>
      </c>
      <c r="N67" s="139">
        <f t="shared" ref="L67:AK67" si="346">+N60+N49</f>
        <v>86.75</v>
      </c>
      <c r="O67" s="139">
        <f t="shared" si="346"/>
        <v>63.9375</v>
      </c>
      <c r="P67" s="139">
        <f t="shared" si="346"/>
        <v>62.921875</v>
      </c>
      <c r="Q67" s="139">
        <f t="shared" si="346"/>
        <v>87.65234375</v>
      </c>
      <c r="R67" s="177">
        <f>SUM(N67:Q67)</f>
        <v>301.26171875</v>
      </c>
      <c r="S67" s="139">
        <f t="shared" si="346"/>
        <v>75.3154296875</v>
      </c>
      <c r="T67" s="139">
        <f t="shared" si="346"/>
        <v>72.456787109375</v>
      </c>
      <c r="U67" s="139">
        <f t="shared" si="346"/>
        <v>71.50799560546875</v>
      </c>
      <c r="V67" s="139">
        <f t="shared" si="346"/>
        <v>71.685775756835938</v>
      </c>
      <c r="W67" s="177">
        <f>SUM(S67:V67)</f>
        <v>290.96598815917969</v>
      </c>
      <c r="X67" s="139">
        <f t="shared" si="346"/>
        <v>72.741497039794922</v>
      </c>
      <c r="Y67" s="139">
        <f t="shared" si="346"/>
        <v>70.573966026306152</v>
      </c>
      <c r="Z67" s="139">
        <f t="shared" si="346"/>
        <v>68.84398341178894</v>
      </c>
      <c r="AA67" s="139">
        <f t="shared" si="346"/>
        <v>68.927980363368988</v>
      </c>
      <c r="AB67" s="177">
        <f>SUM(X67:AA67)</f>
        <v>281.087426841259</v>
      </c>
      <c r="AC67" s="139">
        <f t="shared" si="346"/>
        <v>68.738531515002251</v>
      </c>
      <c r="AD67" s="139">
        <f t="shared" si="346"/>
        <v>69.271115329116583</v>
      </c>
      <c r="AE67" s="139">
        <f t="shared" si="346"/>
        <v>68.945402654819191</v>
      </c>
      <c r="AF67" s="708">
        <f t="shared" si="346"/>
        <v>68.970757465576753</v>
      </c>
      <c r="AG67" s="719">
        <f>SUM(AC67:AF67)</f>
        <v>275.92580696451478</v>
      </c>
      <c r="AH67" s="139">
        <f t="shared" si="346"/>
        <v>68.981451741128694</v>
      </c>
      <c r="AI67" s="139">
        <f t="shared" si="346"/>
        <v>69.042181797660305</v>
      </c>
      <c r="AJ67" s="139">
        <f t="shared" si="346"/>
        <v>68.984948414796236</v>
      </c>
      <c r="AK67" s="708">
        <f t="shared" si="346"/>
        <v>68.994834854790497</v>
      </c>
      <c r="AL67" s="719">
        <f>SUM(AH67:AK67)</f>
        <v>276.00341680837573</v>
      </c>
    </row>
    <row r="68" spans="1:38" outlineLevel="1" x14ac:dyDescent="0.2">
      <c r="A68" s="137"/>
      <c r="B68" s="353" t="s">
        <v>136</v>
      </c>
      <c r="C68" s="354"/>
      <c r="D68" s="164">
        <f t="shared" ref="D68:G68" si="347">+D64+D63+D56</f>
        <v>4612.5</v>
      </c>
      <c r="E68" s="164">
        <f t="shared" si="347"/>
        <v>4314.1000000000004</v>
      </c>
      <c r="F68" s="164">
        <f t="shared" si="347"/>
        <v>4681.0999999999995</v>
      </c>
      <c r="G68" s="164">
        <f t="shared" si="347"/>
        <v>4651.3999999999996</v>
      </c>
      <c r="H68" s="216">
        <f>SUM(D68:G68)</f>
        <v>18259.099999999999</v>
      </c>
      <c r="I68" s="164">
        <f>+I64+I63+I56</f>
        <v>5010.8999999999996</v>
      </c>
      <c r="J68" s="164">
        <f t="shared" ref="J68:K68" si="348">+J64+J63+J56</f>
        <v>4330</v>
      </c>
      <c r="K68" s="164">
        <f t="shared" si="348"/>
        <v>2805.5</v>
      </c>
      <c r="L68" s="164">
        <f t="shared" ref="L68:AK68" si="349">+L64+L63+L56</f>
        <v>4114.6298801491666</v>
      </c>
      <c r="M68" s="705">
        <f>SUM(I68:L68)</f>
        <v>16261.029880149166</v>
      </c>
      <c r="N68" s="164">
        <f t="shared" si="349"/>
        <v>5226.6158706241413</v>
      </c>
      <c r="O68" s="164">
        <f t="shared" si="349"/>
        <v>4864.8282461954414</v>
      </c>
      <c r="P68" s="164">
        <f t="shared" si="349"/>
        <v>3409.1831769662022</v>
      </c>
      <c r="Q68" s="164">
        <f t="shared" si="349"/>
        <v>4577.2646173605799</v>
      </c>
      <c r="R68" s="705">
        <f>SUM(N68:Q68)</f>
        <v>18077.891911146366</v>
      </c>
      <c r="S68" s="164">
        <f t="shared" si="349"/>
        <v>5720.1513501661129</v>
      </c>
      <c r="T68" s="164">
        <f t="shared" si="349"/>
        <v>5320.6771407440874</v>
      </c>
      <c r="U68" s="164">
        <f t="shared" si="349"/>
        <v>3759.9988424730032</v>
      </c>
      <c r="V68" s="164">
        <f t="shared" si="349"/>
        <v>4976.0828899197104</v>
      </c>
      <c r="W68" s="705">
        <f>SUM(S68:V68)</f>
        <v>19776.910223302915</v>
      </c>
      <c r="X68" s="164">
        <f t="shared" si="349"/>
        <v>6109.4448756626289</v>
      </c>
      <c r="Y68" s="164">
        <f t="shared" si="349"/>
        <v>5684.3093412988646</v>
      </c>
      <c r="Z68" s="164">
        <f t="shared" si="349"/>
        <v>4009.3707950363419</v>
      </c>
      <c r="AA68" s="164">
        <f t="shared" si="349"/>
        <v>5310.6754515759212</v>
      </c>
      <c r="AB68" s="705">
        <f>SUM(X68:AA68)</f>
        <v>21113.800463573756</v>
      </c>
      <c r="AC68" s="164">
        <f t="shared" si="349"/>
        <v>6522.1227572726248</v>
      </c>
      <c r="AD68" s="164">
        <f t="shared" si="349"/>
        <v>6066.0140614734191</v>
      </c>
      <c r="AE68" s="164">
        <f t="shared" si="349"/>
        <v>4268.6337063059</v>
      </c>
      <c r="AF68" s="713">
        <f t="shared" si="349"/>
        <v>5662.9000268479022</v>
      </c>
      <c r="AG68" s="713">
        <f>SUM(AC68:AF68)</f>
        <v>22519.670551899846</v>
      </c>
      <c r="AH68" s="164">
        <f t="shared" si="349"/>
        <v>6955.5587844561414</v>
      </c>
      <c r="AI68" s="164">
        <f t="shared" si="349"/>
        <v>6467.6019419734985</v>
      </c>
      <c r="AJ68" s="164">
        <f t="shared" si="349"/>
        <v>4542.2387209656936</v>
      </c>
      <c r="AK68" s="713">
        <f t="shared" si="349"/>
        <v>6035.9687217800174</v>
      </c>
      <c r="AL68" s="713">
        <f>SUM(AH68:AK68)</f>
        <v>24001.368169175352</v>
      </c>
    </row>
    <row r="69" spans="1:38" outlineLevel="1" x14ac:dyDescent="0.2">
      <c r="A69" s="137"/>
      <c r="B69" s="347" t="s">
        <v>230</v>
      </c>
      <c r="C69" s="348"/>
      <c r="D69" s="144">
        <v>1351.3</v>
      </c>
      <c r="E69" s="144">
        <v>1220.5</v>
      </c>
      <c r="F69" s="144">
        <v>1324</v>
      </c>
      <c r="G69" s="144">
        <v>1278.9000000000001</v>
      </c>
      <c r="H69" s="213"/>
      <c r="I69" s="144">
        <v>1388.4</v>
      </c>
      <c r="J69" s="144">
        <v>1248.2</v>
      </c>
      <c r="K69" s="144">
        <v>805.6</v>
      </c>
      <c r="L69" s="144">
        <f>(L68*L79)*(K69/K78)</f>
        <v>922.25712908365495</v>
      </c>
      <c r="M69" s="157"/>
      <c r="N69" s="144">
        <f>(N68*N79)*(L69/L78)</f>
        <v>1086.4256234132608</v>
      </c>
      <c r="O69" s="144">
        <f t="shared" ref="O69:Q69" si="350">(O68*O79)*(N69/N78)</f>
        <v>1019.0116006694088</v>
      </c>
      <c r="P69" s="144">
        <f t="shared" si="350"/>
        <v>696.8207356499629</v>
      </c>
      <c r="Q69" s="144">
        <f t="shared" si="350"/>
        <v>931.90687910104202</v>
      </c>
      <c r="R69" s="157"/>
      <c r="S69" s="144">
        <f>(S68*S79)*(Q69/Q78)</f>
        <v>1189.0139146346546</v>
      </c>
      <c r="T69" s="144">
        <f t="shared" ref="T69" si="351">(T68*T79)*(S69/S78)</f>
        <v>1114.4960223569933</v>
      </c>
      <c r="U69" s="144">
        <f t="shared" ref="U69" si="352">(U68*U79)*(T69/T78)</f>
        <v>768.52577976951034</v>
      </c>
      <c r="V69" s="144">
        <f t="shared" ref="V69" si="353">(V68*V79)*(U69/U78)</f>
        <v>1013.1041711036535</v>
      </c>
      <c r="W69" s="157"/>
      <c r="X69" s="144">
        <f>(X68*X79)*(V69/V78)</f>
        <v>1269.9340494977116</v>
      </c>
      <c r="Y69" s="144">
        <f t="shared" ref="Y69" si="354">(Y68*Y79)*(X69/X78)</f>
        <v>1190.6642675631931</v>
      </c>
      <c r="Z69" s="144">
        <f t="shared" ref="Z69" si="355">(Z68*Z79)*(Y69/Y78)</f>
        <v>819.49621415675483</v>
      </c>
      <c r="AA69" s="144">
        <f t="shared" ref="AA69" si="356">(AA68*AA79)*(Z69/Z78)</f>
        <v>1081.2254478856069</v>
      </c>
      <c r="AB69" s="157"/>
      <c r="AC69" s="144">
        <f>(AC68*AC79)*(AA69/AA78)</f>
        <v>1355.714951690446</v>
      </c>
      <c r="AD69" s="144">
        <f t="shared" ref="AD69" si="357">(AD68*AD79)*(AC69/AC78)</f>
        <v>1270.6180743995044</v>
      </c>
      <c r="AE69" s="144">
        <f t="shared" ref="AE69" si="358">(AE68*AE79)*(AD69/AD78)</f>
        <v>872.4883131962589</v>
      </c>
      <c r="AF69" s="715">
        <f t="shared" ref="AF69" si="359">(AF68*AF79)*(AE69/AE78)</f>
        <v>1152.9365094308484</v>
      </c>
      <c r="AG69" s="715"/>
      <c r="AH69" s="144">
        <f>(AH68*AH79)*(AF69/AF78)</f>
        <v>1445.8107264132948</v>
      </c>
      <c r="AI69" s="144">
        <f t="shared" ref="AI69" si="360">(AI68*AI79)*(AH69/AH78)</f>
        <v>1354.7367088523972</v>
      </c>
      <c r="AJ69" s="144">
        <f t="shared" ref="AJ69" si="361">(AJ68*AJ79)*(AI69/AI78)</f>
        <v>928.41186957213438</v>
      </c>
      <c r="AK69" s="715">
        <f t="shared" ref="AK69" si="362">(AK68*AK79)*(AJ69/AJ78)</f>
        <v>1228.8913235497148</v>
      </c>
      <c r="AL69" s="715"/>
    </row>
    <row r="70" spans="1:38" outlineLevel="1" x14ac:dyDescent="0.2">
      <c r="A70" s="137"/>
      <c r="B70" s="35" t="s">
        <v>107</v>
      </c>
      <c r="C70" s="26"/>
      <c r="D70" s="87">
        <v>1983.1</v>
      </c>
      <c r="E70" s="87">
        <v>1935.7</v>
      </c>
      <c r="F70" s="87">
        <v>2034</v>
      </c>
      <c r="G70" s="87">
        <v>2112.1</v>
      </c>
      <c r="H70" s="88"/>
      <c r="I70" s="87">
        <v>2214.4</v>
      </c>
      <c r="J70" s="87">
        <v>2158.6</v>
      </c>
      <c r="K70" s="87">
        <v>2054.4</v>
      </c>
      <c r="L70" s="144">
        <f>(L68*L79)*(68.0467689046405%-1.63083106791312%)</f>
        <v>2295.5268196654756</v>
      </c>
      <c r="M70" s="157"/>
      <c r="N70" s="144">
        <f>(N68*N79)*(L70/L78)</f>
        <v>2704.1473331790412</v>
      </c>
      <c r="O70" s="144">
        <f t="shared" ref="O70:Q70" si="363">(O68*O79)*(N70/N78)</f>
        <v>2536.3517235275231</v>
      </c>
      <c r="P70" s="144">
        <f t="shared" si="363"/>
        <v>1734.4085903383943</v>
      </c>
      <c r="Q70" s="144">
        <f t="shared" si="363"/>
        <v>2319.5453490640925</v>
      </c>
      <c r="R70" s="157"/>
      <c r="S70" s="144">
        <f>(S68*S79)*(Q70/Q78)</f>
        <v>2959.4927964516824</v>
      </c>
      <c r="T70" s="144">
        <f t="shared" ref="T70:V70" si="364">(T68*T79)*(S70/S78)</f>
        <v>2774.0154334973013</v>
      </c>
      <c r="U70" s="144">
        <f t="shared" si="364"/>
        <v>1912.88468631096</v>
      </c>
      <c r="V70" s="144">
        <f t="shared" si="364"/>
        <v>2521.6479467001759</v>
      </c>
      <c r="W70" s="157"/>
      <c r="X70" s="144">
        <f>(X68*X79)*(V70/V78)</f>
        <v>3160.9055413047995</v>
      </c>
      <c r="Y70" s="144">
        <f t="shared" ref="Y70:AA70" si="365">(Y68*Y79)*(X70/X78)</f>
        <v>2963.6005764730066</v>
      </c>
      <c r="Z70" s="144">
        <f t="shared" si="365"/>
        <v>2039.7516905944324</v>
      </c>
      <c r="AA70" s="144">
        <f t="shared" si="365"/>
        <v>2691.2039337579295</v>
      </c>
      <c r="AB70" s="157"/>
      <c r="AC70" s="144">
        <f>(AC68*AC79)*(AA70/AA78)</f>
        <v>3374.4168879659774</v>
      </c>
      <c r="AD70" s="144">
        <f t="shared" ref="AD70:AF70" si="366">(AD68*AD79)*(AC70/AC78)</f>
        <v>3162.6081006647305</v>
      </c>
      <c r="AE70" s="144">
        <f t="shared" si="366"/>
        <v>2171.6506813850115</v>
      </c>
      <c r="AF70" s="715">
        <f t="shared" si="366"/>
        <v>2869.6950072911241</v>
      </c>
      <c r="AG70" s="715"/>
      <c r="AH70" s="144">
        <f>(AH68*AH79)*(AF70/AF78)</f>
        <v>3598.6680872170255</v>
      </c>
      <c r="AI70" s="144">
        <f t="shared" ref="AI70:AK70" si="367">(AI68*AI79)*(AH70/AH78)</f>
        <v>3371.9820109668503</v>
      </c>
      <c r="AJ70" s="144">
        <f t="shared" si="367"/>
        <v>2310.846161109248</v>
      </c>
      <c r="AK70" s="715">
        <f t="shared" si="367"/>
        <v>3058.7489136196145</v>
      </c>
      <c r="AL70" s="715"/>
    </row>
    <row r="71" spans="1:38" outlineLevel="1" x14ac:dyDescent="0.2">
      <c r="A71" s="137"/>
      <c r="B71" s="35" t="s">
        <v>108</v>
      </c>
      <c r="C71" s="26"/>
      <c r="D71" s="87">
        <v>44.5</v>
      </c>
      <c r="E71" s="87">
        <v>39.4</v>
      </c>
      <c r="F71" s="87">
        <v>41.7</v>
      </c>
      <c r="G71" s="87">
        <v>34.200000000000003</v>
      </c>
      <c r="H71" s="88"/>
      <c r="I71" s="87">
        <v>42.5</v>
      </c>
      <c r="J71" s="87">
        <v>41.8</v>
      </c>
      <c r="K71" s="87">
        <v>40.700000000000003</v>
      </c>
      <c r="L71" s="144">
        <f>(L68*L79)*(K71/K78)</f>
        <v>46.593675712145917</v>
      </c>
      <c r="M71" s="157"/>
      <c r="N71" s="144">
        <f>(N68*N79)*(L71/L78)</f>
        <v>54.887689762809963</v>
      </c>
      <c r="O71" s="144">
        <f t="shared" ref="O71:Q71" si="368">(O68*O79)*(N71/N78)</f>
        <v>51.481842288039886</v>
      </c>
      <c r="P71" s="144">
        <f t="shared" si="368"/>
        <v>35.204324653616538</v>
      </c>
      <c r="Q71" s="144">
        <f t="shared" si="368"/>
        <v>47.081194115457301</v>
      </c>
      <c r="R71" s="157"/>
      <c r="S71" s="144">
        <f>(S68*S79)*(Q71/Q78)</f>
        <v>60.070588785539272</v>
      </c>
      <c r="T71" s="144">
        <f t="shared" ref="T71:V71" si="369">(T68*T79)*(S71/S78)</f>
        <v>56.305844227817303</v>
      </c>
      <c r="U71" s="144">
        <f t="shared" si="369"/>
        <v>38.826960323509269</v>
      </c>
      <c r="V71" s="144">
        <f t="shared" si="369"/>
        <v>51.183390968121515</v>
      </c>
      <c r="W71" s="157"/>
      <c r="X71" s="144">
        <f>(X68*X79)*(V71/V78)</f>
        <v>64.158783285199675</v>
      </c>
      <c r="Y71" s="144">
        <f t="shared" ref="Y71:AA71" si="370">(Y68*Y79)*(X71/X78)</f>
        <v>60.153966844366877</v>
      </c>
      <c r="Z71" s="144">
        <f t="shared" si="370"/>
        <v>41.402055506678153</v>
      </c>
      <c r="AA71" s="144">
        <f t="shared" si="370"/>
        <v>54.624969872075717</v>
      </c>
      <c r="AB71" s="157"/>
      <c r="AC71" s="144">
        <f>(AC68*AC79)*(AA71/AA78)</f>
        <v>68.492550315046117</v>
      </c>
      <c r="AD71" s="144">
        <f t="shared" ref="AD71:AF71" si="371">(AD68*AD79)*(AC71/AC78)</f>
        <v>64.193341147045473</v>
      </c>
      <c r="AE71" s="144">
        <f t="shared" si="371"/>
        <v>44.079287918430659</v>
      </c>
      <c r="AF71" s="715">
        <f t="shared" si="371"/>
        <v>58.247909550441335</v>
      </c>
      <c r="AG71" s="715"/>
      <c r="AH71" s="144">
        <f>(AH68*AH79)*(AF71/AF78)</f>
        <v>73.044310532548536</v>
      </c>
      <c r="AI71" s="144">
        <f t="shared" ref="AI71:AK71" si="372">(AI68*AI79)*(AH71/AH78)</f>
        <v>68.443128165705772</v>
      </c>
      <c r="AJ71" s="144">
        <f t="shared" si="372"/>
        <v>46.904621513885147</v>
      </c>
      <c r="AK71" s="715">
        <f t="shared" si="372"/>
        <v>62.085249340210275</v>
      </c>
      <c r="AL71" s="715"/>
    </row>
    <row r="72" spans="1:38" outlineLevel="1" x14ac:dyDescent="0.2">
      <c r="A72" s="137"/>
      <c r="B72" s="35" t="s">
        <v>109</v>
      </c>
      <c r="C72" s="26"/>
      <c r="D72" s="103">
        <v>166.9</v>
      </c>
      <c r="E72" s="103">
        <v>173</v>
      </c>
      <c r="F72" s="103">
        <v>175.6</v>
      </c>
      <c r="G72" s="103">
        <v>180.6</v>
      </c>
      <c r="H72" s="11"/>
      <c r="I72" s="103">
        <v>189.2</v>
      </c>
      <c r="J72" s="103">
        <v>191.5</v>
      </c>
      <c r="K72" s="103">
        <v>191.3</v>
      </c>
      <c r="L72" s="144">
        <f>L242*(K72/(K72+K105+K119+K133))</f>
        <v>198.39153038038069</v>
      </c>
      <c r="M72" s="157"/>
      <c r="N72" s="144">
        <f>N242*(L72/(L72+L105+L119+L133))</f>
        <v>197.97837184507327</v>
      </c>
      <c r="O72" s="144">
        <f t="shared" ref="O72:Q72" si="373">O242*(N72/(N72+N105+N119+N133))</f>
        <v>200.10950941625521</v>
      </c>
      <c r="P72" s="144">
        <f t="shared" si="373"/>
        <v>200.76645327969479</v>
      </c>
      <c r="Q72" s="144">
        <f t="shared" si="373"/>
        <v>198.56608655133937</v>
      </c>
      <c r="R72" s="157"/>
      <c r="S72" s="144">
        <f>S242*(Q72/(Q72+Q105+Q119+Q133))</f>
        <v>199.52721706887206</v>
      </c>
      <c r="T72" s="144">
        <f t="shared" ref="T72:V72" si="374">T242*(S72/(S72+S105+S119+S133))</f>
        <v>202.89870422407782</v>
      </c>
      <c r="U72" s="144">
        <f t="shared" si="374"/>
        <v>204.55959353614426</v>
      </c>
      <c r="V72" s="144">
        <f t="shared" si="374"/>
        <v>203.12902030024333</v>
      </c>
      <c r="W72" s="157"/>
      <c r="X72" s="144">
        <f>X242*(V72/(V72+V105+V119+V133))</f>
        <v>205.06035443164853</v>
      </c>
      <c r="Y72" s="144">
        <f t="shared" ref="Y72:AA72" si="375">Y242*(X72/(X72+X105+X119+X133))</f>
        <v>209.27604380166784</v>
      </c>
      <c r="Z72" s="144">
        <f t="shared" si="375"/>
        <v>211.54428402078645</v>
      </c>
      <c r="AA72" s="144">
        <f t="shared" si="375"/>
        <v>210.45728643228819</v>
      </c>
      <c r="AB72" s="157"/>
      <c r="AC72" s="144">
        <f>AC242*(AA72/(AA72+AA105+AA119+AA133))</f>
        <v>212.97710177929034</v>
      </c>
      <c r="AD72" s="144">
        <f t="shared" ref="AD72:AF72" si="376">AD242*(AC72/(AC72+AC105+AC119+AC133))</f>
        <v>217.89109161907695</v>
      </c>
      <c r="AE72" s="144">
        <f t="shared" si="376"/>
        <v>220.65169961499512</v>
      </c>
      <c r="AF72" s="715">
        <f t="shared" si="376"/>
        <v>219.79840597151573</v>
      </c>
      <c r="AG72" s="715"/>
      <c r="AH72" s="144">
        <f>AH242*(AF72/(AF72+AF105+AF119+AF133))</f>
        <v>222.81623636227235</v>
      </c>
      <c r="AI72" s="144">
        <f t="shared" ref="AI72:AK72" si="377">AI242*(AH72/(AH72+AH105+AH119+AH133))</f>
        <v>228.37314437132039</v>
      </c>
      <c r="AJ72" s="144">
        <f t="shared" si="377"/>
        <v>231.56664964827547</v>
      </c>
      <c r="AK72" s="715">
        <f t="shared" si="377"/>
        <v>230.88089331182908</v>
      </c>
      <c r="AL72" s="715"/>
    </row>
    <row r="73" spans="1:38" outlineLevel="1" x14ac:dyDescent="0.2">
      <c r="A73" s="137"/>
      <c r="B73" s="35" t="s">
        <v>110</v>
      </c>
      <c r="C73" s="26"/>
      <c r="D73" s="87">
        <v>75.099999999999994</v>
      </c>
      <c r="E73" s="87">
        <v>70.900000000000006</v>
      </c>
      <c r="F73" s="87">
        <v>72</v>
      </c>
      <c r="G73" s="87">
        <v>106</v>
      </c>
      <c r="H73" s="88"/>
      <c r="I73" s="87">
        <v>72.400000000000006</v>
      </c>
      <c r="J73" s="87">
        <v>68.2</v>
      </c>
      <c r="K73" s="87">
        <v>62.2</v>
      </c>
      <c r="L73" s="144">
        <f>(L68*L79)*(K73/K78)</f>
        <v>71.207042488832329</v>
      </c>
      <c r="M73" s="157"/>
      <c r="N73" s="144">
        <f>(N68*N79)*(L73/L78)</f>
        <v>83.882415313188687</v>
      </c>
      <c r="O73" s="144">
        <f t="shared" ref="O73:Q73" si="378">(O68*O79)*(N73/N78)</f>
        <v>78.677410081476182</v>
      </c>
      <c r="P73" s="144">
        <f t="shared" si="378"/>
        <v>53.801203770391858</v>
      </c>
      <c r="Q73" s="144">
        <f t="shared" si="378"/>
        <v>71.952095183819267</v>
      </c>
      <c r="R73" s="157"/>
      <c r="S73" s="144">
        <f>(S68*S79)*(Q73/Q78)</f>
        <v>91.803209397064919</v>
      </c>
      <c r="T73" s="144">
        <f t="shared" ref="T73:V73" si="379">(T68*T79)*(S73/S78)</f>
        <v>86.049717714256403</v>
      </c>
      <c r="U73" s="144">
        <f t="shared" si="379"/>
        <v>59.337516759761087</v>
      </c>
      <c r="V73" s="144">
        <f t="shared" si="379"/>
        <v>78.221300201895758</v>
      </c>
      <c r="W73" s="157"/>
      <c r="X73" s="144">
        <f>(X68*X79)*(V73/V78)</f>
        <v>98.051015241754769</v>
      </c>
      <c r="Y73" s="144">
        <f t="shared" ref="Y73:AA73" si="380">(Y68*Y79)*(X73/X78)</f>
        <v>91.930632376403423</v>
      </c>
      <c r="Z73" s="144">
        <f t="shared" si="380"/>
        <v>63.272920209223102</v>
      </c>
      <c r="AA73" s="144">
        <f t="shared" si="380"/>
        <v>83.480912187791375</v>
      </c>
      <c r="AB73" s="157"/>
      <c r="AC73" s="144">
        <f>(AC68*AC79)*(AA73/AA78)</f>
        <v>104.67411866328914</v>
      </c>
      <c r="AD73" s="144">
        <f t="shared" ref="AD73:AF73" si="381">(AD68*AD79)*(AC73/AC78)</f>
        <v>98.103828485165295</v>
      </c>
      <c r="AE73" s="144">
        <f t="shared" si="381"/>
        <v>67.364415442908751</v>
      </c>
      <c r="AF73" s="715">
        <f t="shared" si="381"/>
        <v>89.017689779789919</v>
      </c>
      <c r="AG73" s="715"/>
      <c r="AH73" s="144">
        <f>(AH68*AH79)*(AF73/AF78)</f>
        <v>111.63037137898078</v>
      </c>
      <c r="AI73" s="144">
        <f t="shared" ref="AI73:AK73" si="382">(AI68*AI79)*(AH73/AH78)</f>
        <v>104.59858899034147</v>
      </c>
      <c r="AJ73" s="144">
        <f t="shared" si="382"/>
        <v>71.682247129328132</v>
      </c>
      <c r="AK73" s="715">
        <f t="shared" si="382"/>
        <v>94.882125527299209</v>
      </c>
      <c r="AL73" s="715"/>
    </row>
    <row r="74" spans="1:38" ht="18" outlineLevel="1" x14ac:dyDescent="0.35">
      <c r="A74" s="137"/>
      <c r="B74" s="35" t="s">
        <v>118</v>
      </c>
      <c r="C74" s="26"/>
      <c r="D74" s="174">
        <v>22.9</v>
      </c>
      <c r="E74" s="174">
        <v>18.2</v>
      </c>
      <c r="F74" s="174">
        <v>15.1</v>
      </c>
      <c r="G74" s="174">
        <v>0.7</v>
      </c>
      <c r="H74" s="215"/>
      <c r="I74" s="174">
        <v>5.2</v>
      </c>
      <c r="J74" s="174">
        <v>0.5</v>
      </c>
      <c r="K74" s="174">
        <v>56.2</v>
      </c>
      <c r="L74" s="143">
        <f>(L68*L79)*3.49231296649216%</f>
        <v>120.70443237519254</v>
      </c>
      <c r="M74" s="291"/>
      <c r="N74" s="143">
        <f>(N68*N79)*(L74/L78)</f>
        <v>142.19070154790572</v>
      </c>
      <c r="O74" s="143">
        <f t="shared" ref="O74:Q74" si="383">(O68*O79)*(N74/N78)</f>
        <v>133.36759669697332</v>
      </c>
      <c r="P74" s="143">
        <f t="shared" si="383"/>
        <v>91.199459143745557</v>
      </c>
      <c r="Q74" s="143">
        <f t="shared" si="383"/>
        <v>121.96738558171154</v>
      </c>
      <c r="R74" s="291"/>
      <c r="S74" s="143">
        <f>(S68*S79)*(Q74/Q78)</f>
        <v>155.61739251046055</v>
      </c>
      <c r="T74" s="143">
        <f t="shared" ref="T74:V74" si="384">(T68*T79)*(S74/S78)</f>
        <v>145.86453768774118</v>
      </c>
      <c r="U74" s="143">
        <f t="shared" si="384"/>
        <v>100.58417017058007</v>
      </c>
      <c r="V74" s="143">
        <f t="shared" si="384"/>
        <v>132.59443603489265</v>
      </c>
      <c r="W74" s="291"/>
      <c r="X74" s="143">
        <f>(X68*X79)*(V74/V78)</f>
        <v>166.20816881172277</v>
      </c>
      <c r="Y74" s="143">
        <f t="shared" ref="Y74:AA74" si="385">(Y68*Y79)*(X74/X78)</f>
        <v>155.83338966263861</v>
      </c>
      <c r="Z74" s="143">
        <f t="shared" si="385"/>
        <v>107.25514853074981</v>
      </c>
      <c r="AA74" s="143">
        <f t="shared" si="385"/>
        <v>141.51010584902454</v>
      </c>
      <c r="AB74" s="291"/>
      <c r="AC74" s="143">
        <f>(AC68*AC79)*(AA74/AA78)</f>
        <v>177.43511928061608</v>
      </c>
      <c r="AD74" s="143">
        <f t="shared" ref="AD74:AF74" si="386">(AD68*AD79)*(AC74/AC78)</f>
        <v>166.29769356018792</v>
      </c>
      <c r="AE74" s="143">
        <f t="shared" si="386"/>
        <v>114.1907210877098</v>
      </c>
      <c r="AF74" s="764">
        <f t="shared" si="386"/>
        <v>150.89560443274516</v>
      </c>
      <c r="AG74" s="730"/>
      <c r="AH74" s="143">
        <f>(AH68*AH79)*(AF74/AF78)</f>
        <v>189.22679754948447</v>
      </c>
      <c r="AI74" s="143">
        <f t="shared" ref="AI74:AK74" si="387">(AI68*AI79)*(AH74/AH78)</f>
        <v>177.3070874739017</v>
      </c>
      <c r="AJ74" s="143">
        <f t="shared" si="387"/>
        <v>121.50996093512535</v>
      </c>
      <c r="AK74" s="764">
        <f t="shared" si="387"/>
        <v>160.83652268131465</v>
      </c>
      <c r="AL74" s="730"/>
    </row>
    <row r="75" spans="1:38" outlineLevel="1" x14ac:dyDescent="0.2">
      <c r="A75" s="137"/>
      <c r="B75" s="86" t="s">
        <v>206</v>
      </c>
      <c r="C75" s="29"/>
      <c r="D75" s="142">
        <f t="shared" ref="D75" si="388">SUM(D69:D74)</f>
        <v>3643.7999999999997</v>
      </c>
      <c r="E75" s="142">
        <f t="shared" ref="E75" si="389">SUM(E69:E74)</f>
        <v>3457.7</v>
      </c>
      <c r="F75" s="142">
        <f t="shared" ref="F75" si="390">SUM(F69:F74)</f>
        <v>3662.3999999999996</v>
      </c>
      <c r="G75" s="142">
        <f t="shared" ref="G75" si="391">SUM(G69:G74)</f>
        <v>3712.4999999999995</v>
      </c>
      <c r="H75" s="214"/>
      <c r="I75" s="142">
        <f t="shared" ref="I75" si="392">SUM(I69:I74)</f>
        <v>3912.1</v>
      </c>
      <c r="J75" s="142">
        <f t="shared" ref="J75" si="393">SUM(J69:J74)</f>
        <v>3708.8</v>
      </c>
      <c r="K75" s="142">
        <f t="shared" ref="K75" si="394">SUM(K69:K74)</f>
        <v>3210.3999999999996</v>
      </c>
      <c r="L75" s="142">
        <f>SUM(L69:L74)</f>
        <v>3654.6806297056819</v>
      </c>
      <c r="M75" s="158"/>
      <c r="N75" s="142">
        <f t="shared" ref="L75:Q75" si="395">SUM(N69:N74)</f>
        <v>4269.5121350612799</v>
      </c>
      <c r="O75" s="142">
        <f t="shared" si="395"/>
        <v>4018.999682679676</v>
      </c>
      <c r="P75" s="142">
        <f t="shared" si="395"/>
        <v>2812.200766835806</v>
      </c>
      <c r="Q75" s="142">
        <f t="shared" si="395"/>
        <v>3691.0189895974622</v>
      </c>
      <c r="R75" s="158"/>
      <c r="S75" s="142">
        <f t="shared" ref="S75:V75" si="396">SUM(S69:S74)</f>
        <v>4655.5251188482735</v>
      </c>
      <c r="T75" s="142">
        <f t="shared" si="396"/>
        <v>4379.6302597081867</v>
      </c>
      <c r="U75" s="142">
        <f t="shared" si="396"/>
        <v>3084.7187068704652</v>
      </c>
      <c r="V75" s="142">
        <f t="shared" si="396"/>
        <v>3999.8802653089824</v>
      </c>
      <c r="W75" s="158"/>
      <c r="X75" s="142">
        <f t="shared" ref="X75:AA75" si="397">SUM(X69:X74)</f>
        <v>4964.3179125728366</v>
      </c>
      <c r="Y75" s="142">
        <f t="shared" si="397"/>
        <v>4671.4588767212754</v>
      </c>
      <c r="Z75" s="142">
        <f t="shared" si="397"/>
        <v>3282.7223130186248</v>
      </c>
      <c r="AA75" s="142">
        <f t="shared" si="397"/>
        <v>4262.5026559847165</v>
      </c>
      <c r="AB75" s="158"/>
      <c r="AC75" s="142">
        <f t="shared" ref="AC75:AF75" si="398">SUM(AC69:AC74)</f>
        <v>5293.7107296946651</v>
      </c>
      <c r="AD75" s="142">
        <f t="shared" si="398"/>
        <v>4979.7121298757111</v>
      </c>
      <c r="AE75" s="142">
        <f t="shared" si="398"/>
        <v>3490.4251186453148</v>
      </c>
      <c r="AF75" s="714">
        <f t="shared" si="398"/>
        <v>4540.5911264564647</v>
      </c>
      <c r="AG75" s="714"/>
      <c r="AH75" s="142">
        <f t="shared" ref="AH75:AK75" si="399">SUM(AH69:AH74)</f>
        <v>5641.1965294536067</v>
      </c>
      <c r="AI75" s="142">
        <f t="shared" si="399"/>
        <v>5305.4406688205172</v>
      </c>
      <c r="AJ75" s="142">
        <f t="shared" si="399"/>
        <v>3710.9215099079966</v>
      </c>
      <c r="AK75" s="714">
        <f t="shared" si="399"/>
        <v>4836.3250280299826</v>
      </c>
      <c r="AL75" s="714"/>
    </row>
    <row r="76" spans="1:38" outlineLevel="1" x14ac:dyDescent="0.2">
      <c r="A76" s="137"/>
      <c r="B76" s="86" t="s">
        <v>207</v>
      </c>
      <c r="C76" s="77"/>
      <c r="D76" s="252">
        <f t="shared" ref="D76" si="400">+D68-D75</f>
        <v>968.70000000000027</v>
      </c>
      <c r="E76" s="252">
        <f t="shared" ref="E76" si="401">+E68-E75</f>
        <v>856.40000000000055</v>
      </c>
      <c r="F76" s="252">
        <f t="shared" ref="F76" si="402">+F68-F75</f>
        <v>1018.6999999999998</v>
      </c>
      <c r="G76" s="252">
        <f t="shared" ref="G76" si="403">+G68-G75</f>
        <v>938.90000000000009</v>
      </c>
      <c r="H76" s="216">
        <f>SUM(D76:G76)</f>
        <v>3782.7000000000007</v>
      </c>
      <c r="I76" s="252">
        <f t="shared" ref="I76" si="404">+I68-I75</f>
        <v>1098.7999999999997</v>
      </c>
      <c r="J76" s="252">
        <f t="shared" ref="J76" si="405">+J68-J75</f>
        <v>621.19999999999982</v>
      </c>
      <c r="K76" s="252">
        <f t="shared" ref="K76" si="406">+K68-K75</f>
        <v>-404.89999999999964</v>
      </c>
      <c r="L76" s="252">
        <f t="shared" ref="L76:Q76" si="407">+L68-L75</f>
        <v>459.94925044348474</v>
      </c>
      <c r="M76" s="216">
        <f>SUM(I76:L76)</f>
        <v>1775.0492504434847</v>
      </c>
      <c r="N76" s="252">
        <f t="shared" si="407"/>
        <v>957.1037355628614</v>
      </c>
      <c r="O76" s="252">
        <f t="shared" si="407"/>
        <v>845.82856351576538</v>
      </c>
      <c r="P76" s="252">
        <f t="shared" si="407"/>
        <v>596.98241013039615</v>
      </c>
      <c r="Q76" s="252">
        <f t="shared" si="407"/>
        <v>886.24562776311768</v>
      </c>
      <c r="R76" s="216">
        <f>SUM(N76:Q76)</f>
        <v>3286.1603369721406</v>
      </c>
      <c r="S76" s="252">
        <f t="shared" ref="S76:V76" si="408">+S68-S75</f>
        <v>1064.6262313178395</v>
      </c>
      <c r="T76" s="252">
        <f t="shared" si="408"/>
        <v>941.0468810359007</v>
      </c>
      <c r="U76" s="252">
        <f t="shared" si="408"/>
        <v>675.28013560253794</v>
      </c>
      <c r="V76" s="252">
        <f t="shared" si="408"/>
        <v>976.20262461072798</v>
      </c>
      <c r="W76" s="216">
        <f>SUM(S76:V76)</f>
        <v>3657.1558725670061</v>
      </c>
      <c r="X76" s="252">
        <f t="shared" ref="X76:AA76" si="409">+X68-X75</f>
        <v>1145.1269630897923</v>
      </c>
      <c r="Y76" s="252">
        <f t="shared" si="409"/>
        <v>1012.8504645775893</v>
      </c>
      <c r="Z76" s="252">
        <f t="shared" si="409"/>
        <v>726.64848201771701</v>
      </c>
      <c r="AA76" s="252">
        <f t="shared" si="409"/>
        <v>1048.1727955912047</v>
      </c>
      <c r="AB76" s="216">
        <f>SUM(X76:AA76)</f>
        <v>3932.7987052763033</v>
      </c>
      <c r="AC76" s="252">
        <f t="shared" ref="AC76:AF76" si="410">+AC68-AC75</f>
        <v>1228.4120275779596</v>
      </c>
      <c r="AD76" s="252">
        <f t="shared" si="410"/>
        <v>1086.3019315977081</v>
      </c>
      <c r="AE76" s="252">
        <f t="shared" si="410"/>
        <v>778.20858766058518</v>
      </c>
      <c r="AF76" s="765">
        <f t="shared" si="410"/>
        <v>1122.3089003914374</v>
      </c>
      <c r="AG76" s="725">
        <f>SUM(AC76:AF76)</f>
        <v>4215.2314472276903</v>
      </c>
      <c r="AH76" s="252">
        <f t="shared" ref="AH76:AK76" si="411">+AH68-AH75</f>
        <v>1314.3622550025348</v>
      </c>
      <c r="AI76" s="252">
        <f t="shared" si="411"/>
        <v>1162.1612731529813</v>
      </c>
      <c r="AJ76" s="252">
        <f t="shared" si="411"/>
        <v>831.31721105769702</v>
      </c>
      <c r="AK76" s="765">
        <f t="shared" si="411"/>
        <v>1199.6436937500348</v>
      </c>
      <c r="AL76" s="725">
        <f>SUM(AH76:AK76)</f>
        <v>4507.4844329632479</v>
      </c>
    </row>
    <row r="77" spans="1:38" outlineLevel="1" x14ac:dyDescent="0.2">
      <c r="A77" s="137"/>
      <c r="B77" s="86" t="s">
        <v>208</v>
      </c>
      <c r="C77" s="77"/>
      <c r="D77" s="253">
        <f t="shared" ref="D77" si="412">+D76/D68</f>
        <v>0.21001626016260169</v>
      </c>
      <c r="E77" s="253">
        <f t="shared" ref="E77" si="413">+E76/E68</f>
        <v>0.19851185647064287</v>
      </c>
      <c r="F77" s="253">
        <f t="shared" ref="F77" si="414">+F76/F68</f>
        <v>0.21761979022024736</v>
      </c>
      <c r="G77" s="253">
        <f t="shared" ref="G77" si="415">+G76/G68</f>
        <v>0.20185320548652022</v>
      </c>
      <c r="H77" s="217">
        <f>H76/H68</f>
        <v>0.20716793270205</v>
      </c>
      <c r="I77" s="253">
        <f t="shared" ref="I77" si="416">+I76/I68</f>
        <v>0.21928196531561192</v>
      </c>
      <c r="J77" s="253">
        <f t="shared" ref="J77" si="417">+J76/J68</f>
        <v>0.14346420323325632</v>
      </c>
      <c r="K77" s="253">
        <f t="shared" ref="K77" si="418">+K76/K68</f>
        <v>-0.14432364997326666</v>
      </c>
      <c r="L77" s="253">
        <f t="shared" ref="L77:Q77" si="419">+L76/L68</f>
        <v>0.11178386971389279</v>
      </c>
      <c r="M77" s="292">
        <f>+M76/M68</f>
        <v>0.10915970658232391</v>
      </c>
      <c r="N77" s="253">
        <f t="shared" si="419"/>
        <v>0.18312111684774873</v>
      </c>
      <c r="O77" s="253">
        <f t="shared" si="419"/>
        <v>0.17386606899786217</v>
      </c>
      <c r="P77" s="253">
        <f t="shared" si="419"/>
        <v>0.17511010090740997</v>
      </c>
      <c r="Q77" s="253">
        <f t="shared" si="419"/>
        <v>0.19361905020779849</v>
      </c>
      <c r="R77" s="292">
        <f>+R76/R68</f>
        <v>0.1817778507097931</v>
      </c>
      <c r="S77" s="253">
        <f t="shared" ref="S77:V77" si="420">+S76/S68</f>
        <v>0.18611854235061853</v>
      </c>
      <c r="T77" s="253">
        <f t="shared" si="420"/>
        <v>0.17686599959799421</v>
      </c>
      <c r="U77" s="253">
        <f t="shared" si="420"/>
        <v>0.17959583603445922</v>
      </c>
      <c r="V77" s="253">
        <f t="shared" si="420"/>
        <v>0.19617893154237209</v>
      </c>
      <c r="W77" s="292">
        <f>+W76/W68</f>
        <v>0.18492048713746093</v>
      </c>
      <c r="X77" s="253">
        <f t="shared" ref="X77:AA77" si="421">+X76/X68</f>
        <v>0.18743551769351091</v>
      </c>
      <c r="Y77" s="253">
        <f t="shared" si="421"/>
        <v>0.17818355824142268</v>
      </c>
      <c r="Z77" s="253">
        <f t="shared" si="421"/>
        <v>0.18123753555478536</v>
      </c>
      <c r="AA77" s="253">
        <f t="shared" si="421"/>
        <v>0.19737090039651428</v>
      </c>
      <c r="AB77" s="292">
        <f>+AB76/AB68</f>
        <v>0.18626673639647684</v>
      </c>
      <c r="AC77" s="253">
        <f t="shared" ref="AC77:AF77" si="422">+AC76/AC68</f>
        <v>0.1883454318930434</v>
      </c>
      <c r="AD77" s="253">
        <f t="shared" si="422"/>
        <v>0.17908002200275944</v>
      </c>
      <c r="AE77" s="253">
        <f t="shared" si="422"/>
        <v>0.1823085889311527</v>
      </c>
      <c r="AF77" s="716">
        <f t="shared" si="422"/>
        <v>0.19818624645862587</v>
      </c>
      <c r="AG77" s="716">
        <f>+AG76/AG68</f>
        <v>0.18717997838880807</v>
      </c>
      <c r="AH77" s="253">
        <f t="shared" ref="AH77:AK77" si="423">+AH76/AH68</f>
        <v>0.18896573168783956</v>
      </c>
      <c r="AI77" s="253">
        <f t="shared" si="423"/>
        <v>0.17968967224324323</v>
      </c>
      <c r="AJ77" s="253">
        <f t="shared" si="423"/>
        <v>0.18301926915918601</v>
      </c>
      <c r="AK77" s="716">
        <f t="shared" si="423"/>
        <v>0.19874915677102081</v>
      </c>
      <c r="AL77" s="716">
        <f>+AL76/AL68</f>
        <v>0.18780114538437656</v>
      </c>
    </row>
    <row r="78" spans="1:38" s="105" customFormat="1" outlineLevel="1" x14ac:dyDescent="0.2">
      <c r="A78" s="153"/>
      <c r="B78" s="108" t="s">
        <v>139</v>
      </c>
      <c r="C78" s="106"/>
      <c r="D78" s="176">
        <f t="shared" ref="D78:G78" si="424">+D75-D72</f>
        <v>3476.8999999999996</v>
      </c>
      <c r="E78" s="176">
        <f t="shared" si="424"/>
        <v>3284.7</v>
      </c>
      <c r="F78" s="176">
        <f t="shared" si="424"/>
        <v>3486.7999999999997</v>
      </c>
      <c r="G78" s="176">
        <f t="shared" si="424"/>
        <v>3531.8999999999996</v>
      </c>
      <c r="H78" s="210"/>
      <c r="I78" s="176">
        <f t="shared" ref="I78" si="425">+I75-I72</f>
        <v>3722.9</v>
      </c>
      <c r="J78" s="176">
        <f t="shared" ref="J78:K78" si="426">+J75-J72</f>
        <v>3517.3</v>
      </c>
      <c r="K78" s="176">
        <f t="shared" si="426"/>
        <v>3019.0999999999995</v>
      </c>
      <c r="L78" s="176">
        <f t="shared" ref="L78:Q78" si="427">+L75-L72</f>
        <v>3456.2890993253013</v>
      </c>
      <c r="M78" s="706"/>
      <c r="N78" s="176">
        <f t="shared" si="427"/>
        <v>4071.5337632162068</v>
      </c>
      <c r="O78" s="176">
        <f t="shared" si="427"/>
        <v>3818.8901732634208</v>
      </c>
      <c r="P78" s="176">
        <f t="shared" si="427"/>
        <v>2611.4343135561112</v>
      </c>
      <c r="Q78" s="176">
        <f t="shared" si="427"/>
        <v>3492.4529030461226</v>
      </c>
      <c r="R78" s="706"/>
      <c r="S78" s="176">
        <f t="shared" ref="S78:V78" si="428">+S75-S72</f>
        <v>4455.9979017794012</v>
      </c>
      <c r="T78" s="176">
        <f t="shared" si="428"/>
        <v>4176.7315554841089</v>
      </c>
      <c r="U78" s="176">
        <f t="shared" si="428"/>
        <v>2880.1591133343209</v>
      </c>
      <c r="V78" s="176">
        <f t="shared" si="428"/>
        <v>3796.7512450087393</v>
      </c>
      <c r="W78" s="706"/>
      <c r="X78" s="176">
        <f t="shared" ref="X78:AA78" si="429">+X75-X72</f>
        <v>4759.2575581411884</v>
      </c>
      <c r="Y78" s="176">
        <f t="shared" si="429"/>
        <v>4462.1828329196078</v>
      </c>
      <c r="Z78" s="176">
        <f t="shared" si="429"/>
        <v>3071.1780289978383</v>
      </c>
      <c r="AA78" s="176">
        <f t="shared" si="429"/>
        <v>4052.0453695524284</v>
      </c>
      <c r="AB78" s="706"/>
      <c r="AC78" s="176">
        <f t="shared" ref="AC78:AF78" si="430">+AC75-AC72</f>
        <v>5080.7336279153751</v>
      </c>
      <c r="AD78" s="176">
        <f t="shared" si="430"/>
        <v>4761.821038256634</v>
      </c>
      <c r="AE78" s="176">
        <f t="shared" si="430"/>
        <v>3269.7734190303195</v>
      </c>
      <c r="AF78" s="717">
        <f t="shared" si="430"/>
        <v>4320.7927204849493</v>
      </c>
      <c r="AG78" s="717"/>
      <c r="AH78" s="176">
        <f t="shared" ref="AH78:AK78" si="431">+AH75-AH72</f>
        <v>5418.3802930913344</v>
      </c>
      <c r="AI78" s="176">
        <f t="shared" si="431"/>
        <v>5077.0675244491968</v>
      </c>
      <c r="AJ78" s="176">
        <f t="shared" si="431"/>
        <v>3479.3548602597211</v>
      </c>
      <c r="AK78" s="717">
        <f t="shared" si="431"/>
        <v>4605.4441347181537</v>
      </c>
      <c r="AL78" s="717"/>
    </row>
    <row r="79" spans="1:38" s="153" customFormat="1" outlineLevel="1" x14ac:dyDescent="0.2">
      <c r="B79" s="662" t="s">
        <v>140</v>
      </c>
      <c r="C79" s="663"/>
      <c r="D79" s="167">
        <f t="shared" ref="D79:L79" si="432">+D78/D68</f>
        <v>0.75379945799457981</v>
      </c>
      <c r="E79" s="167">
        <f t="shared" si="432"/>
        <v>0.76138707957627305</v>
      </c>
      <c r="F79" s="167">
        <f t="shared" si="432"/>
        <v>0.74486765931084575</v>
      </c>
      <c r="G79" s="167">
        <f t="shared" si="432"/>
        <v>0.7593197746914907</v>
      </c>
      <c r="H79" s="219"/>
      <c r="I79" s="167">
        <f t="shared" si="432"/>
        <v>0.74296034644475051</v>
      </c>
      <c r="J79" s="167">
        <f t="shared" si="432"/>
        <v>0.81230946882217092</v>
      </c>
      <c r="K79" s="167">
        <f t="shared" si="432"/>
        <v>1.076136161112101</v>
      </c>
      <c r="L79" s="167">
        <v>0.84</v>
      </c>
      <c r="M79" s="219"/>
      <c r="N79" s="167">
        <v>0.77900000000000003</v>
      </c>
      <c r="O79" s="167">
        <v>0.78500000000000003</v>
      </c>
      <c r="P79" s="167">
        <v>0.76600000000000001</v>
      </c>
      <c r="Q79" s="167">
        <v>0.76300000000000001</v>
      </c>
      <c r="R79" s="219"/>
      <c r="S79" s="167">
        <v>0.77900000000000003</v>
      </c>
      <c r="T79" s="167">
        <v>0.78500000000000003</v>
      </c>
      <c r="U79" s="167">
        <v>0.76600000000000001</v>
      </c>
      <c r="V79" s="167">
        <v>0.76300000000000001</v>
      </c>
      <c r="W79" s="219"/>
      <c r="X79" s="167">
        <v>0.77900000000000003</v>
      </c>
      <c r="Y79" s="167">
        <v>0.78500000000000003</v>
      </c>
      <c r="Z79" s="167">
        <v>0.76600000000000001</v>
      </c>
      <c r="AA79" s="167">
        <v>0.76300000000000001</v>
      </c>
      <c r="AB79" s="219"/>
      <c r="AC79" s="167">
        <v>0.77900000000000003</v>
      </c>
      <c r="AD79" s="167">
        <v>0.78500000000000003</v>
      </c>
      <c r="AE79" s="167">
        <v>0.76600000000000001</v>
      </c>
      <c r="AF79" s="766">
        <v>0.76300000000000001</v>
      </c>
      <c r="AG79" s="731"/>
      <c r="AH79" s="167">
        <v>0.77900000000000003</v>
      </c>
      <c r="AI79" s="167">
        <v>0.78500000000000003</v>
      </c>
      <c r="AJ79" s="167">
        <v>0.76600000000000001</v>
      </c>
      <c r="AK79" s="766">
        <v>0.76300000000000001</v>
      </c>
      <c r="AL79" s="731"/>
    </row>
    <row r="80" spans="1:38" ht="19" x14ac:dyDescent="0.35">
      <c r="A80" s="137"/>
      <c r="B80" s="314" t="s">
        <v>258</v>
      </c>
      <c r="C80" s="315"/>
      <c r="D80" s="22" t="s">
        <v>72</v>
      </c>
      <c r="E80" s="22" t="s">
        <v>211</v>
      </c>
      <c r="F80" s="22" t="s">
        <v>215</v>
      </c>
      <c r="G80" s="22" t="s">
        <v>225</v>
      </c>
      <c r="H80" s="67" t="s">
        <v>226</v>
      </c>
      <c r="I80" s="22" t="s">
        <v>227</v>
      </c>
      <c r="J80" s="22" t="s">
        <v>228</v>
      </c>
      <c r="K80" s="22" t="s">
        <v>229</v>
      </c>
      <c r="L80" s="20" t="s">
        <v>90</v>
      </c>
      <c r="M80" s="69" t="s">
        <v>91</v>
      </c>
      <c r="N80" s="20" t="s">
        <v>92</v>
      </c>
      <c r="O80" s="20" t="s">
        <v>93</v>
      </c>
      <c r="P80" s="20" t="s">
        <v>94</v>
      </c>
      <c r="Q80" s="20" t="s">
        <v>95</v>
      </c>
      <c r="R80" s="69" t="s">
        <v>96</v>
      </c>
      <c r="S80" s="20" t="s">
        <v>97</v>
      </c>
      <c r="T80" s="20" t="s">
        <v>98</v>
      </c>
      <c r="U80" s="20" t="s">
        <v>99</v>
      </c>
      <c r="V80" s="20" t="s">
        <v>100</v>
      </c>
      <c r="W80" s="69" t="s">
        <v>101</v>
      </c>
      <c r="X80" s="20" t="s">
        <v>102</v>
      </c>
      <c r="Y80" s="20" t="s">
        <v>103</v>
      </c>
      <c r="Z80" s="20" t="s">
        <v>104</v>
      </c>
      <c r="AA80" s="20" t="s">
        <v>105</v>
      </c>
      <c r="AB80" s="69" t="s">
        <v>106</v>
      </c>
      <c r="AC80" s="20" t="s">
        <v>220</v>
      </c>
      <c r="AD80" s="20" t="s">
        <v>221</v>
      </c>
      <c r="AE80" s="20" t="s">
        <v>222</v>
      </c>
      <c r="AF80" s="732" t="s">
        <v>223</v>
      </c>
      <c r="AG80" s="732" t="s">
        <v>224</v>
      </c>
      <c r="AH80" s="20" t="s">
        <v>253</v>
      </c>
      <c r="AI80" s="20" t="s">
        <v>254</v>
      </c>
      <c r="AJ80" s="20" t="s">
        <v>255</v>
      </c>
      <c r="AK80" s="732" t="s">
        <v>256</v>
      </c>
      <c r="AL80" s="732" t="s">
        <v>257</v>
      </c>
    </row>
    <row r="81" spans="1:38" s="13" customFormat="1" outlineLevel="1" x14ac:dyDescent="0.2">
      <c r="A81" s="152"/>
      <c r="B81" s="304" t="s">
        <v>259</v>
      </c>
      <c r="C81" s="305"/>
      <c r="D81" s="31">
        <v>5839</v>
      </c>
      <c r="E81" s="31">
        <v>5879</v>
      </c>
      <c r="F81" s="169">
        <v>5646</v>
      </c>
      <c r="G81" s="31">
        <v>5860</v>
      </c>
      <c r="H81" s="90"/>
      <c r="I81" s="31">
        <v>6059</v>
      </c>
      <c r="J81" s="31">
        <v>6137</v>
      </c>
      <c r="K81" s="31">
        <v>6254</v>
      </c>
      <c r="L81" s="169">
        <f>+K81+L82</f>
        <v>6429</v>
      </c>
      <c r="M81" s="90"/>
      <c r="N81" s="169">
        <f>+L81+N82</f>
        <v>6571.25</v>
      </c>
      <c r="O81" s="169">
        <f t="shared" ref="O81" si="433">+N81+O82</f>
        <v>6699.3125</v>
      </c>
      <c r="P81" s="169">
        <f t="shared" ref="P81" si="434">+O81+P82</f>
        <v>6839.890625</v>
      </c>
      <c r="Q81" s="169">
        <f t="shared" ref="Q81" si="435">+P81+Q82</f>
        <v>6986.36328125</v>
      </c>
      <c r="R81" s="90"/>
      <c r="S81" s="169">
        <f>+Q81+S82</f>
        <v>7125.7041015625</v>
      </c>
      <c r="T81" s="169">
        <f t="shared" ref="T81" si="436">+S81+T82</f>
        <v>7264.317626953125</v>
      </c>
      <c r="U81" s="169">
        <f t="shared" ref="U81" si="437">+T81+U82</f>
        <v>7405.5689086914062</v>
      </c>
      <c r="V81" s="169">
        <f t="shared" ref="V81" si="438">+U81+V82</f>
        <v>7546.9884796142578</v>
      </c>
      <c r="W81" s="90"/>
      <c r="X81" s="169">
        <f>+V81+X82</f>
        <v>7687.1447792053223</v>
      </c>
      <c r="Y81" s="169">
        <f t="shared" ref="Y81" si="439">+X81+Y82</f>
        <v>7827.5049486160278</v>
      </c>
      <c r="Z81" s="169">
        <f t="shared" ref="Z81" si="440">+Y81+Z82</f>
        <v>7968.3017790317535</v>
      </c>
      <c r="AA81" s="169">
        <f t="shared" ref="AA81" si="441">+Z81+AA82</f>
        <v>8108.9849966168404</v>
      </c>
      <c r="AB81" s="90"/>
      <c r="AC81" s="169">
        <f>+AA81+AC82</f>
        <v>8249.484125867486</v>
      </c>
      <c r="AD81" s="169">
        <f t="shared" ref="AD81" si="442">+AC81+AD82</f>
        <v>8390.0689625330269</v>
      </c>
      <c r="AE81" s="169">
        <f t="shared" ref="AE81" si="443">+AD81+AE82</f>
        <v>8530.7099660122767</v>
      </c>
      <c r="AF81" s="709">
        <f t="shared" ref="AF81" si="444">+AE81+AF82</f>
        <v>8671.3120127574075</v>
      </c>
      <c r="AG81" s="733"/>
      <c r="AH81" s="169">
        <f>+AF81+AH82</f>
        <v>8811.8937667925493</v>
      </c>
      <c r="AI81" s="169">
        <f t="shared" ref="AI81" si="445">+AH81+AI82</f>
        <v>8952.4961770238151</v>
      </c>
      <c r="AJ81" s="169">
        <f t="shared" ref="AJ81" si="446">+AI81+AJ82</f>
        <v>9093.1029806465122</v>
      </c>
      <c r="AK81" s="709">
        <f t="shared" ref="AK81" si="447">+AJ81+AK82</f>
        <v>9233.7012343050701</v>
      </c>
      <c r="AL81" s="733"/>
    </row>
    <row r="82" spans="1:38" s="137" customFormat="1" outlineLevel="1" x14ac:dyDescent="0.2">
      <c r="B82" s="651" t="s">
        <v>124</v>
      </c>
      <c r="C82" s="282"/>
      <c r="D82" s="139">
        <f>+D81-5651</f>
        <v>188</v>
      </c>
      <c r="E82" s="139">
        <f>+E81-D81</f>
        <v>40</v>
      </c>
      <c r="F82" s="139">
        <f t="shared" ref="F82:G82" si="448">+F81-E81</f>
        <v>-233</v>
      </c>
      <c r="G82" s="139">
        <f t="shared" si="448"/>
        <v>214</v>
      </c>
      <c r="H82" s="177">
        <f>+SUM(D82:G82)</f>
        <v>209</v>
      </c>
      <c r="I82" s="139">
        <f>+I81-G81</f>
        <v>199</v>
      </c>
      <c r="J82" s="139">
        <f t="shared" ref="J82:K82" si="449">+J81-I81</f>
        <v>78</v>
      </c>
      <c r="K82" s="139">
        <f t="shared" si="449"/>
        <v>117</v>
      </c>
      <c r="L82" s="139">
        <v>175</v>
      </c>
      <c r="M82" s="177">
        <f>+SUM(I82:L82)</f>
        <v>569</v>
      </c>
      <c r="N82" s="139">
        <f>AVERAGE(I82,J82,K82,L82)</f>
        <v>142.25</v>
      </c>
      <c r="O82" s="139">
        <f>AVERAGE(J82,K82,L82,N82)</f>
        <v>128.0625</v>
      </c>
      <c r="P82" s="139">
        <f>AVERAGE(K82,L82,O82,N82)</f>
        <v>140.578125</v>
      </c>
      <c r="Q82" s="139">
        <f>AVERAGE(L82,P82,N82,O82)</f>
        <v>146.47265625</v>
      </c>
      <c r="R82" s="177">
        <f>+SUM(N82:Q82)</f>
        <v>557.36328125</v>
      </c>
      <c r="S82" s="139">
        <f>AVERAGE(N82,O82,P82,Q82)</f>
        <v>139.3408203125</v>
      </c>
      <c r="T82" s="139">
        <f>AVERAGE(O82,P82,Q82,S82)</f>
        <v>138.613525390625</v>
      </c>
      <c r="U82" s="139">
        <f>AVERAGE(P82,Q82,S82,T82)</f>
        <v>141.25128173828125</v>
      </c>
      <c r="V82" s="139">
        <f>AVERAGE(Q82,S82,T82,U82)</f>
        <v>141.41957092285156</v>
      </c>
      <c r="W82" s="177">
        <f>+SUM(S82:V82)</f>
        <v>560.62519836425781</v>
      </c>
      <c r="X82" s="139">
        <f>AVERAGE(S82,T82,U82,V82)</f>
        <v>140.15629959106445</v>
      </c>
      <c r="Y82" s="139">
        <f>AVERAGE(T82,U82,V82,X82)</f>
        <v>140.36016941070557</v>
      </c>
      <c r="Z82" s="139">
        <f>AVERAGE(U82,V82,X82,Y82)</f>
        <v>140.79683041572571</v>
      </c>
      <c r="AA82" s="139">
        <f>AVERAGE(V82,X82,Y82,Z82)</f>
        <v>140.68321758508682</v>
      </c>
      <c r="AB82" s="177">
        <f>+SUM(X82:AA82)</f>
        <v>561.99651700258255</v>
      </c>
      <c r="AC82" s="139">
        <f>AVERAGE(X82,Y82,Z82,AA82)</f>
        <v>140.49912925064564</v>
      </c>
      <c r="AD82" s="139">
        <f>AVERAGE(Y82,Z82,AA82,AC82)</f>
        <v>140.58483666554093</v>
      </c>
      <c r="AE82" s="139">
        <f>AVERAGE(Z82,AA82,AC82,AD82)</f>
        <v>140.64100347924978</v>
      </c>
      <c r="AF82" s="708">
        <f>AVERAGE(AA82,AC82,AD82,AE82)</f>
        <v>140.60204674513079</v>
      </c>
      <c r="AG82" s="719">
        <f>+SUM(AC82:AF82)</f>
        <v>562.32701614056714</v>
      </c>
      <c r="AH82" s="139">
        <f>AVERAGE(AC82,AD82,AE82,AF82)</f>
        <v>140.58175403514178</v>
      </c>
      <c r="AI82" s="139">
        <f>AVERAGE(AD82,AE82,AF82,AH82)</f>
        <v>140.60241023126582</v>
      </c>
      <c r="AJ82" s="139">
        <f>AVERAGE(AE82,AF82,AH82,AI82)</f>
        <v>140.60680362269704</v>
      </c>
      <c r="AK82" s="708">
        <f>AVERAGE(AF82,AH82,AI82,AJ82)</f>
        <v>140.59825365855886</v>
      </c>
      <c r="AL82" s="719">
        <f>+SUM(AH82:AK82)</f>
        <v>562.38922154766351</v>
      </c>
    </row>
    <row r="83" spans="1:38" s="156" customFormat="1" outlineLevel="1" x14ac:dyDescent="0.2">
      <c r="B83" s="652" t="s">
        <v>125</v>
      </c>
      <c r="C83" s="653"/>
      <c r="D83" s="176">
        <v>5186</v>
      </c>
      <c r="E83" s="176">
        <v>5313</v>
      </c>
      <c r="F83" s="176">
        <v>5476</v>
      </c>
      <c r="G83" s="176">
        <v>5651</v>
      </c>
      <c r="H83" s="210"/>
      <c r="I83" s="176">
        <f>D81</f>
        <v>5839</v>
      </c>
      <c r="J83" s="176">
        <f>E81</f>
        <v>5879</v>
      </c>
      <c r="K83" s="176">
        <f>F81</f>
        <v>5646</v>
      </c>
      <c r="L83" s="176">
        <f>G81</f>
        <v>5860</v>
      </c>
      <c r="M83" s="210"/>
      <c r="N83" s="176">
        <f>I81</f>
        <v>6059</v>
      </c>
      <c r="O83" s="176">
        <f t="shared" ref="O83" si="450">J81</f>
        <v>6137</v>
      </c>
      <c r="P83" s="176">
        <f t="shared" ref="P83" si="451">K81</f>
        <v>6254</v>
      </c>
      <c r="Q83" s="176">
        <f t="shared" ref="Q83" si="452">L81</f>
        <v>6429</v>
      </c>
      <c r="R83" s="210"/>
      <c r="S83" s="176">
        <f>N81</f>
        <v>6571.25</v>
      </c>
      <c r="T83" s="176">
        <f t="shared" ref="T83" si="453">O81</f>
        <v>6699.3125</v>
      </c>
      <c r="U83" s="176">
        <f t="shared" ref="U83" si="454">P81</f>
        <v>6839.890625</v>
      </c>
      <c r="V83" s="176">
        <f t="shared" ref="V83" si="455">Q81</f>
        <v>6986.36328125</v>
      </c>
      <c r="W83" s="210"/>
      <c r="X83" s="176">
        <f>S81</f>
        <v>7125.7041015625</v>
      </c>
      <c r="Y83" s="176">
        <f t="shared" ref="Y83" si="456">T81</f>
        <v>7264.317626953125</v>
      </c>
      <c r="Z83" s="176">
        <f t="shared" ref="Z83" si="457">U81</f>
        <v>7405.5689086914062</v>
      </c>
      <c r="AA83" s="176">
        <f t="shared" ref="AA83" si="458">V81</f>
        <v>7546.9884796142578</v>
      </c>
      <c r="AB83" s="210"/>
      <c r="AC83" s="176">
        <f>X81</f>
        <v>7687.1447792053223</v>
      </c>
      <c r="AD83" s="176">
        <f t="shared" ref="AD83" si="459">Y81</f>
        <v>7827.5049486160278</v>
      </c>
      <c r="AE83" s="176">
        <f t="shared" ref="AE83" si="460">Z81</f>
        <v>7968.3017790317535</v>
      </c>
      <c r="AF83" s="717">
        <f t="shared" ref="AF83" si="461">AA81</f>
        <v>8108.9849966168404</v>
      </c>
      <c r="AG83" s="720"/>
      <c r="AH83" s="176">
        <f>AC81</f>
        <v>8249.484125867486</v>
      </c>
      <c r="AI83" s="176">
        <f t="shared" ref="AI83" si="462">AD81</f>
        <v>8390.0689625330269</v>
      </c>
      <c r="AJ83" s="176">
        <f t="shared" ref="AJ83" si="463">AE81</f>
        <v>8530.7099660122767</v>
      </c>
      <c r="AK83" s="717">
        <f t="shared" ref="AK83" si="464">AF81</f>
        <v>8671.3120127574075</v>
      </c>
      <c r="AL83" s="720"/>
    </row>
    <row r="84" spans="1:38" s="156" customFormat="1" outlineLevel="1" x14ac:dyDescent="0.2">
      <c r="B84" s="652" t="s">
        <v>126</v>
      </c>
      <c r="C84" s="653"/>
      <c r="D84" s="172">
        <v>0.17928494231648628</v>
      </c>
      <c r="E84" s="172">
        <v>0.15524456521739133</v>
      </c>
      <c r="F84" s="172">
        <v>0.16818750000000002</v>
      </c>
      <c r="G84" s="172">
        <f>AVERAGE(D84,E84,F84)</f>
        <v>0.16757233584462586</v>
      </c>
      <c r="H84" s="210"/>
      <c r="I84" s="172">
        <f>+D84*(1+I87)</f>
        <v>0.18107779173965116</v>
      </c>
      <c r="J84" s="172">
        <f>+E84*(1+J87)</f>
        <v>0.10711875000000001</v>
      </c>
      <c r="K84" s="172">
        <f t="shared" ref="K84" si="465">+F84*(1+K87)</f>
        <v>0.10595812500000001</v>
      </c>
      <c r="L84" s="172">
        <f>+G84*(1+L87)</f>
        <v>0.15336220176500159</v>
      </c>
      <c r="M84" s="210"/>
      <c r="N84" s="172">
        <f>+I84*(1+N87)</f>
        <v>0.17325523113649824</v>
      </c>
      <c r="O84" s="172">
        <f t="shared" ref="O84" si="466">+J84*(1+O87)</f>
        <v>0.10812566625000002</v>
      </c>
      <c r="P84" s="172">
        <f t="shared" ref="P84" si="467">+K84*(1+P87)</f>
        <v>0.11350234350000003</v>
      </c>
      <c r="Q84" s="172">
        <f t="shared" ref="Q84" si="468">+L84*(1+Q87)</f>
        <v>0.16428159053066974</v>
      </c>
      <c r="R84" s="210"/>
      <c r="S84" s="172">
        <f>+N84*(1+S87)</f>
        <v>0.18380647471271097</v>
      </c>
      <c r="T84" s="172">
        <f t="shared" ref="T84" si="469">+O84*(1+T87)</f>
        <v>0.11582421368700004</v>
      </c>
      <c r="U84" s="172">
        <f t="shared" ref="U84" si="470">+P84*(1+U87)</f>
        <v>0.12275278449525005</v>
      </c>
      <c r="V84" s="172">
        <f t="shared" ref="V84" si="471">+Q84*(1+V87)</f>
        <v>0.18105474092385113</v>
      </c>
      <c r="W84" s="210"/>
      <c r="X84" s="172">
        <f>+S84*(1+X87)</f>
        <v>0.19500028902271507</v>
      </c>
      <c r="Y84" s="172">
        <f t="shared" ref="Y84" si="472">+T84*(1+Y87)</f>
        <v>0.12168491889956223</v>
      </c>
      <c r="Z84" s="172">
        <f t="shared" ref="Z84" si="473">+U84*(1+Z87)</f>
        <v>0.12769972171040864</v>
      </c>
      <c r="AA84" s="172">
        <f t="shared" ref="AA84" si="474">+V84*(1+AA87)</f>
        <v>0.18835124698308234</v>
      </c>
      <c r="AB84" s="210"/>
      <c r="AC84" s="172">
        <f>+X84*(1+AC87)</f>
        <v>0.20088929775120107</v>
      </c>
      <c r="AD84" s="172">
        <f t="shared" ref="AD84" si="475">+Y84*(1+AD87)</f>
        <v>0.12535980345032902</v>
      </c>
      <c r="AE84" s="172">
        <f t="shared" ref="AE84" si="476">+Z84*(1+AE87)</f>
        <v>0.13155625330606296</v>
      </c>
      <c r="AF84" s="758">
        <f t="shared" ref="AF84" si="477">+AA84*(1+AF87)</f>
        <v>0.19403945464197142</v>
      </c>
      <c r="AG84" s="720"/>
      <c r="AH84" s="172">
        <f>+AC84*(1+AH87)</f>
        <v>0.20695615454328734</v>
      </c>
      <c r="AI84" s="172">
        <f t="shared" ref="AI84" si="478">+AD84*(1+AI87)</f>
        <v>0.12914566951452897</v>
      </c>
      <c r="AJ84" s="172">
        <f t="shared" ref="AJ84" si="479">+AE84*(1+AJ87)</f>
        <v>0.13552925215590605</v>
      </c>
      <c r="AK84" s="758">
        <f t="shared" ref="AK84" si="480">+AF84*(1+AK87)</f>
        <v>0.19989944617215896</v>
      </c>
      <c r="AL84" s="720"/>
    </row>
    <row r="85" spans="1:38" s="137" customFormat="1" outlineLevel="1" x14ac:dyDescent="0.2">
      <c r="B85" s="651" t="s">
        <v>122</v>
      </c>
      <c r="C85" s="656"/>
      <c r="D85" s="171">
        <v>0.01</v>
      </c>
      <c r="E85" s="171">
        <v>0</v>
      </c>
      <c r="F85" s="171">
        <v>0.01</v>
      </c>
      <c r="G85" s="171">
        <v>0.01</v>
      </c>
      <c r="H85" s="200"/>
      <c r="I85" s="171">
        <v>-0.01</v>
      </c>
      <c r="J85" s="171">
        <v>-0.32</v>
      </c>
      <c r="K85" s="171">
        <v>-0.44</v>
      </c>
      <c r="L85" s="171">
        <v>-0.12</v>
      </c>
      <c r="M85" s="200"/>
      <c r="N85" s="171">
        <v>-0.08</v>
      </c>
      <c r="O85" s="171">
        <v>-0.02</v>
      </c>
      <c r="P85" s="171">
        <v>0.04</v>
      </c>
      <c r="Q85" s="171">
        <v>0.04</v>
      </c>
      <c r="R85" s="200"/>
      <c r="S85" s="171">
        <v>0.03</v>
      </c>
      <c r="T85" s="171">
        <v>0.04</v>
      </c>
      <c r="U85" s="171">
        <v>0.05</v>
      </c>
      <c r="V85" s="171">
        <v>7.0000000000000007E-2</v>
      </c>
      <c r="W85" s="200"/>
      <c r="X85" s="171">
        <v>0.03</v>
      </c>
      <c r="Y85" s="171">
        <v>0.02</v>
      </c>
      <c r="Z85" s="171">
        <v>0.01</v>
      </c>
      <c r="AA85" s="171">
        <v>0.01</v>
      </c>
      <c r="AB85" s="200"/>
      <c r="AC85" s="171">
        <v>0.01</v>
      </c>
      <c r="AD85" s="171">
        <v>0.01</v>
      </c>
      <c r="AE85" s="171">
        <v>0.01</v>
      </c>
      <c r="AF85" s="687">
        <v>0.01</v>
      </c>
      <c r="AG85" s="687"/>
      <c r="AH85" s="171">
        <v>0.01</v>
      </c>
      <c r="AI85" s="171">
        <v>0.01</v>
      </c>
      <c r="AJ85" s="171">
        <v>0.01</v>
      </c>
      <c r="AK85" s="687">
        <v>0.01</v>
      </c>
      <c r="AL85" s="687"/>
    </row>
    <row r="86" spans="1:38" s="137" customFormat="1" outlineLevel="1" x14ac:dyDescent="0.2">
      <c r="B86" s="651" t="s">
        <v>121</v>
      </c>
      <c r="C86" s="656"/>
      <c r="D86" s="246">
        <v>0.01</v>
      </c>
      <c r="E86" s="246">
        <v>0.02</v>
      </c>
      <c r="F86" s="246">
        <v>0.03</v>
      </c>
      <c r="G86" s="246">
        <v>0.03</v>
      </c>
      <c r="H86" s="236"/>
      <c r="I86" s="246">
        <v>0.02</v>
      </c>
      <c r="J86" s="246">
        <v>0.01</v>
      </c>
      <c r="K86" s="246">
        <v>0.13</v>
      </c>
      <c r="L86" s="246">
        <v>0.04</v>
      </c>
      <c r="M86" s="236"/>
      <c r="N86" s="246">
        <v>0.04</v>
      </c>
      <c r="O86" s="246">
        <v>0.03</v>
      </c>
      <c r="P86" s="246">
        <v>0.03</v>
      </c>
      <c r="Q86" s="246">
        <v>0.03</v>
      </c>
      <c r="R86" s="236"/>
      <c r="S86" s="246">
        <v>0.03</v>
      </c>
      <c r="T86" s="246">
        <v>0.03</v>
      </c>
      <c r="U86" s="246">
        <v>0.03</v>
      </c>
      <c r="V86" s="246">
        <v>0.03</v>
      </c>
      <c r="W86" s="236"/>
      <c r="X86" s="246">
        <v>0.03</v>
      </c>
      <c r="Y86" s="246">
        <v>0.03</v>
      </c>
      <c r="Z86" s="246">
        <v>0.03</v>
      </c>
      <c r="AA86" s="246">
        <v>0.03</v>
      </c>
      <c r="AB86" s="236"/>
      <c r="AC86" s="246">
        <v>0.02</v>
      </c>
      <c r="AD86" s="246">
        <v>0.02</v>
      </c>
      <c r="AE86" s="246">
        <v>0.02</v>
      </c>
      <c r="AF86" s="722">
        <v>0.02</v>
      </c>
      <c r="AG86" s="722"/>
      <c r="AH86" s="246">
        <v>0.02</v>
      </c>
      <c r="AI86" s="246">
        <v>0.02</v>
      </c>
      <c r="AJ86" s="246">
        <v>0.02</v>
      </c>
      <c r="AK86" s="722">
        <v>0.02</v>
      </c>
      <c r="AL86" s="722"/>
    </row>
    <row r="87" spans="1:38" s="13" customFormat="1" outlineLevel="1" x14ac:dyDescent="0.2">
      <c r="A87" s="152"/>
      <c r="B87" s="60" t="s">
        <v>123</v>
      </c>
      <c r="C87" s="52"/>
      <c r="D87" s="247">
        <v>0.02</v>
      </c>
      <c r="E87" s="247">
        <v>0.02</v>
      </c>
      <c r="F87" s="248">
        <v>0.05</v>
      </c>
      <c r="G87" s="247">
        <v>0.03</v>
      </c>
      <c r="H87" s="218"/>
      <c r="I87" s="247">
        <v>0.01</v>
      </c>
      <c r="J87" s="247">
        <v>-0.31</v>
      </c>
      <c r="K87" s="247">
        <v>-0.37</v>
      </c>
      <c r="L87" s="253">
        <f>(1+L85)*(1+L86)-1</f>
        <v>-8.4799999999999986E-2</v>
      </c>
      <c r="M87" s="218"/>
      <c r="N87" s="253">
        <f>(1+N85)*(1+N86)-1</f>
        <v>-4.3199999999999905E-2</v>
      </c>
      <c r="O87" s="253">
        <f t="shared" ref="O87" si="481">(1+O85)*(1+O86)-1</f>
        <v>9.400000000000075E-3</v>
      </c>
      <c r="P87" s="253">
        <f t="shared" ref="P87" si="482">(1+P85)*(1+P86)-1</f>
        <v>7.1200000000000152E-2</v>
      </c>
      <c r="Q87" s="253">
        <f t="shared" ref="Q87" si="483">(1+Q85)*(1+Q86)-1</f>
        <v>7.1200000000000152E-2</v>
      </c>
      <c r="R87" s="218"/>
      <c r="S87" s="253">
        <f>(1+S85)*(1+S86)-1</f>
        <v>6.0899999999999954E-2</v>
      </c>
      <c r="T87" s="253">
        <f t="shared" ref="T87" si="484">(1+T85)*(1+T86)-1</f>
        <v>7.1200000000000152E-2</v>
      </c>
      <c r="U87" s="253">
        <f t="shared" ref="U87" si="485">(1+U85)*(1+U86)-1</f>
        <v>8.1500000000000128E-2</v>
      </c>
      <c r="V87" s="253">
        <f t="shared" ref="V87" si="486">(1+V85)*(1+V86)-1</f>
        <v>0.10210000000000008</v>
      </c>
      <c r="W87" s="218"/>
      <c r="X87" s="253">
        <f>(1+X85)*(1+X86)-1</f>
        <v>6.0899999999999954E-2</v>
      </c>
      <c r="Y87" s="253">
        <f t="shared" ref="Y87" si="487">(1+Y85)*(1+Y86)-1</f>
        <v>5.0599999999999978E-2</v>
      </c>
      <c r="Z87" s="253">
        <f t="shared" ref="Z87" si="488">(1+Z85)*(1+Z86)-1</f>
        <v>4.0300000000000002E-2</v>
      </c>
      <c r="AA87" s="253">
        <f t="shared" ref="AA87" si="489">(1+AA85)*(1+AA86)-1</f>
        <v>4.0300000000000002E-2</v>
      </c>
      <c r="AB87" s="218"/>
      <c r="AC87" s="253">
        <f>(1+AC85)*(1+AC86)-1</f>
        <v>3.0200000000000005E-2</v>
      </c>
      <c r="AD87" s="253">
        <f t="shared" ref="AD87" si="490">(1+AD85)*(1+AD86)-1</f>
        <v>3.0200000000000005E-2</v>
      </c>
      <c r="AE87" s="253">
        <f t="shared" ref="AE87" si="491">(1+AE85)*(1+AE86)-1</f>
        <v>3.0200000000000005E-2</v>
      </c>
      <c r="AF87" s="716">
        <f t="shared" ref="AF87" si="492">(1+AF85)*(1+AF86)-1</f>
        <v>3.0200000000000005E-2</v>
      </c>
      <c r="AG87" s="723"/>
      <c r="AH87" s="253">
        <f>(1+AH85)*(1+AH86)-1</f>
        <v>3.0200000000000005E-2</v>
      </c>
      <c r="AI87" s="253">
        <f t="shared" ref="AI87" si="493">(1+AI85)*(1+AI86)-1</f>
        <v>3.0200000000000005E-2</v>
      </c>
      <c r="AJ87" s="253">
        <f t="shared" ref="AJ87" si="494">(1+AJ85)*(1+AJ86)-1</f>
        <v>3.0200000000000005E-2</v>
      </c>
      <c r="AK87" s="716">
        <f t="shared" ref="AK87" si="495">(1+AK85)*(1+AK86)-1</f>
        <v>3.0200000000000005E-2</v>
      </c>
      <c r="AL87" s="723"/>
    </row>
    <row r="88" spans="1:38" s="137" customFormat="1" ht="18" outlineLevel="1" x14ac:dyDescent="0.35">
      <c r="B88" s="655" t="s">
        <v>155</v>
      </c>
      <c r="C88" s="656"/>
      <c r="D88" s="154">
        <v>348</v>
      </c>
      <c r="E88" s="154">
        <v>485</v>
      </c>
      <c r="F88" s="154">
        <v>432</v>
      </c>
      <c r="G88" s="154">
        <v>369</v>
      </c>
      <c r="H88" s="214"/>
      <c r="I88" s="154">
        <v>252</v>
      </c>
      <c r="J88" s="154">
        <v>272.5</v>
      </c>
      <c r="K88" s="154">
        <v>277.625</v>
      </c>
      <c r="L88" s="139">
        <f>AVERAGE(G88,I88,J88,K88)</f>
        <v>292.78125</v>
      </c>
      <c r="M88" s="214"/>
      <c r="N88" s="139">
        <f>AVERAGE(I88,J88,K88,L88)</f>
        <v>273.7265625</v>
      </c>
      <c r="O88" s="139">
        <f>AVERAGE(J88,K88,L88,N88)</f>
        <v>279.158203125</v>
      </c>
      <c r="P88" s="139">
        <f>AVERAGE(K88,L88,N88,O88)</f>
        <v>280.82275390625</v>
      </c>
      <c r="Q88" s="139">
        <f>AVERAGE(L88,N88,O88,P88)</f>
        <v>281.6221923828125</v>
      </c>
      <c r="R88" s="214"/>
      <c r="S88" s="139">
        <f>AVERAGE(N88,O88,P88,Q88)</f>
        <v>278.83242797851562</v>
      </c>
      <c r="T88" s="139">
        <f>AVERAGE(O88,P88,Q88,S88)</f>
        <v>280.10889434814453</v>
      </c>
      <c r="U88" s="139">
        <f>AVERAGE(P88,Q88,S88,T88)</f>
        <v>280.34656715393066</v>
      </c>
      <c r="V88" s="139">
        <f>AVERAGE(Q88,S88,T88,U88)</f>
        <v>280.22752046585083</v>
      </c>
      <c r="W88" s="214"/>
      <c r="X88" s="139">
        <f>AVERAGE(S88,T88,U88,V88)</f>
        <v>279.87885248661041</v>
      </c>
      <c r="Y88" s="139">
        <f>AVERAGE(T88,U88,V88,X88)</f>
        <v>280.14045861363411</v>
      </c>
      <c r="Z88" s="139">
        <f>AVERAGE(U88,V88,X88,Y88)</f>
        <v>280.1483496800065</v>
      </c>
      <c r="AA88" s="139">
        <f>AVERAGE(V88,X88,Y88,Z88)</f>
        <v>280.09879531152546</v>
      </c>
      <c r="AB88" s="214"/>
      <c r="AC88" s="139">
        <f>AVERAGE(X88,Y88,Z88,AA88)</f>
        <v>280.06661402294412</v>
      </c>
      <c r="AD88" s="139">
        <f>AVERAGE(Y88,Z88,AA88,AC88)</f>
        <v>280.11355440702755</v>
      </c>
      <c r="AE88" s="139">
        <f>AVERAGE(Z88,AA88,AC88,AD88)</f>
        <v>280.10682835537591</v>
      </c>
      <c r="AF88" s="708">
        <f>AVERAGE(AA88,AC88,AD88,AE88)</f>
        <v>280.09644802421826</v>
      </c>
      <c r="AG88" s="734"/>
      <c r="AH88" s="139">
        <f>AVERAGE(AC88,AD88,AE88,AF88)</f>
        <v>280.09586120239146</v>
      </c>
      <c r="AI88" s="139">
        <f>AVERAGE(AD88,AE88,AF88,AH88)</f>
        <v>280.1031729972533</v>
      </c>
      <c r="AJ88" s="139">
        <f>AVERAGE(AE88,AF88,AH88,AI88)</f>
        <v>280.10057764480973</v>
      </c>
      <c r="AK88" s="708">
        <f>AVERAGE(AF88,AH88,AI88,AJ88)</f>
        <v>280.09901496716816</v>
      </c>
      <c r="AL88" s="734"/>
    </row>
    <row r="89" spans="1:38" s="13" customFormat="1" outlineLevel="1" x14ac:dyDescent="0.2">
      <c r="A89" s="152"/>
      <c r="B89" s="302" t="s">
        <v>260</v>
      </c>
      <c r="C89" s="303"/>
      <c r="D89" s="89">
        <v>1278.0999999999999</v>
      </c>
      <c r="E89" s="89">
        <v>1309.4000000000001</v>
      </c>
      <c r="F89" s="142">
        <v>1352.8</v>
      </c>
      <c r="G89" s="89">
        <v>1315.9</v>
      </c>
      <c r="H89" s="91"/>
      <c r="I89" s="89">
        <v>1309.7</v>
      </c>
      <c r="J89" s="89">
        <v>902.4</v>
      </c>
      <c r="K89" s="142">
        <v>875.5</v>
      </c>
      <c r="L89" s="142">
        <f>(L83*L84)+L88</f>
        <v>1191.4837523429094</v>
      </c>
      <c r="M89" s="91"/>
      <c r="N89" s="142">
        <f t="shared" ref="N89" si="496">(N83*N84)+N88</f>
        <v>1323.4800079560428</v>
      </c>
      <c r="O89" s="142">
        <f t="shared" ref="O89" si="497">(O83*O84)+O88</f>
        <v>942.72541690125013</v>
      </c>
      <c r="P89" s="142">
        <f t="shared" ref="P89" si="498">(P83*P84)+P88</f>
        <v>990.66641015525022</v>
      </c>
      <c r="Q89" s="142">
        <f t="shared" ref="Q89" si="499">(Q83*Q84)+Q88</f>
        <v>1337.7885379044883</v>
      </c>
      <c r="R89" s="91"/>
      <c r="S89" s="142">
        <f t="shared" ref="S89" si="500">(S83*S84)+S88</f>
        <v>1486.6707249344176</v>
      </c>
      <c r="T89" s="142">
        <f t="shared" ref="T89" si="501">(T83*T84)+T88</f>
        <v>1056.0514969041351</v>
      </c>
      <c r="U89" s="142">
        <f t="shared" ref="U89" si="502">(U83*U84)+U88</f>
        <v>1119.962187015637</v>
      </c>
      <c r="V89" s="142">
        <f t="shared" ref="V89" si="503">(V83*V84)+V88</f>
        <v>1545.1417143524761</v>
      </c>
      <c r="W89" s="91"/>
      <c r="X89" s="142">
        <f t="shared" ref="X89" si="504">(X83*X84)+X88</f>
        <v>1669.3932117816441</v>
      </c>
      <c r="Y89" s="142">
        <f t="shared" ref="Y89" si="505">(Y83*Y84)+Y88</f>
        <v>1164.0983599100855</v>
      </c>
      <c r="Z89" s="142">
        <f t="shared" ref="Z89" si="506">(Z83*Z84)+Z88</f>
        <v>1225.8374384271538</v>
      </c>
      <c r="AA89" s="142">
        <f t="shared" ref="AA89" si="507">(AA83*AA84)+AA88</f>
        <v>1701.5834864138276</v>
      </c>
      <c r="AB89" s="91"/>
      <c r="AC89" s="142">
        <f t="shared" ref="AC89" si="508">(AC83*AC84)+AC88</f>
        <v>1824.331730429313</v>
      </c>
      <c r="AD89" s="142">
        <f t="shared" ref="AD89" si="509">(AD83*AD84)+AD88</f>
        <v>1261.3680362720106</v>
      </c>
      <c r="AE89" s="142">
        <f t="shared" ref="AE89" si="510">(AE83*AE84)+AE88</f>
        <v>1328.3867556168295</v>
      </c>
      <c r="AF89" s="714">
        <f t="shared" ref="AF89" si="511">(AF83*AF84)+AF88</f>
        <v>1853.5594744676785</v>
      </c>
      <c r="AG89" s="735"/>
      <c r="AH89" s="142">
        <f t="shared" ref="AH89" si="512">(AH83*AH84)+AH88</f>
        <v>1987.3773728578185</v>
      </c>
      <c r="AI89" s="142">
        <f t="shared" ref="AI89" si="513">(AI83*AI84)+AI88</f>
        <v>1363.6442464366505</v>
      </c>
      <c r="AJ89" s="142">
        <f t="shared" ref="AJ89" si="514">(AJ83*AJ84)+AJ88</f>
        <v>1436.2613196973884</v>
      </c>
      <c r="AK89" s="714">
        <f t="shared" ref="AK89" si="515">(AK83*AK84)+AK88</f>
        <v>2013.489483903363</v>
      </c>
      <c r="AL89" s="735"/>
    </row>
    <row r="90" spans="1:38" s="13" customFormat="1" outlineLevel="1" x14ac:dyDescent="0.2">
      <c r="A90" s="152"/>
      <c r="B90" s="96" t="s">
        <v>129</v>
      </c>
      <c r="C90" s="52"/>
      <c r="D90" s="100">
        <f t="shared" ref="D90" si="516">+D89/D81</f>
        <v>0.21889022092824112</v>
      </c>
      <c r="E90" s="100">
        <f t="shared" ref="E90" si="517">+E89/E81</f>
        <v>0.22272495322333732</v>
      </c>
      <c r="F90" s="172">
        <f t="shared" ref="F90" si="518">+F89/F81</f>
        <v>0.23960325894438539</v>
      </c>
      <c r="G90" s="100">
        <f t="shared" ref="G90" si="519">+G89/G81</f>
        <v>0.22455631399317408</v>
      </c>
      <c r="H90" s="91"/>
      <c r="I90" s="100">
        <f t="shared" ref="I90" si="520">+I89/I81</f>
        <v>0.21615778181218023</v>
      </c>
      <c r="J90" s="100">
        <f t="shared" ref="J90" si="521">+J89/J81</f>
        <v>0.14704252892292652</v>
      </c>
      <c r="K90" s="100">
        <f t="shared" ref="K90:M90" si="522">+K89/K81</f>
        <v>0.13999040614007036</v>
      </c>
      <c r="L90" s="100">
        <f t="shared" si="522"/>
        <v>0.1853295617270041</v>
      </c>
      <c r="M90" s="91"/>
      <c r="N90" s="100">
        <f t="shared" ref="N90:Q90" si="523">+N89/N81</f>
        <v>0.20140460459669662</v>
      </c>
      <c r="O90" s="100">
        <f t="shared" si="523"/>
        <v>0.14071972562874924</v>
      </c>
      <c r="P90" s="100">
        <f t="shared" si="523"/>
        <v>0.14483658649954659</v>
      </c>
      <c r="Q90" s="100">
        <f t="shared" si="523"/>
        <v>0.19148568204216418</v>
      </c>
      <c r="R90" s="91"/>
      <c r="S90" s="100">
        <f t="shared" ref="S90:V90" si="524">+S89/S81</f>
        <v>0.20863492277323523</v>
      </c>
      <c r="T90" s="100">
        <f t="shared" si="524"/>
        <v>0.14537518196971724</v>
      </c>
      <c r="U90" s="100">
        <f t="shared" si="524"/>
        <v>0.15123243073212303</v>
      </c>
      <c r="V90" s="100">
        <f t="shared" si="524"/>
        <v>0.20473619623591258</v>
      </c>
      <c r="W90" s="91"/>
      <c r="X90" s="100">
        <f t="shared" ref="X90:AA90" si="525">+X89/X81</f>
        <v>0.21716687531338805</v>
      </c>
      <c r="Y90" s="100">
        <f t="shared" si="525"/>
        <v>0.14871895547199984</v>
      </c>
      <c r="Z90" s="100">
        <f t="shared" si="525"/>
        <v>0.15383923355574869</v>
      </c>
      <c r="AA90" s="100">
        <f t="shared" si="525"/>
        <v>0.20983926929495458</v>
      </c>
      <c r="AB90" s="91"/>
      <c r="AC90" s="100">
        <f t="shared" ref="AC90:AF90" si="526">+AC89/AC81</f>
        <v>0.22114494707721774</v>
      </c>
      <c r="AD90" s="100">
        <f t="shared" si="526"/>
        <v>0.15034060410049285</v>
      </c>
      <c r="AE90" s="100">
        <f t="shared" si="526"/>
        <v>0.15571819472345635</v>
      </c>
      <c r="AF90" s="711">
        <f t="shared" si="526"/>
        <v>0.21375767262678183</v>
      </c>
      <c r="AG90" s="735"/>
      <c r="AH90" s="100">
        <f t="shared" ref="AH90:AK90" si="527">+AH89/AH81</f>
        <v>0.22553351475334527</v>
      </c>
      <c r="AI90" s="100">
        <f t="shared" si="527"/>
        <v>0.15232000321166103</v>
      </c>
      <c r="AJ90" s="100">
        <f t="shared" si="527"/>
        <v>0.15795062727809023</v>
      </c>
      <c r="AK90" s="711">
        <f t="shared" si="527"/>
        <v>0.21805876460707238</v>
      </c>
      <c r="AL90" s="735"/>
    </row>
    <row r="91" spans="1:38" s="92" customFormat="1" outlineLevel="1" x14ac:dyDescent="0.2">
      <c r="A91" s="156"/>
      <c r="B91" s="96" t="s">
        <v>127</v>
      </c>
      <c r="C91" s="97"/>
      <c r="D91" s="94">
        <f>ROUND((+D89-D88-(D83*D84)),0)</f>
        <v>0</v>
      </c>
      <c r="E91" s="98">
        <f>ROUND((+E89-E88-(E83*E84)),0)</f>
        <v>0</v>
      </c>
      <c r="F91" s="159">
        <f>ROUND((+F89-F88-(F83*F84)),0)</f>
        <v>0</v>
      </c>
      <c r="G91" s="98">
        <f>ROUND((+G89-G88-(G83*G84)),0)</f>
        <v>0</v>
      </c>
      <c r="H91" s="99"/>
      <c r="I91" s="98">
        <f>ROUND((+I89-I88-(I83*I84)),0)</f>
        <v>0</v>
      </c>
      <c r="J91" s="98">
        <f>ROUND((+J89-J88-(J83*J84)),0)</f>
        <v>0</v>
      </c>
      <c r="K91" s="98">
        <f>ROUND((+K89-K88-(K83*K84)),0)</f>
        <v>0</v>
      </c>
      <c r="L91" s="98">
        <f>ROUND((+L89-L88-(L83*L84)),0)</f>
        <v>0</v>
      </c>
      <c r="M91" s="99"/>
      <c r="N91" s="98">
        <f t="shared" ref="N91:Q91" si="528">ROUND((+N89-N88-(N83*N84)),0)</f>
        <v>0</v>
      </c>
      <c r="O91" s="98">
        <f t="shared" si="528"/>
        <v>0</v>
      </c>
      <c r="P91" s="98">
        <f t="shared" si="528"/>
        <v>0</v>
      </c>
      <c r="Q91" s="98">
        <f t="shared" si="528"/>
        <v>0</v>
      </c>
      <c r="R91" s="99"/>
      <c r="S91" s="98">
        <f t="shared" ref="S91:V91" si="529">ROUND((+S89-S88-(S83*S84)),0)</f>
        <v>0</v>
      </c>
      <c r="T91" s="98">
        <f t="shared" si="529"/>
        <v>0</v>
      </c>
      <c r="U91" s="98">
        <f t="shared" si="529"/>
        <v>0</v>
      </c>
      <c r="V91" s="98">
        <f t="shared" si="529"/>
        <v>0</v>
      </c>
      <c r="W91" s="99"/>
      <c r="X91" s="98">
        <f t="shared" ref="X91:AA91" si="530">ROUND((+X89-X88-(X83*X84)),0)</f>
        <v>0</v>
      </c>
      <c r="Y91" s="98">
        <f t="shared" si="530"/>
        <v>0</v>
      </c>
      <c r="Z91" s="98">
        <f t="shared" si="530"/>
        <v>0</v>
      </c>
      <c r="AA91" s="98">
        <f t="shared" si="530"/>
        <v>0</v>
      </c>
      <c r="AB91" s="99"/>
      <c r="AC91" s="98">
        <f t="shared" ref="AC91:AF91" si="531">ROUND((+AC89-AC88-(AC83*AC84)),0)</f>
        <v>0</v>
      </c>
      <c r="AD91" s="98">
        <f t="shared" si="531"/>
        <v>0</v>
      </c>
      <c r="AE91" s="98">
        <f t="shared" si="531"/>
        <v>0</v>
      </c>
      <c r="AF91" s="760">
        <f t="shared" si="531"/>
        <v>0</v>
      </c>
      <c r="AG91" s="736"/>
      <c r="AH91" s="98">
        <f t="shared" ref="AH91:AK91" si="532">ROUND((+AH89-AH88-(AH83*AH84)),0)</f>
        <v>0</v>
      </c>
      <c r="AI91" s="98">
        <f t="shared" si="532"/>
        <v>0</v>
      </c>
      <c r="AJ91" s="98">
        <f t="shared" si="532"/>
        <v>0</v>
      </c>
      <c r="AK91" s="760">
        <f t="shared" si="532"/>
        <v>0</v>
      </c>
      <c r="AL91" s="736"/>
    </row>
    <row r="92" spans="1:38" s="13" customFormat="1" outlineLevel="1" x14ac:dyDescent="0.2">
      <c r="A92" s="152"/>
      <c r="B92" s="333" t="s">
        <v>261</v>
      </c>
      <c r="C92" s="334"/>
      <c r="D92" s="101">
        <v>6373</v>
      </c>
      <c r="E92" s="101">
        <v>6586</v>
      </c>
      <c r="F92" s="170">
        <v>7127</v>
      </c>
      <c r="G92" s="101">
        <v>7329</v>
      </c>
      <c r="H92" s="102"/>
      <c r="I92" s="101">
        <v>7533</v>
      </c>
      <c r="J92" s="101">
        <v>7642</v>
      </c>
      <c r="K92" s="101">
        <v>7691</v>
      </c>
      <c r="L92" s="170">
        <f>K92+L93</f>
        <v>7863</v>
      </c>
      <c r="M92" s="102"/>
      <c r="N92" s="170">
        <f>L92+N93</f>
        <v>7963</v>
      </c>
      <c r="O92" s="170">
        <f t="shared" ref="O92" si="533">N92+O93</f>
        <v>8063</v>
      </c>
      <c r="P92" s="170">
        <f t="shared" ref="P92" si="534">O92+P93</f>
        <v>8163</v>
      </c>
      <c r="Q92" s="170">
        <f t="shared" ref="Q92" si="535">P92+Q93</f>
        <v>8263</v>
      </c>
      <c r="R92" s="102"/>
      <c r="S92" s="170">
        <f>Q92+S93</f>
        <v>8363</v>
      </c>
      <c r="T92" s="170">
        <f t="shared" ref="T92" si="536">S92+T93</f>
        <v>8463</v>
      </c>
      <c r="U92" s="170">
        <f t="shared" ref="U92" si="537">T92+U93</f>
        <v>8563</v>
      </c>
      <c r="V92" s="170">
        <f t="shared" ref="V92" si="538">U92+V93</f>
        <v>8663</v>
      </c>
      <c r="W92" s="102"/>
      <c r="X92" s="170">
        <f>V92+X93</f>
        <v>8763</v>
      </c>
      <c r="Y92" s="170">
        <f t="shared" ref="Y92" si="539">X92+Y93</f>
        <v>8863</v>
      </c>
      <c r="Z92" s="170">
        <f t="shared" ref="Z92" si="540">Y92+Z93</f>
        <v>8963</v>
      </c>
      <c r="AA92" s="170">
        <f t="shared" ref="AA92" si="541">Z92+AA93</f>
        <v>9063</v>
      </c>
      <c r="AB92" s="102"/>
      <c r="AC92" s="170">
        <f>AA92+AC93</f>
        <v>9163</v>
      </c>
      <c r="AD92" s="170">
        <f t="shared" ref="AD92" si="542">AC92+AD93</f>
        <v>9263</v>
      </c>
      <c r="AE92" s="170">
        <f t="shared" ref="AE92" si="543">AD92+AE93</f>
        <v>9363</v>
      </c>
      <c r="AF92" s="761">
        <f t="shared" ref="AF92" si="544">AE92+AF93</f>
        <v>9463</v>
      </c>
      <c r="AG92" s="737"/>
      <c r="AH92" s="170">
        <f>AF92+AH93</f>
        <v>9563</v>
      </c>
      <c r="AI92" s="170">
        <f t="shared" ref="AI92" si="545">AH92+AI93</f>
        <v>9663</v>
      </c>
      <c r="AJ92" s="170">
        <f t="shared" ref="AJ92" si="546">AI92+AJ93</f>
        <v>9763</v>
      </c>
      <c r="AK92" s="761">
        <f t="shared" ref="AK92" si="547">AJ92+AK93</f>
        <v>9863</v>
      </c>
      <c r="AL92" s="737"/>
    </row>
    <row r="93" spans="1:38" s="137" customFormat="1" outlineLevel="1" x14ac:dyDescent="0.2">
      <c r="B93" s="651" t="s">
        <v>128</v>
      </c>
      <c r="C93" s="282"/>
      <c r="D93" s="139">
        <f>+D92-6201</f>
        <v>172</v>
      </c>
      <c r="E93" s="139">
        <f>+E92-D92</f>
        <v>213</v>
      </c>
      <c r="F93" s="139">
        <f t="shared" ref="F93:G93" si="548">+F92-E92</f>
        <v>541</v>
      </c>
      <c r="G93" s="139">
        <f t="shared" si="548"/>
        <v>202</v>
      </c>
      <c r="H93" s="177">
        <f>+SUM(D93:G93)</f>
        <v>1128</v>
      </c>
      <c r="I93" s="139">
        <f>+I92-G92</f>
        <v>204</v>
      </c>
      <c r="J93" s="139">
        <f>+J92-I92</f>
        <v>109</v>
      </c>
      <c r="K93" s="139">
        <f t="shared" ref="J93:K93" si="549">+K92-J92</f>
        <v>49</v>
      </c>
      <c r="L93" s="139">
        <v>172</v>
      </c>
      <c r="M93" s="177">
        <f>+SUM(I93:L93)</f>
        <v>534</v>
      </c>
      <c r="N93" s="139">
        <v>100</v>
      </c>
      <c r="O93" s="139">
        <v>100</v>
      </c>
      <c r="P93" s="139">
        <v>100</v>
      </c>
      <c r="Q93" s="139">
        <v>100</v>
      </c>
      <c r="R93" s="177">
        <f>+SUM(N93:Q93)</f>
        <v>400</v>
      </c>
      <c r="S93" s="139">
        <f>AVERAGE(N93,O93,P93,Q93)</f>
        <v>100</v>
      </c>
      <c r="T93" s="139">
        <f>AVERAGE(O93,P93,Q93,S93)</f>
        <v>100</v>
      </c>
      <c r="U93" s="139">
        <f>AVERAGE(P93,Q93,S93,T93)</f>
        <v>100</v>
      </c>
      <c r="V93" s="139">
        <f>AVERAGE(Q93,S93,T93,U93)</f>
        <v>100</v>
      </c>
      <c r="W93" s="177">
        <f>+SUM(S93:V93)</f>
        <v>400</v>
      </c>
      <c r="X93" s="139">
        <f>AVERAGE(S93,T93,U93,V93)</f>
        <v>100</v>
      </c>
      <c r="Y93" s="139">
        <f>AVERAGE(T93,U93,V93,X93)</f>
        <v>100</v>
      </c>
      <c r="Z93" s="139">
        <f>AVERAGE(U93,V93,X93,Y93)</f>
        <v>100</v>
      </c>
      <c r="AA93" s="139">
        <f>AVERAGE(V93,X93,Y93,Z93)</f>
        <v>100</v>
      </c>
      <c r="AB93" s="177">
        <f>+SUM(X93:AA93)</f>
        <v>400</v>
      </c>
      <c r="AC93" s="139">
        <f>AVERAGE(X93,Y93,Z93,AA93)</f>
        <v>100</v>
      </c>
      <c r="AD93" s="139">
        <f>AVERAGE(Y93,Z93,AA93,AC93)</f>
        <v>100</v>
      </c>
      <c r="AE93" s="139">
        <f>AVERAGE(Z93,AA93,AC93,AD93)</f>
        <v>100</v>
      </c>
      <c r="AF93" s="708">
        <f>AVERAGE(AA93,AC93,AD93,AE93)</f>
        <v>100</v>
      </c>
      <c r="AG93" s="719">
        <f>+SUM(AC93:AF93)</f>
        <v>400</v>
      </c>
      <c r="AH93" s="139">
        <f>AVERAGE(AC93,AD93,AE93,AF93)</f>
        <v>100</v>
      </c>
      <c r="AI93" s="139">
        <f>AVERAGE(AD93,AE93,AF93,AH93)</f>
        <v>100</v>
      </c>
      <c r="AJ93" s="139">
        <f>AVERAGE(AE93,AF93,AH93,AI93)</f>
        <v>100</v>
      </c>
      <c r="AK93" s="708">
        <f>AVERAGE(AF93,AH93,AI93,AJ93)</f>
        <v>100</v>
      </c>
      <c r="AL93" s="719">
        <f>+SUM(AH93:AK93)</f>
        <v>400</v>
      </c>
    </row>
    <row r="94" spans="1:38" s="137" customFormat="1" outlineLevel="1" x14ac:dyDescent="0.2">
      <c r="B94" s="651" t="s">
        <v>131</v>
      </c>
      <c r="C94" s="282"/>
      <c r="D94" s="139">
        <f>AVERAGE(D92,6201)</f>
        <v>6287</v>
      </c>
      <c r="E94" s="139">
        <f>AVERAGE(E92,D92)</f>
        <v>6479.5</v>
      </c>
      <c r="F94" s="139">
        <f t="shared" ref="F94:G94" si="550">AVERAGE(F92,E92)</f>
        <v>6856.5</v>
      </c>
      <c r="G94" s="139">
        <f t="shared" si="550"/>
        <v>7228</v>
      </c>
      <c r="H94" s="177"/>
      <c r="I94" s="139">
        <f>AVERAGE(I92,G92)</f>
        <v>7431</v>
      </c>
      <c r="J94" s="139">
        <f>AVERAGE(J92,I92)</f>
        <v>7587.5</v>
      </c>
      <c r="K94" s="139">
        <f t="shared" ref="K94" si="551">AVERAGE(K92,J92)</f>
        <v>7666.5</v>
      </c>
      <c r="L94" s="139">
        <f>AVERAGE(K92,L92)</f>
        <v>7777</v>
      </c>
      <c r="M94" s="177"/>
      <c r="N94" s="139">
        <f>AVERAGE(L92,N92)</f>
        <v>7913</v>
      </c>
      <c r="O94" s="139">
        <f t="shared" ref="O94:Q94" si="552">AVERAGE(N92,O92)</f>
        <v>8013</v>
      </c>
      <c r="P94" s="139">
        <f t="shared" si="552"/>
        <v>8113</v>
      </c>
      <c r="Q94" s="139">
        <f t="shared" si="552"/>
        <v>8213</v>
      </c>
      <c r="R94" s="177"/>
      <c r="S94" s="139">
        <f>AVERAGE(Q92,S92)</f>
        <v>8313</v>
      </c>
      <c r="T94" s="139">
        <f t="shared" ref="T94:V94" si="553">AVERAGE(S92,T92)</f>
        <v>8413</v>
      </c>
      <c r="U94" s="139">
        <f t="shared" si="553"/>
        <v>8513</v>
      </c>
      <c r="V94" s="139">
        <f t="shared" si="553"/>
        <v>8613</v>
      </c>
      <c r="W94" s="177"/>
      <c r="X94" s="139">
        <f>AVERAGE(V92,X92)</f>
        <v>8713</v>
      </c>
      <c r="Y94" s="139">
        <f t="shared" ref="Y94:AA94" si="554">AVERAGE(X92,Y92)</f>
        <v>8813</v>
      </c>
      <c r="Z94" s="139">
        <f t="shared" si="554"/>
        <v>8913</v>
      </c>
      <c r="AA94" s="139">
        <f t="shared" si="554"/>
        <v>9013</v>
      </c>
      <c r="AB94" s="177"/>
      <c r="AC94" s="139">
        <f>AVERAGE(AA92,AC92)</f>
        <v>9113</v>
      </c>
      <c r="AD94" s="139">
        <f t="shared" ref="AD94:AF94" si="555">AVERAGE(AC92,AD92)</f>
        <v>9213</v>
      </c>
      <c r="AE94" s="139">
        <f t="shared" si="555"/>
        <v>9313</v>
      </c>
      <c r="AF94" s="708">
        <f t="shared" si="555"/>
        <v>9413</v>
      </c>
      <c r="AG94" s="719"/>
      <c r="AH94" s="139">
        <f>AVERAGE(AF92,AH92)</f>
        <v>9513</v>
      </c>
      <c r="AI94" s="139">
        <f t="shared" ref="AI94:AK94" si="556">AVERAGE(AH92,AI92)</f>
        <v>9613</v>
      </c>
      <c r="AJ94" s="139">
        <f t="shared" si="556"/>
        <v>9713</v>
      </c>
      <c r="AK94" s="708">
        <f t="shared" si="556"/>
        <v>9813</v>
      </c>
      <c r="AL94" s="719"/>
    </row>
    <row r="95" spans="1:38" s="137" customFormat="1" outlineLevel="1" x14ac:dyDescent="0.2">
      <c r="B95" s="651" t="s">
        <v>130</v>
      </c>
      <c r="C95" s="282"/>
      <c r="D95" s="163">
        <f>+D96/D94</f>
        <v>3.5390488309209482E-2</v>
      </c>
      <c r="E95" s="163">
        <f>+E96/E94</f>
        <v>3.3197005941816495E-2</v>
      </c>
      <c r="F95" s="163">
        <f>+F96/F94</f>
        <v>3.335521038430686E-2</v>
      </c>
      <c r="G95" s="163">
        <f>+G96/G94</f>
        <v>3.468456004427227E-2</v>
      </c>
      <c r="H95" s="177"/>
      <c r="I95" s="163">
        <f t="shared" ref="I95:K95" si="557">+I96/I94</f>
        <v>3.4275333064190554E-2</v>
      </c>
      <c r="J95" s="163">
        <f t="shared" si="557"/>
        <v>2.97331136738056E-2</v>
      </c>
      <c r="K95" s="163">
        <f t="shared" si="557"/>
        <v>8.4784451835909474E-3</v>
      </c>
      <c r="L95" s="163">
        <v>2.5000000000000001E-2</v>
      </c>
      <c r="M95" s="177"/>
      <c r="N95" s="163">
        <v>3.2000000000000001E-2</v>
      </c>
      <c r="O95" s="163">
        <v>3.3000000000000002E-2</v>
      </c>
      <c r="P95" s="163">
        <v>3.4000000000000002E-2</v>
      </c>
      <c r="Q95" s="163">
        <v>3.5000000000000003E-2</v>
      </c>
      <c r="R95" s="177"/>
      <c r="S95" s="163">
        <f>N95*1.02</f>
        <v>3.2640000000000002E-2</v>
      </c>
      <c r="T95" s="163">
        <f t="shared" ref="T95" si="558">O95*1.02</f>
        <v>3.3660000000000002E-2</v>
      </c>
      <c r="U95" s="163">
        <f t="shared" ref="U95" si="559">P95*1.02</f>
        <v>3.4680000000000002E-2</v>
      </c>
      <c r="V95" s="163">
        <f t="shared" ref="V95" si="560">Q95*1.02</f>
        <v>3.5700000000000003E-2</v>
      </c>
      <c r="W95" s="177"/>
      <c r="X95" s="163">
        <f>S95*1.02</f>
        <v>3.3292800000000004E-2</v>
      </c>
      <c r="Y95" s="163">
        <f t="shared" ref="Y95" si="561">T95*1.02</f>
        <v>3.4333200000000001E-2</v>
      </c>
      <c r="Z95" s="163">
        <f t="shared" ref="Z95" si="562">U95*1.02</f>
        <v>3.5373600000000005E-2</v>
      </c>
      <c r="AA95" s="163">
        <f t="shared" ref="AA95" si="563">V95*1.02</f>
        <v>3.6414000000000002E-2</v>
      </c>
      <c r="AB95" s="177"/>
      <c r="AC95" s="163">
        <f>X95*1.02</f>
        <v>3.3958656000000004E-2</v>
      </c>
      <c r="AD95" s="163">
        <f t="shared" ref="AD95" si="564">Y95*1.02</f>
        <v>3.5019864000000005E-2</v>
      </c>
      <c r="AE95" s="163">
        <f t="shared" ref="AE95" si="565">Z95*1.02</f>
        <v>3.6081072000000006E-2</v>
      </c>
      <c r="AF95" s="762">
        <f t="shared" ref="AF95" si="566">AA95*1.02</f>
        <v>3.714228E-2</v>
      </c>
      <c r="AG95" s="719"/>
      <c r="AH95" s="163">
        <f>AC95*1.02</f>
        <v>3.4637829120000005E-2</v>
      </c>
      <c r="AI95" s="163">
        <f t="shared" ref="AI95" si="567">AD95*1.02</f>
        <v>3.5720261280000005E-2</v>
      </c>
      <c r="AJ95" s="163">
        <f t="shared" ref="AJ95" si="568">AE95*1.02</f>
        <v>3.6802693440000006E-2</v>
      </c>
      <c r="AK95" s="762">
        <f t="shared" ref="AK95" si="569">AF95*1.02</f>
        <v>3.78851256E-2</v>
      </c>
      <c r="AL95" s="719"/>
    </row>
    <row r="96" spans="1:38" s="152" customFormat="1" outlineLevel="1" x14ac:dyDescent="0.2">
      <c r="B96" s="658" t="s">
        <v>262</v>
      </c>
      <c r="C96" s="659"/>
      <c r="D96" s="164">
        <v>222.5</v>
      </c>
      <c r="E96" s="164">
        <v>215.1</v>
      </c>
      <c r="F96" s="164">
        <v>228.7</v>
      </c>
      <c r="G96" s="164">
        <v>250.7</v>
      </c>
      <c r="H96" s="249"/>
      <c r="I96" s="164">
        <v>254.7</v>
      </c>
      <c r="J96" s="164">
        <v>225.6</v>
      </c>
      <c r="K96" s="164">
        <v>65</v>
      </c>
      <c r="L96" s="164">
        <f>L95*L94</f>
        <v>194.42500000000001</v>
      </c>
      <c r="M96" s="249"/>
      <c r="N96" s="164">
        <f t="shared" ref="N96" si="570">N95*N94</f>
        <v>253.21600000000001</v>
      </c>
      <c r="O96" s="164">
        <f t="shared" ref="O96" si="571">O95*O94</f>
        <v>264.42900000000003</v>
      </c>
      <c r="P96" s="164">
        <f t="shared" ref="P96" si="572">P95*P94</f>
        <v>275.84200000000004</v>
      </c>
      <c r="Q96" s="164">
        <f t="shared" ref="Q96" si="573">Q95*Q94</f>
        <v>287.45500000000004</v>
      </c>
      <c r="R96" s="249"/>
      <c r="S96" s="164">
        <f t="shared" ref="S96" si="574">S95*S94</f>
        <v>271.33632</v>
      </c>
      <c r="T96" s="164">
        <f t="shared" ref="T96" si="575">T95*T94</f>
        <v>283.18158</v>
      </c>
      <c r="U96" s="164">
        <f t="shared" ref="U96" si="576">U95*U94</f>
        <v>295.23084</v>
      </c>
      <c r="V96" s="164">
        <f t="shared" ref="V96" si="577">V95*V94</f>
        <v>307.48410000000001</v>
      </c>
      <c r="W96" s="249"/>
      <c r="X96" s="164">
        <f t="shared" ref="X96" si="578">X95*X94</f>
        <v>290.08016640000005</v>
      </c>
      <c r="Y96" s="164">
        <f t="shared" ref="Y96" si="579">Y95*Y94</f>
        <v>302.57849160000001</v>
      </c>
      <c r="Z96" s="164">
        <f t="shared" ref="Z96" si="580">Z95*Z94</f>
        <v>315.28489680000007</v>
      </c>
      <c r="AA96" s="164">
        <f t="shared" ref="AA96" si="581">AA95*AA94</f>
        <v>328.19938200000001</v>
      </c>
      <c r="AB96" s="249"/>
      <c r="AC96" s="164">
        <f t="shared" ref="AC96" si="582">AC95*AC94</f>
        <v>309.46523212800003</v>
      </c>
      <c r="AD96" s="164">
        <f t="shared" ref="AD96" si="583">AD95*AD94</f>
        <v>322.63800703200002</v>
      </c>
      <c r="AE96" s="164">
        <f t="shared" ref="AE96" si="584">AE95*AE94</f>
        <v>336.02302353600004</v>
      </c>
      <c r="AF96" s="713">
        <f t="shared" ref="AF96" si="585">AF95*AF94</f>
        <v>349.62028163999997</v>
      </c>
      <c r="AG96" s="738"/>
      <c r="AH96" s="164">
        <f t="shared" ref="AH96" si="586">AH95*AH94</f>
        <v>329.50966841856007</v>
      </c>
      <c r="AI96" s="164">
        <f t="shared" ref="AI96" si="587">AI95*AI94</f>
        <v>343.37887168464005</v>
      </c>
      <c r="AJ96" s="164">
        <f t="shared" ref="AJ96" si="588">AJ95*AJ94</f>
        <v>357.46456138272003</v>
      </c>
      <c r="AK96" s="713">
        <f t="shared" ref="AK96" si="589">AK95*AK94</f>
        <v>371.76673751279998</v>
      </c>
      <c r="AL96" s="738"/>
    </row>
    <row r="97" spans="2:38" s="152" customFormat="1" outlineLevel="1" x14ac:dyDescent="0.2">
      <c r="B97" s="339" t="s">
        <v>263</v>
      </c>
      <c r="C97" s="340"/>
      <c r="D97" s="142">
        <v>3.4</v>
      </c>
      <c r="E97" s="142">
        <v>4.9000000000000004</v>
      </c>
      <c r="F97" s="142">
        <v>3.8</v>
      </c>
      <c r="G97" s="142">
        <v>5.5</v>
      </c>
      <c r="H97" s="250"/>
      <c r="I97" s="142">
        <v>6.7</v>
      </c>
      <c r="J97" s="142">
        <v>6.6</v>
      </c>
      <c r="K97" s="142">
        <v>9.1</v>
      </c>
      <c r="L97" s="142">
        <f>G97*(1+L98)</f>
        <v>9.625</v>
      </c>
      <c r="M97" s="250"/>
      <c r="N97" s="142">
        <f t="shared" ref="N97:Q97" si="590">I97*(1+N98)</f>
        <v>11.725</v>
      </c>
      <c r="O97" s="142">
        <f t="shared" si="590"/>
        <v>11.549999999999999</v>
      </c>
      <c r="P97" s="142">
        <f t="shared" si="590"/>
        <v>15.924999999999999</v>
      </c>
      <c r="Q97" s="142">
        <f t="shared" si="590"/>
        <v>14.4375</v>
      </c>
      <c r="R97" s="250"/>
      <c r="S97" s="142">
        <f t="shared" ref="S97" si="591">N97*(1+S98)</f>
        <v>14.65625</v>
      </c>
      <c r="T97" s="142">
        <f t="shared" ref="T97" si="592">O97*(1+T98)</f>
        <v>14.437499999999998</v>
      </c>
      <c r="U97" s="142">
        <f t="shared" ref="U97" si="593">P97*(1+U98)</f>
        <v>19.90625</v>
      </c>
      <c r="V97" s="142">
        <f t="shared" ref="V97" si="594">Q97*(1+V98)</f>
        <v>18.046875</v>
      </c>
      <c r="W97" s="250"/>
      <c r="X97" s="142">
        <f t="shared" ref="X97" si="595">S97*(1+X98)</f>
        <v>16.121875000000003</v>
      </c>
      <c r="Y97" s="142">
        <f t="shared" ref="Y97" si="596">T97*(1+Y98)</f>
        <v>15.88125</v>
      </c>
      <c r="Z97" s="142">
        <f t="shared" ref="Z97" si="597">U97*(1+Z98)</f>
        <v>21.896875000000001</v>
      </c>
      <c r="AA97" s="142">
        <f t="shared" ref="AA97" si="598">V97*(1+AA98)</f>
        <v>19.8515625</v>
      </c>
      <c r="AB97" s="250"/>
      <c r="AC97" s="142">
        <f t="shared" ref="AC97" si="599">X97*(1+AC98)</f>
        <v>17.734062500000004</v>
      </c>
      <c r="AD97" s="142">
        <f t="shared" ref="AD97" si="600">Y97*(1+AD98)</f>
        <v>17.469374999999999</v>
      </c>
      <c r="AE97" s="142">
        <f t="shared" ref="AE97" si="601">Z97*(1+AE98)</f>
        <v>24.086562500000003</v>
      </c>
      <c r="AF97" s="714">
        <f t="shared" ref="AF97" si="602">AA97*(1+AF98)</f>
        <v>21.836718750000003</v>
      </c>
      <c r="AG97" s="718"/>
      <c r="AH97" s="142">
        <f t="shared" ref="AH97" si="603">AC97*(1+AH98)</f>
        <v>19.507468750000005</v>
      </c>
      <c r="AI97" s="142">
        <f t="shared" ref="AI97" si="604">AD97*(1+AI98)</f>
        <v>19.216312500000001</v>
      </c>
      <c r="AJ97" s="142">
        <f t="shared" ref="AJ97" si="605">AE97*(1+AJ98)</f>
        <v>26.495218750000006</v>
      </c>
      <c r="AK97" s="714">
        <f t="shared" ref="AK97" si="606">AF97*(1+AK98)</f>
        <v>24.020390625000005</v>
      </c>
      <c r="AL97" s="718"/>
    </row>
    <row r="98" spans="2:38" s="137" customFormat="1" outlineLevel="1" x14ac:dyDescent="0.2">
      <c r="B98" s="660" t="s">
        <v>135</v>
      </c>
      <c r="C98" s="661"/>
      <c r="D98" s="175"/>
      <c r="E98" s="175"/>
      <c r="F98" s="175"/>
      <c r="G98" s="175"/>
      <c r="H98" s="251"/>
      <c r="I98" s="175">
        <f>I97/D97-1</f>
        <v>0.97058823529411775</v>
      </c>
      <c r="J98" s="175">
        <f t="shared" ref="J98:K98" si="607">J97/E97-1</f>
        <v>0.3469387755102038</v>
      </c>
      <c r="K98" s="175">
        <f t="shared" si="607"/>
        <v>1.3947368421052633</v>
      </c>
      <c r="L98" s="175">
        <v>0.75</v>
      </c>
      <c r="M98" s="251"/>
      <c r="N98" s="175">
        <v>0.75</v>
      </c>
      <c r="O98" s="175">
        <v>0.75</v>
      </c>
      <c r="P98" s="175">
        <v>0.75</v>
      </c>
      <c r="Q98" s="175">
        <v>0.5</v>
      </c>
      <c r="R98" s="251"/>
      <c r="S98" s="175">
        <v>0.25</v>
      </c>
      <c r="T98" s="175">
        <v>0.25</v>
      </c>
      <c r="U98" s="175">
        <v>0.25</v>
      </c>
      <c r="V98" s="175">
        <v>0.25</v>
      </c>
      <c r="W98" s="251"/>
      <c r="X98" s="175">
        <v>0.1</v>
      </c>
      <c r="Y98" s="175">
        <v>0.1</v>
      </c>
      <c r="Z98" s="175">
        <v>0.1</v>
      </c>
      <c r="AA98" s="175">
        <v>0.1</v>
      </c>
      <c r="AB98" s="251"/>
      <c r="AC98" s="175">
        <v>0.1</v>
      </c>
      <c r="AD98" s="175">
        <v>0.1</v>
      </c>
      <c r="AE98" s="175">
        <v>0.1</v>
      </c>
      <c r="AF98" s="763">
        <v>0.1</v>
      </c>
      <c r="AG98" s="729"/>
      <c r="AH98" s="175">
        <v>0.1</v>
      </c>
      <c r="AI98" s="175">
        <v>0.1</v>
      </c>
      <c r="AJ98" s="175">
        <v>0.1</v>
      </c>
      <c r="AK98" s="763">
        <v>0.1</v>
      </c>
      <c r="AL98" s="729"/>
    </row>
    <row r="99" spans="2:38" s="137" customFormat="1" outlineLevel="1" x14ac:dyDescent="0.2">
      <c r="B99" s="651" t="s">
        <v>264</v>
      </c>
      <c r="C99" s="656"/>
      <c r="D99" s="139">
        <f t="shared" ref="D99:G99" si="608">+D92+D81</f>
        <v>12212</v>
      </c>
      <c r="E99" s="139">
        <f t="shared" si="608"/>
        <v>12465</v>
      </c>
      <c r="F99" s="139">
        <f t="shared" si="608"/>
        <v>12773</v>
      </c>
      <c r="G99" s="139">
        <f t="shared" si="608"/>
        <v>13189</v>
      </c>
      <c r="H99" s="177"/>
      <c r="I99" s="139">
        <f>+I92+I81</f>
        <v>13592</v>
      </c>
      <c r="J99" s="139">
        <f t="shared" ref="J99:K99" si="609">+J92+J81</f>
        <v>13779</v>
      </c>
      <c r="K99" s="139">
        <f t="shared" si="609"/>
        <v>13945</v>
      </c>
      <c r="L99" s="139">
        <f t="shared" ref="L99:AK99" si="610">+L92+L81</f>
        <v>14292</v>
      </c>
      <c r="M99" s="177"/>
      <c r="N99" s="139">
        <f t="shared" si="610"/>
        <v>14534.25</v>
      </c>
      <c r="O99" s="139">
        <f t="shared" si="610"/>
        <v>14762.3125</v>
      </c>
      <c r="P99" s="139">
        <f t="shared" si="610"/>
        <v>15002.890625</v>
      </c>
      <c r="Q99" s="139">
        <f t="shared" si="610"/>
        <v>15249.36328125</v>
      </c>
      <c r="R99" s="177"/>
      <c r="S99" s="139">
        <f t="shared" si="610"/>
        <v>15488.7041015625</v>
      </c>
      <c r="T99" s="139">
        <f t="shared" si="610"/>
        <v>15727.317626953125</v>
      </c>
      <c r="U99" s="139">
        <f t="shared" si="610"/>
        <v>15968.568908691406</v>
      </c>
      <c r="V99" s="139">
        <f t="shared" si="610"/>
        <v>16209.988479614258</v>
      </c>
      <c r="W99" s="177"/>
      <c r="X99" s="139">
        <f t="shared" si="610"/>
        <v>16450.144779205322</v>
      </c>
      <c r="Y99" s="139">
        <f t="shared" si="610"/>
        <v>16690.504948616028</v>
      </c>
      <c r="Z99" s="139">
        <f t="shared" si="610"/>
        <v>16931.301779031754</v>
      </c>
      <c r="AA99" s="139">
        <f t="shared" si="610"/>
        <v>17171.98499661684</v>
      </c>
      <c r="AB99" s="177"/>
      <c r="AC99" s="139">
        <f t="shared" si="610"/>
        <v>17412.484125867486</v>
      </c>
      <c r="AD99" s="139">
        <f t="shared" si="610"/>
        <v>17653.068962533027</v>
      </c>
      <c r="AE99" s="139">
        <f t="shared" si="610"/>
        <v>17893.709966012277</v>
      </c>
      <c r="AF99" s="708">
        <f t="shared" si="610"/>
        <v>18134.312012757408</v>
      </c>
      <c r="AG99" s="719"/>
      <c r="AH99" s="139">
        <f t="shared" si="610"/>
        <v>18374.893766792549</v>
      </c>
      <c r="AI99" s="139">
        <f t="shared" si="610"/>
        <v>18615.496177023815</v>
      </c>
      <c r="AJ99" s="139">
        <f t="shared" si="610"/>
        <v>18856.102980646512</v>
      </c>
      <c r="AK99" s="708">
        <f t="shared" si="610"/>
        <v>19096.70123430507</v>
      </c>
      <c r="AL99" s="719"/>
    </row>
    <row r="100" spans="2:38" s="137" customFormat="1" outlineLevel="1" x14ac:dyDescent="0.2">
      <c r="B100" s="651" t="s">
        <v>265</v>
      </c>
      <c r="C100" s="656"/>
      <c r="D100" s="139">
        <f t="shared" ref="D100:G100" si="611">+D93+D82</f>
        <v>360</v>
      </c>
      <c r="E100" s="139">
        <f t="shared" si="611"/>
        <v>253</v>
      </c>
      <c r="F100" s="139">
        <f t="shared" si="611"/>
        <v>308</v>
      </c>
      <c r="G100" s="139">
        <f t="shared" si="611"/>
        <v>416</v>
      </c>
      <c r="H100" s="177">
        <f>+H93+H82</f>
        <v>1337</v>
      </c>
      <c r="I100" s="139">
        <f>+I93+I82</f>
        <v>403</v>
      </c>
      <c r="J100" s="139">
        <f t="shared" ref="J100:K100" si="612">+J93+J82</f>
        <v>187</v>
      </c>
      <c r="K100" s="139">
        <f t="shared" si="612"/>
        <v>166</v>
      </c>
      <c r="L100" s="139">
        <f t="shared" ref="L100:AK100" si="613">+L93+L82</f>
        <v>347</v>
      </c>
      <c r="M100" s="177">
        <f>+M93+M82</f>
        <v>1103</v>
      </c>
      <c r="N100" s="139">
        <f t="shared" si="613"/>
        <v>242.25</v>
      </c>
      <c r="O100" s="139">
        <f t="shared" si="613"/>
        <v>228.0625</v>
      </c>
      <c r="P100" s="139">
        <f t="shared" si="613"/>
        <v>240.578125</v>
      </c>
      <c r="Q100" s="139">
        <f t="shared" si="613"/>
        <v>246.47265625</v>
      </c>
      <c r="R100" s="177">
        <f>+R93+R82</f>
        <v>957.36328125</v>
      </c>
      <c r="S100" s="139">
        <f t="shared" si="613"/>
        <v>239.3408203125</v>
      </c>
      <c r="T100" s="139">
        <f t="shared" si="613"/>
        <v>238.613525390625</v>
      </c>
      <c r="U100" s="139">
        <f t="shared" si="613"/>
        <v>241.25128173828125</v>
      </c>
      <c r="V100" s="139">
        <f t="shared" si="613"/>
        <v>241.41957092285156</v>
      </c>
      <c r="W100" s="177">
        <f>+W93+W82</f>
        <v>960.62519836425781</v>
      </c>
      <c r="X100" s="139">
        <f t="shared" si="613"/>
        <v>240.15629959106445</v>
      </c>
      <c r="Y100" s="139">
        <f t="shared" si="613"/>
        <v>240.36016941070557</v>
      </c>
      <c r="Z100" s="139">
        <f t="shared" si="613"/>
        <v>240.79683041572571</v>
      </c>
      <c r="AA100" s="139">
        <f t="shared" si="613"/>
        <v>240.68321758508682</v>
      </c>
      <c r="AB100" s="177">
        <f>+AB93+AB82</f>
        <v>961.99651700258255</v>
      </c>
      <c r="AC100" s="139">
        <f t="shared" si="613"/>
        <v>240.49912925064564</v>
      </c>
      <c r="AD100" s="139">
        <f t="shared" si="613"/>
        <v>240.58483666554093</v>
      </c>
      <c r="AE100" s="139">
        <f t="shared" si="613"/>
        <v>240.64100347924978</v>
      </c>
      <c r="AF100" s="708">
        <f t="shared" si="613"/>
        <v>240.60204674513079</v>
      </c>
      <c r="AG100" s="719">
        <f>+AG93+AG82</f>
        <v>962.32701614056714</v>
      </c>
      <c r="AH100" s="139">
        <f t="shared" si="613"/>
        <v>240.58175403514178</v>
      </c>
      <c r="AI100" s="139">
        <f t="shared" si="613"/>
        <v>240.60241023126582</v>
      </c>
      <c r="AJ100" s="139">
        <f t="shared" si="613"/>
        <v>240.60680362269704</v>
      </c>
      <c r="AK100" s="708">
        <f t="shared" si="613"/>
        <v>240.59825365855886</v>
      </c>
      <c r="AL100" s="719">
        <f>+AL93+AL82</f>
        <v>962.38922154766351</v>
      </c>
    </row>
    <row r="101" spans="2:38" s="137" customFormat="1" outlineLevel="1" x14ac:dyDescent="0.2">
      <c r="B101" s="664" t="s">
        <v>266</v>
      </c>
      <c r="C101" s="665"/>
      <c r="D101" s="164">
        <f t="shared" ref="D101:G101" si="614">+D97+D96+D89</f>
        <v>1504</v>
      </c>
      <c r="E101" s="164">
        <f>+E97+E96+E89</f>
        <v>1529.4</v>
      </c>
      <c r="F101" s="164">
        <f t="shared" si="614"/>
        <v>1585.3</v>
      </c>
      <c r="G101" s="164">
        <f t="shared" si="614"/>
        <v>1572.1000000000001</v>
      </c>
      <c r="H101" s="212">
        <f>SUM(D101:G101)</f>
        <v>6190.8</v>
      </c>
      <c r="I101" s="164">
        <f>+I97+I96+I89</f>
        <v>1571.1</v>
      </c>
      <c r="J101" s="164">
        <f t="shared" ref="J101:K101" si="615">+J97+J96+J89</f>
        <v>1134.5999999999999</v>
      </c>
      <c r="K101" s="164">
        <f t="shared" si="615"/>
        <v>949.6</v>
      </c>
      <c r="L101" s="164">
        <f t="shared" ref="L101:AK101" si="616">+L97+L96+L89</f>
        <v>1395.5337523429093</v>
      </c>
      <c r="M101" s="212">
        <f>SUM(I101:L101)</f>
        <v>5050.8337523429091</v>
      </c>
      <c r="N101" s="164">
        <f t="shared" si="616"/>
        <v>1588.4210079560428</v>
      </c>
      <c r="O101" s="164">
        <f t="shared" si="616"/>
        <v>1218.7044169012502</v>
      </c>
      <c r="P101" s="164">
        <f t="shared" si="616"/>
        <v>1282.4334101552504</v>
      </c>
      <c r="Q101" s="164">
        <f t="shared" si="616"/>
        <v>1639.6810379044882</v>
      </c>
      <c r="R101" s="212">
        <f>SUM(N101:Q101)</f>
        <v>5729.2398729170318</v>
      </c>
      <c r="S101" s="164">
        <f t="shared" si="616"/>
        <v>1772.6632949344175</v>
      </c>
      <c r="T101" s="164">
        <f t="shared" si="616"/>
        <v>1353.670576904135</v>
      </c>
      <c r="U101" s="164">
        <f t="shared" si="616"/>
        <v>1435.099277015637</v>
      </c>
      <c r="V101" s="164">
        <f t="shared" si="616"/>
        <v>1870.672689352476</v>
      </c>
      <c r="W101" s="212">
        <f>SUM(S101:V101)</f>
        <v>6432.1058382066658</v>
      </c>
      <c r="X101" s="164">
        <f t="shared" si="616"/>
        <v>1975.5952531816442</v>
      </c>
      <c r="Y101" s="164">
        <f t="shared" si="616"/>
        <v>1482.5581015100856</v>
      </c>
      <c r="Z101" s="164">
        <f t="shared" si="616"/>
        <v>1563.019210227154</v>
      </c>
      <c r="AA101" s="164">
        <f t="shared" si="616"/>
        <v>2049.6344309138276</v>
      </c>
      <c r="AB101" s="212">
        <f>SUM(X101:AA101)</f>
        <v>7070.8069958327114</v>
      </c>
      <c r="AC101" s="164">
        <f t="shared" si="616"/>
        <v>2151.5310250573129</v>
      </c>
      <c r="AD101" s="164">
        <f t="shared" si="616"/>
        <v>1601.4754183040106</v>
      </c>
      <c r="AE101" s="164">
        <f t="shared" si="616"/>
        <v>1688.4963416528296</v>
      </c>
      <c r="AF101" s="713">
        <f t="shared" si="616"/>
        <v>2225.0164748576785</v>
      </c>
      <c r="AG101" s="739">
        <f>SUM(AC101:AF101)</f>
        <v>7666.5192598718313</v>
      </c>
      <c r="AH101" s="164">
        <f t="shared" si="616"/>
        <v>2336.3945100263786</v>
      </c>
      <c r="AI101" s="164">
        <f t="shared" si="616"/>
        <v>1726.2394306212905</v>
      </c>
      <c r="AJ101" s="164">
        <f t="shared" si="616"/>
        <v>1820.2210998301084</v>
      </c>
      <c r="AK101" s="713">
        <f t="shared" si="616"/>
        <v>2409.2766120411629</v>
      </c>
      <c r="AL101" s="739">
        <f>SUM(AH101:AK101)</f>
        <v>8292.1316525189413</v>
      </c>
    </row>
    <row r="102" spans="2:38" s="137" customFormat="1" outlineLevel="1" x14ac:dyDescent="0.2">
      <c r="B102" s="666" t="s">
        <v>230</v>
      </c>
      <c r="C102" s="667"/>
      <c r="D102" s="144">
        <v>462.7</v>
      </c>
      <c r="E102" s="144">
        <v>470.2</v>
      </c>
      <c r="F102" s="144">
        <v>476.1</v>
      </c>
      <c r="G102" s="144">
        <v>486.1</v>
      </c>
      <c r="H102" s="213"/>
      <c r="I102" s="144">
        <v>488.5</v>
      </c>
      <c r="J102" s="144">
        <v>387.7</v>
      </c>
      <c r="K102" s="144">
        <v>337.7</v>
      </c>
      <c r="L102" s="144">
        <f>(L101*L113)*(K102/K112)</f>
        <v>448.58749419822226</v>
      </c>
      <c r="M102" s="213"/>
      <c r="N102" s="144">
        <f>(N101*N113)*(L102/L112)</f>
        <v>464.17287129194648</v>
      </c>
      <c r="O102" s="144">
        <f t="shared" ref="O102:Q102" si="617">(O101*O113)*(N102/N112)</f>
        <v>347.22991415715597</v>
      </c>
      <c r="P102" s="144">
        <f t="shared" si="617"/>
        <v>374.75631161443204</v>
      </c>
      <c r="Q102" s="144">
        <f t="shared" si="617"/>
        <v>460.58507335723709</v>
      </c>
      <c r="R102" s="213"/>
      <c r="S102" s="144">
        <f>(S101*S113)*(Q102/Q112)</f>
        <v>518.01267253594619</v>
      </c>
      <c r="T102" s="144">
        <f t="shared" ref="T102" si="618">(T101*T113)*(S102/S112)</f>
        <v>385.68410165496005</v>
      </c>
      <c r="U102" s="144">
        <f t="shared" ref="U102" si="619">(U101*U113)*(T102/T112)</f>
        <v>419.36876222665711</v>
      </c>
      <c r="V102" s="144">
        <f t="shared" ref="V102" si="620">(V101*V113)*(U102/U112)</f>
        <v>525.47044085715572</v>
      </c>
      <c r="W102" s="213"/>
      <c r="X102" s="144">
        <f>(X101*X113)*(V102/V112)</f>
        <v>577.31402228183117</v>
      </c>
      <c r="Y102" s="144">
        <f t="shared" ref="Y102" si="621">(Y101*Y113)*(X102/X112)</f>
        <v>422.40638105610122</v>
      </c>
      <c r="Z102" s="144">
        <f t="shared" ref="Z102" si="622">(Z101*Z113)*(Y102/Y112)</f>
        <v>456.74988624658499</v>
      </c>
      <c r="AA102" s="144">
        <f t="shared" ref="AA102" si="623">(AA101*AA113)*(Z102/Z112)</f>
        <v>575.74064887914767</v>
      </c>
      <c r="AB102" s="213"/>
      <c r="AC102" s="144">
        <f>(AC101*AC113)*(AA102/AA112)</f>
        <v>628.72647023199954</v>
      </c>
      <c r="AD102" s="144">
        <f t="shared" ref="AD102" si="624">(AD101*AD113)*(AC102/AC112)</f>
        <v>456.28797623989857</v>
      </c>
      <c r="AE102" s="144">
        <f t="shared" ref="AE102" si="625">(AE101*AE113)*(AD102/AD112)</f>
        <v>493.41716783226434</v>
      </c>
      <c r="AF102" s="715">
        <f t="shared" ref="AF102" si="626">(AF101*AF113)*(AE102/AE112)</f>
        <v>625.00532274441093</v>
      </c>
      <c r="AG102" s="740"/>
      <c r="AH102" s="144">
        <f>(AH101*AH113)*(AF102/AF112)</f>
        <v>682.74779970657278</v>
      </c>
      <c r="AI102" s="144">
        <f t="shared" ref="AI102" si="627">(AI101*AI113)*(AH102/AH112)</f>
        <v>491.83539584881731</v>
      </c>
      <c r="AJ102" s="144">
        <f t="shared" ref="AJ102" si="628">(AJ101*AJ113)*(AI102/AI112)</f>
        <v>531.91014854526998</v>
      </c>
      <c r="AK102" s="715">
        <f t="shared" ref="AK102" si="629">(AK101*AK113)*(AJ102/AJ112)</f>
        <v>676.76384579833996</v>
      </c>
      <c r="AL102" s="740"/>
    </row>
    <row r="103" spans="2:38" s="137" customFormat="1" outlineLevel="1" x14ac:dyDescent="0.2">
      <c r="B103" s="651" t="s">
        <v>107</v>
      </c>
      <c r="C103" s="220"/>
      <c r="D103" s="144">
        <v>603.70000000000005</v>
      </c>
      <c r="E103" s="144">
        <v>618.4</v>
      </c>
      <c r="F103" s="144">
        <v>609.20000000000005</v>
      </c>
      <c r="G103" s="144">
        <v>597.29999999999995</v>
      </c>
      <c r="H103" s="157"/>
      <c r="I103" s="144">
        <v>607.1</v>
      </c>
      <c r="J103" s="144">
        <v>562.79999999999995</v>
      </c>
      <c r="K103" s="144">
        <v>483.4</v>
      </c>
      <c r="L103" s="144">
        <f>(L101*L113)*(K103/K112)</f>
        <v>642.12968521001073</v>
      </c>
      <c r="M103" s="157"/>
      <c r="N103" s="144">
        <f>(N101*N113)*(L103/L112)</f>
        <v>664.43934256004422</v>
      </c>
      <c r="O103" s="144">
        <f t="shared" ref="O103:Q103" si="630">(O101*O113)*(N103/N112)</f>
        <v>497.04157685392124</v>
      </c>
      <c r="P103" s="144">
        <f t="shared" si="630"/>
        <v>536.4441842890626</v>
      </c>
      <c r="Q103" s="144">
        <f t="shared" si="630"/>
        <v>659.30359627150847</v>
      </c>
      <c r="R103" s="157"/>
      <c r="S103" s="144">
        <f>(S101*S113)*(Q103/Q112)</f>
        <v>741.50822002924622</v>
      </c>
      <c r="T103" s="144">
        <f t="shared" ref="T103:V103" si="631">(T101*T113)*(S103/S112)</f>
        <v>552.08674782353478</v>
      </c>
      <c r="U103" s="144">
        <f t="shared" si="631"/>
        <v>600.30458886694134</v>
      </c>
      <c r="V103" s="144">
        <f t="shared" si="631"/>
        <v>752.18362780677865</v>
      </c>
      <c r="W103" s="157"/>
      <c r="X103" s="144">
        <f>(X101*X113)*(V103/V112)</f>
        <v>826.39502034657187</v>
      </c>
      <c r="Y103" s="144">
        <f t="shared" ref="Y103:AA103" si="632">(Y101*Y113)*(X103/X112)</f>
        <v>604.65278235865981</v>
      </c>
      <c r="Z103" s="144">
        <f t="shared" si="632"/>
        <v>653.81372523422931</v>
      </c>
      <c r="AA103" s="144">
        <f t="shared" si="632"/>
        <v>824.14281808759256</v>
      </c>
      <c r="AB103" s="157"/>
      <c r="AC103" s="144">
        <f>(AC101*AC113)*(AA103/AA112)</f>
        <v>899.98926772327104</v>
      </c>
      <c r="AD103" s="144">
        <f t="shared" ref="AD103:AF103" si="633">(AD101*AD113)*(AC103/AC112)</f>
        <v>653.15252506475281</v>
      </c>
      <c r="AE103" s="144">
        <f t="shared" si="633"/>
        <v>706.30103325471305</v>
      </c>
      <c r="AF103" s="715">
        <f t="shared" si="633"/>
        <v>894.66263847985851</v>
      </c>
      <c r="AG103" s="715"/>
      <c r="AH103" s="144">
        <f>(AH101*AH113)*(AF103/AF112)</f>
        <v>977.31799342066131</v>
      </c>
      <c r="AI103" s="144">
        <f t="shared" ref="AI103:AK103" si="634">(AI101*AI113)*(AH103/AH112)</f>
        <v>704.03680886383859</v>
      </c>
      <c r="AJ103" s="144">
        <f t="shared" si="634"/>
        <v>761.4017346958351</v>
      </c>
      <c r="AK103" s="715">
        <f t="shared" si="634"/>
        <v>968.7522743823439</v>
      </c>
      <c r="AL103" s="715"/>
    </row>
    <row r="104" spans="2:38" s="137" customFormat="1" outlineLevel="1" x14ac:dyDescent="0.2">
      <c r="B104" s="651" t="s">
        <v>108</v>
      </c>
      <c r="C104" s="220"/>
      <c r="D104" s="144">
        <v>31.3</v>
      </c>
      <c r="E104" s="144">
        <v>26.3</v>
      </c>
      <c r="F104" s="144">
        <v>26.7</v>
      </c>
      <c r="G104" s="144">
        <v>31.9</v>
      </c>
      <c r="H104" s="157"/>
      <c r="I104" s="144">
        <v>35.9</v>
      </c>
      <c r="J104" s="144">
        <v>31.8</v>
      </c>
      <c r="K104" s="144">
        <v>37.5</v>
      </c>
      <c r="L104" s="144">
        <f>(L101*L113)*(K104/K112)</f>
        <v>49.813535778600347</v>
      </c>
      <c r="M104" s="157"/>
      <c r="N104" s="144">
        <f>(N101*N113)*(L104/L112)</f>
        <v>51.544218754657969</v>
      </c>
      <c r="O104" s="144">
        <f t="shared" ref="O104:Q104" si="635">(O101*O113)*(N104/N112)</f>
        <v>38.558252238357568</v>
      </c>
      <c r="P104" s="144">
        <f t="shared" si="635"/>
        <v>41.614929480429979</v>
      </c>
      <c r="Q104" s="144">
        <f t="shared" si="635"/>
        <v>51.145810633391754</v>
      </c>
      <c r="R104" s="157"/>
      <c r="S104" s="144">
        <f>(S101*S113)*(Q104/Q112)</f>
        <v>57.522875984891883</v>
      </c>
      <c r="T104" s="144">
        <f t="shared" ref="T104:V104" si="636">(T101*T113)*(S104/S112)</f>
        <v>42.828409274684645</v>
      </c>
      <c r="U104" s="144">
        <f t="shared" si="636"/>
        <v>46.568932731713488</v>
      </c>
      <c r="V104" s="144">
        <f t="shared" si="636"/>
        <v>58.351026153815063</v>
      </c>
      <c r="W104" s="157"/>
      <c r="X104" s="144">
        <f>(X101*X113)*(V104/V112)</f>
        <v>64.108012542400587</v>
      </c>
      <c r="Y104" s="144">
        <f t="shared" ref="Y104:AA104" si="637">(Y101*Y113)*(X104/X112)</f>
        <v>46.906246045613862</v>
      </c>
      <c r="Z104" s="144">
        <f t="shared" si="637"/>
        <v>50.719931105261892</v>
      </c>
      <c r="AA104" s="144">
        <f t="shared" si="637"/>
        <v>63.933296810684169</v>
      </c>
      <c r="AB104" s="157"/>
      <c r="AC104" s="144">
        <f>(AC101*AC113)*(AA104/AA112)</f>
        <v>69.817123582173494</v>
      </c>
      <c r="AD104" s="144">
        <f t="shared" ref="AD104:AF104" si="638">(AD101*AD113)*(AC104/AC112)</f>
        <v>50.668638167000886</v>
      </c>
      <c r="AE104" s="144">
        <f t="shared" si="638"/>
        <v>54.791660626917128</v>
      </c>
      <c r="AF104" s="715">
        <f t="shared" si="638"/>
        <v>69.403907618938149</v>
      </c>
      <c r="AG104" s="715"/>
      <c r="AH104" s="144">
        <f>(AH101*AH113)*(AF104/AF112)</f>
        <v>75.815938670407121</v>
      </c>
      <c r="AI104" s="144">
        <f t="shared" ref="AI104:AK104" si="639">(AI101*AI113)*(AH104/AH112)</f>
        <v>54.616012272225795</v>
      </c>
      <c r="AJ104" s="144">
        <f t="shared" si="639"/>
        <v>59.066125467715807</v>
      </c>
      <c r="AK104" s="715">
        <f t="shared" si="639"/>
        <v>75.151448674675009</v>
      </c>
      <c r="AL104" s="715"/>
    </row>
    <row r="105" spans="2:38" s="137" customFormat="1" outlineLevel="1" x14ac:dyDescent="0.2">
      <c r="B105" s="651" t="s">
        <v>109</v>
      </c>
      <c r="C105" s="220"/>
      <c r="D105" s="173">
        <v>127</v>
      </c>
      <c r="E105" s="173">
        <v>130.4</v>
      </c>
      <c r="F105" s="173">
        <v>127.7</v>
      </c>
      <c r="G105" s="173">
        <v>126.5</v>
      </c>
      <c r="H105" s="214"/>
      <c r="I105" s="173">
        <v>126.6</v>
      </c>
      <c r="J105" s="173">
        <v>130</v>
      </c>
      <c r="K105" s="173">
        <v>128.5</v>
      </c>
      <c r="L105" s="294">
        <f>L242*(K105/(K72+K105+K119+K133))</f>
        <v>133.2635214525819</v>
      </c>
      <c r="M105" s="214"/>
      <c r="N105" s="294">
        <f>N242*(L105/(L72+L105+L119+L133))</f>
        <v>132.98599467899589</v>
      </c>
      <c r="O105" s="294">
        <f t="shared" ref="O105:Q105" si="640">O242*(N105/(N72+N105+N119+N133))</f>
        <v>134.41752200725978</v>
      </c>
      <c r="P105" s="294">
        <f t="shared" si="640"/>
        <v>134.8588042155817</v>
      </c>
      <c r="Q105" s="294">
        <f t="shared" si="640"/>
        <v>133.38077429088924</v>
      </c>
      <c r="R105" s="214"/>
      <c r="S105" s="294">
        <f>S242*(Q105/(Q72+Q105+Q119+Q133))</f>
        <v>134.0263847012549</v>
      </c>
      <c r="T105" s="294">
        <f t="shared" ref="T105:V105" si="641">T242*(S105/(S72+S105+S119+S133))</f>
        <v>136.2910794186827</v>
      </c>
      <c r="U105" s="294">
        <f t="shared" si="641"/>
        <v>137.40673167482771</v>
      </c>
      <c r="V105" s="294">
        <f t="shared" si="641"/>
        <v>136.44578729002231</v>
      </c>
      <c r="W105" s="214"/>
      <c r="X105" s="294">
        <f>X242*(V105/(V72+V105+V119+V133))</f>
        <v>137.74310268931958</v>
      </c>
      <c r="Y105" s="294">
        <f t="shared" ref="Y105:AA105" si="642">Y242*(X105/(X72+X105+X119+X133))</f>
        <v>140.57486475961483</v>
      </c>
      <c r="Z105" s="294">
        <f t="shared" si="642"/>
        <v>142.09848665274993</v>
      </c>
      <c r="AA105" s="294">
        <f t="shared" si="642"/>
        <v>141.3683288371617</v>
      </c>
      <c r="AB105" s="214"/>
      <c r="AC105" s="294">
        <f>AC242*(AA105/(AA72+AA105+AA119+AA133))</f>
        <v>143.06093872785578</v>
      </c>
      <c r="AD105" s="294">
        <f t="shared" ref="AD105:AF105" si="643">AD242*(AC105/(AC72+AC105+AC119+AC133))</f>
        <v>146.36176305829269</v>
      </c>
      <c r="AE105" s="294">
        <f t="shared" si="643"/>
        <v>148.21611814180281</v>
      </c>
      <c r="AF105" s="767">
        <f t="shared" si="643"/>
        <v>147.64294389618283</v>
      </c>
      <c r="AG105" s="734"/>
      <c r="AH105" s="294">
        <f>AH242*(AF105/(AF72+AF105+AF119+AF133))</f>
        <v>149.67008035834812</v>
      </c>
      <c r="AI105" s="294">
        <f t="shared" ref="AI105:AK105" si="644">AI242*(AH105/(AH72+AH105+AH119+AH133))</f>
        <v>153.40276556045305</v>
      </c>
      <c r="AJ105" s="294">
        <f t="shared" si="644"/>
        <v>155.54790632411604</v>
      </c>
      <c r="AK105" s="767">
        <f t="shared" si="644"/>
        <v>155.08727020684807</v>
      </c>
      <c r="AL105" s="734"/>
    </row>
    <row r="106" spans="2:38" s="137" customFormat="1" outlineLevel="1" x14ac:dyDescent="0.2">
      <c r="B106" s="651" t="s">
        <v>110</v>
      </c>
      <c r="C106" s="220"/>
      <c r="D106" s="144">
        <v>69.3</v>
      </c>
      <c r="E106" s="144">
        <v>80.2</v>
      </c>
      <c r="F106" s="144">
        <v>86</v>
      </c>
      <c r="G106" s="144">
        <v>82.4</v>
      </c>
      <c r="H106" s="157"/>
      <c r="I106" s="144">
        <v>67.2</v>
      </c>
      <c r="J106" s="144">
        <v>63.7</v>
      </c>
      <c r="K106" s="144">
        <v>66.099999999999994</v>
      </c>
      <c r="L106" s="144">
        <f>(L101*L113)*(K106/K112)</f>
        <v>87.804659065746208</v>
      </c>
      <c r="M106" s="157"/>
      <c r="N106" s="144">
        <f>(N101*N113)*(L106/L112)</f>
        <v>90.855276258210438</v>
      </c>
      <c r="O106" s="144">
        <f t="shared" ref="O106:Q106" si="645">(O101*O113)*(N106/N112)</f>
        <v>67.965345945478276</v>
      </c>
      <c r="P106" s="144">
        <f t="shared" si="645"/>
        <v>73.353249030837915</v>
      </c>
      <c r="Q106" s="144">
        <f t="shared" si="645"/>
        <v>90.153015543125207</v>
      </c>
      <c r="R106" s="157"/>
      <c r="S106" s="144">
        <f>(S101*S113)*(Q106/Q112)</f>
        <v>101.39365606936943</v>
      </c>
      <c r="T106" s="144">
        <f t="shared" ref="T106:V106" si="646">(T101*T113)*(S106/S112)</f>
        <v>75.492209414844154</v>
      </c>
      <c r="U106" s="144">
        <f t="shared" si="646"/>
        <v>82.085505428433677</v>
      </c>
      <c r="V106" s="144">
        <f t="shared" si="646"/>
        <v>102.85340876712471</v>
      </c>
      <c r="W106" s="157"/>
      <c r="X106" s="144">
        <f>(X101*X113)*(V106/V112)</f>
        <v>113.00105677473813</v>
      </c>
      <c r="Y106" s="144">
        <f t="shared" ref="Y106:AA106" si="647">(Y101*Y113)*(X106/X112)</f>
        <v>82.680076363068721</v>
      </c>
      <c r="Z106" s="144">
        <f t="shared" si="647"/>
        <v>89.40233189487499</v>
      </c>
      <c r="AA106" s="144">
        <f t="shared" si="647"/>
        <v>112.69309117829933</v>
      </c>
      <c r="AB106" s="157"/>
      <c r="AC106" s="144">
        <f>(AC101*AC113)*(AA106/AA112)</f>
        <v>123.06431650084453</v>
      </c>
      <c r="AD106" s="144">
        <f t="shared" ref="AD106:AF106" si="648">(AD101*AD113)*(AC106/AC112)</f>
        <v>89.311919542366937</v>
      </c>
      <c r="AE106" s="144">
        <f t="shared" si="648"/>
        <v>96.579433798379313</v>
      </c>
      <c r="AF106" s="715">
        <f t="shared" si="648"/>
        <v>122.33595449631504</v>
      </c>
      <c r="AG106" s="715"/>
      <c r="AH106" s="144">
        <f>(AH101*AH113)*(AF106/AF112)</f>
        <v>133.63822789637103</v>
      </c>
      <c r="AI106" s="144">
        <f t="shared" ref="AI106:AK106" si="649">(AI101*AI113)*(AH106/AH112)</f>
        <v>96.269824298510073</v>
      </c>
      <c r="AJ106" s="144">
        <f t="shared" si="649"/>
        <v>104.1138904910938</v>
      </c>
      <c r="AK106" s="715">
        <f t="shared" si="649"/>
        <v>132.46695353056057</v>
      </c>
      <c r="AL106" s="715"/>
    </row>
    <row r="107" spans="2:38" s="137" customFormat="1" ht="18" outlineLevel="1" x14ac:dyDescent="0.35">
      <c r="B107" s="651" t="s">
        <v>118</v>
      </c>
      <c r="C107" s="220"/>
      <c r="D107" s="174">
        <v>6.4</v>
      </c>
      <c r="E107" s="174">
        <v>24.2</v>
      </c>
      <c r="F107" s="174">
        <v>16.600000000000001</v>
      </c>
      <c r="G107" s="174">
        <v>12</v>
      </c>
      <c r="H107" s="215"/>
      <c r="I107" s="174">
        <v>0.8</v>
      </c>
      <c r="J107" s="174">
        <v>-1.2</v>
      </c>
      <c r="K107" s="174">
        <v>-0.2</v>
      </c>
      <c r="L107" s="143">
        <f>(L101*L113)*(K107/K112)</f>
        <v>-0.26567219081920185</v>
      </c>
      <c r="M107" s="215"/>
      <c r="N107" s="143">
        <f>(N101*N113)*(L107/L112)</f>
        <v>-0.27490250002484251</v>
      </c>
      <c r="O107" s="143">
        <f t="shared" ref="O107:Q107" si="650">(O101*O113)*(N107/N112)</f>
        <v>-0.20564401193790705</v>
      </c>
      <c r="P107" s="143">
        <f t="shared" si="650"/>
        <v>-0.2219462905622932</v>
      </c>
      <c r="Q107" s="143">
        <f t="shared" si="650"/>
        <v>-0.27277765671142268</v>
      </c>
      <c r="R107" s="215"/>
      <c r="S107" s="143">
        <f>(S101*S113)*(Q107/Q112)</f>
        <v>-0.30678867191942338</v>
      </c>
      <c r="T107" s="143">
        <f t="shared" ref="T107:V107" si="651">(T101*T113)*(S107/S112)</f>
        <v>-0.22841818279831816</v>
      </c>
      <c r="U107" s="143">
        <f t="shared" si="651"/>
        <v>-0.24836764123580532</v>
      </c>
      <c r="V107" s="143">
        <f t="shared" si="651"/>
        <v>-0.31120547282034705</v>
      </c>
      <c r="W107" s="215"/>
      <c r="X107" s="143">
        <f>(X101*X113)*(V107/V112)</f>
        <v>-0.34190940022613653</v>
      </c>
      <c r="Y107" s="143">
        <f t="shared" ref="Y107:AA107" si="652">(Y101*Y113)*(X107/X112)</f>
        <v>-0.25016664557660734</v>
      </c>
      <c r="Z107" s="143">
        <f t="shared" si="652"/>
        <v>-0.27050629922806352</v>
      </c>
      <c r="AA107" s="143">
        <f t="shared" si="652"/>
        <v>-0.34097758299031566</v>
      </c>
      <c r="AB107" s="215"/>
      <c r="AC107" s="143">
        <f>(AC101*AC113)*(AA107/AA112)</f>
        <v>-0.37235799243825879</v>
      </c>
      <c r="AD107" s="143">
        <f t="shared" ref="AD107:AF107" si="653">(AD101*AD113)*(AC107/AC112)</f>
        <v>-0.27023273689067151</v>
      </c>
      <c r="AE107" s="143">
        <f t="shared" si="653"/>
        <v>-0.29222219001022481</v>
      </c>
      <c r="AF107" s="764">
        <f t="shared" si="653"/>
        <v>-0.37015417396767025</v>
      </c>
      <c r="AG107" s="741"/>
      <c r="AH107" s="143">
        <f>(AH101*AH113)*(AF107/AF112)</f>
        <v>-0.40435167290883811</v>
      </c>
      <c r="AI107" s="143">
        <f t="shared" ref="AI107:AK107" si="654">(AI101*AI113)*(AH107/AH112)</f>
        <v>-0.29128539878520437</v>
      </c>
      <c r="AJ107" s="143">
        <f t="shared" si="654"/>
        <v>-0.31501933582781777</v>
      </c>
      <c r="AK107" s="764">
        <f t="shared" si="654"/>
        <v>-0.40080772626493355</v>
      </c>
      <c r="AL107" s="741"/>
    </row>
    <row r="108" spans="2:38" s="137" customFormat="1" outlineLevel="1" x14ac:dyDescent="0.2">
      <c r="B108" s="221" t="s">
        <v>267</v>
      </c>
      <c r="C108" s="222"/>
      <c r="D108" s="142">
        <f t="shared" ref="D108:E108" si="655">SUM(D102:D107)</f>
        <v>1300.4000000000001</v>
      </c>
      <c r="E108" s="142">
        <f t="shared" si="655"/>
        <v>1349.7</v>
      </c>
      <c r="F108" s="142">
        <f t="shared" ref="F108" si="656">SUM(F102:F107)</f>
        <v>1342.3000000000002</v>
      </c>
      <c r="G108" s="142">
        <f t="shared" ref="G108" si="657">SUM(G102:G107)</f>
        <v>1336.2000000000003</v>
      </c>
      <c r="H108" s="214"/>
      <c r="I108" s="142">
        <f t="shared" ref="I108" si="658">SUM(I102:I107)</f>
        <v>1326.1</v>
      </c>
      <c r="J108" s="142">
        <f t="shared" ref="J108" si="659">SUM(J102:J107)</f>
        <v>1174.8</v>
      </c>
      <c r="K108" s="142">
        <f t="shared" ref="K108:M108" si="660">SUM(K102:K107)</f>
        <v>1052.9999999999998</v>
      </c>
      <c r="L108" s="142">
        <f>SUM(L102:L107)</f>
        <v>1361.3332235143423</v>
      </c>
      <c r="M108" s="214"/>
      <c r="N108" s="142">
        <f t="shared" ref="N108:Q108" si="661">SUM(N102:N107)</f>
        <v>1403.7228010438303</v>
      </c>
      <c r="O108" s="142">
        <f t="shared" si="661"/>
        <v>1085.0069671902349</v>
      </c>
      <c r="P108" s="142">
        <f t="shared" si="661"/>
        <v>1160.8055323397821</v>
      </c>
      <c r="Q108" s="142">
        <f t="shared" si="661"/>
        <v>1394.2954924394401</v>
      </c>
      <c r="R108" s="214"/>
      <c r="S108" s="142">
        <f t="shared" ref="S108:V108" si="662">SUM(S102:S107)</f>
        <v>1552.1570206487893</v>
      </c>
      <c r="T108" s="142">
        <f t="shared" si="662"/>
        <v>1192.154129403908</v>
      </c>
      <c r="U108" s="142">
        <f t="shared" si="662"/>
        <v>1285.4861532873376</v>
      </c>
      <c r="V108" s="142">
        <f t="shared" si="662"/>
        <v>1574.9930854020761</v>
      </c>
      <c r="W108" s="214"/>
      <c r="X108" s="142">
        <f t="shared" ref="X108:AA108" si="663">SUM(X102:X107)</f>
        <v>1718.2193052346352</v>
      </c>
      <c r="Y108" s="142">
        <f t="shared" si="663"/>
        <v>1296.970183937482</v>
      </c>
      <c r="Z108" s="142">
        <f t="shared" si="663"/>
        <v>1392.513854834473</v>
      </c>
      <c r="AA108" s="142">
        <f t="shared" si="663"/>
        <v>1717.5372062098952</v>
      </c>
      <c r="AB108" s="214"/>
      <c r="AC108" s="142">
        <f t="shared" ref="AC108:AF108" si="664">SUM(AC102:AC107)</f>
        <v>1864.285758773706</v>
      </c>
      <c r="AD108" s="142">
        <f t="shared" si="664"/>
        <v>1395.5125893354211</v>
      </c>
      <c r="AE108" s="142">
        <f t="shared" si="664"/>
        <v>1499.0131914640663</v>
      </c>
      <c r="AF108" s="714">
        <f t="shared" si="664"/>
        <v>1858.6806130617376</v>
      </c>
      <c r="AG108" s="734"/>
      <c r="AH108" s="142">
        <f t="shared" ref="AH108:AK108" si="665">SUM(AH102:AH107)</f>
        <v>2018.7856883794514</v>
      </c>
      <c r="AI108" s="142">
        <f t="shared" si="665"/>
        <v>1499.8695214450595</v>
      </c>
      <c r="AJ108" s="142">
        <f t="shared" si="665"/>
        <v>1611.7247861882029</v>
      </c>
      <c r="AK108" s="714">
        <f t="shared" si="665"/>
        <v>2007.8209848665026</v>
      </c>
      <c r="AL108" s="734"/>
    </row>
    <row r="109" spans="2:38" s="137" customFormat="1" ht="18" outlineLevel="1" x14ac:dyDescent="0.35">
      <c r="B109" s="651" t="s">
        <v>111</v>
      </c>
      <c r="C109" s="220"/>
      <c r="D109" s="174">
        <v>26.4</v>
      </c>
      <c r="E109" s="143">
        <v>22.1</v>
      </c>
      <c r="F109" s="143">
        <v>27.2</v>
      </c>
      <c r="G109" s="143">
        <v>26.8</v>
      </c>
      <c r="H109" s="211"/>
      <c r="I109" s="143">
        <v>30.9</v>
      </c>
      <c r="J109" s="143">
        <v>24.8</v>
      </c>
      <c r="K109" s="143">
        <v>17.399999999999999</v>
      </c>
      <c r="L109" s="657">
        <f>AVERAGE(G109,I109,J109,K109)</f>
        <v>24.975000000000001</v>
      </c>
      <c r="M109" s="211"/>
      <c r="N109" s="657">
        <f>AVERAGE(I109,J109,K109,L109)</f>
        <v>24.518749999999997</v>
      </c>
      <c r="O109" s="657">
        <f>AVERAGE(J109,K109,L109,N109)</f>
        <v>22.923437500000002</v>
      </c>
      <c r="P109" s="657">
        <f>AVERAGE(K109,L109,N109,O109)</f>
        <v>22.454296875000001</v>
      </c>
      <c r="Q109" s="657">
        <f>AVERAGE(L109,N109,O109,P109)</f>
        <v>23.717871093749999</v>
      </c>
      <c r="R109" s="211"/>
      <c r="S109" s="657">
        <f>AVERAGE(N109,O109,P109,Q109)</f>
        <v>23.403588867187501</v>
      </c>
      <c r="T109" s="657">
        <f>AVERAGE(O109,P109,Q109,S109)</f>
        <v>23.124798583984372</v>
      </c>
      <c r="U109" s="657">
        <f>AVERAGE(P109,Q109,S109,T109)</f>
        <v>23.175138854980471</v>
      </c>
      <c r="V109" s="657">
        <f>AVERAGE(Q109,S109,T109,U109)</f>
        <v>23.355349349975587</v>
      </c>
      <c r="W109" s="211"/>
      <c r="X109" s="657">
        <f>AVERAGE(S109,T109,U109,V109)</f>
        <v>23.264718914031981</v>
      </c>
      <c r="Y109" s="657">
        <f>AVERAGE(T109,U109,V109,X109)</f>
        <v>23.230001425743104</v>
      </c>
      <c r="Z109" s="657">
        <f>AVERAGE(U109,V109,X109,Y109)</f>
        <v>23.256302136182782</v>
      </c>
      <c r="AA109" s="657">
        <f>AVERAGE(V109,X109,Y109,Z109)</f>
        <v>23.276592956483366</v>
      </c>
      <c r="AB109" s="211"/>
      <c r="AC109" s="657">
        <f>AVERAGE(X109,Y109,Z109,AA109)</f>
        <v>23.256903858110309</v>
      </c>
      <c r="AD109" s="657">
        <f>AVERAGE(Y109,Z109,AA109,AC109)</f>
        <v>23.254950094129889</v>
      </c>
      <c r="AE109" s="657">
        <f>AVERAGE(Z109,AA109,AC109,AD109)</f>
        <v>23.261187261226588</v>
      </c>
      <c r="AF109" s="759">
        <f>AVERAGE(AA109,AC109,AD109,AE109)</f>
        <v>23.262408542487535</v>
      </c>
      <c r="AG109" s="742"/>
      <c r="AH109" s="657">
        <f>AVERAGE(AC109,AD109,AE109,AF109)</f>
        <v>23.258862438988583</v>
      </c>
      <c r="AI109" s="657">
        <f>AVERAGE(AD109,AE109,AF109,AH109)</f>
        <v>23.25935208420815</v>
      </c>
      <c r="AJ109" s="657">
        <f>AVERAGE(AE109,AF109,AH109,AI109)</f>
        <v>23.260452581727712</v>
      </c>
      <c r="AK109" s="759">
        <f>AVERAGE(AF109,AH109,AI109,AJ109)</f>
        <v>23.260268911852997</v>
      </c>
      <c r="AL109" s="742"/>
    </row>
    <row r="110" spans="2:38" s="137" customFormat="1" outlineLevel="1" x14ac:dyDescent="0.2">
      <c r="B110" s="221" t="s">
        <v>268</v>
      </c>
      <c r="C110" s="668"/>
      <c r="D110" s="252">
        <f t="shared" ref="D110:J110" si="666">+D101-D108+D109</f>
        <v>229.99999999999991</v>
      </c>
      <c r="E110" s="252">
        <f t="shared" si="666"/>
        <v>201.80000000000004</v>
      </c>
      <c r="F110" s="252">
        <f t="shared" si="666"/>
        <v>270.19999999999976</v>
      </c>
      <c r="G110" s="252">
        <f t="shared" si="666"/>
        <v>262.69999999999987</v>
      </c>
      <c r="H110" s="216">
        <f>SUM(D110:G110)</f>
        <v>964.69999999999959</v>
      </c>
      <c r="I110" s="252">
        <f t="shared" si="666"/>
        <v>275.89999999999998</v>
      </c>
      <c r="J110" s="252">
        <f t="shared" si="666"/>
        <v>-15.400000000000045</v>
      </c>
      <c r="K110" s="252">
        <f>+K101-K108+K109</f>
        <v>-85.999999999999744</v>
      </c>
      <c r="L110" s="252">
        <f t="shared" ref="L110:Q110" si="667">+L101-L108+L109</f>
        <v>59.175528828567032</v>
      </c>
      <c r="M110" s="216">
        <f>SUM(I110:L110)</f>
        <v>233.67552882856722</v>
      </c>
      <c r="N110" s="252">
        <f t="shared" si="667"/>
        <v>209.21695691221254</v>
      </c>
      <c r="O110" s="252">
        <f t="shared" si="667"/>
        <v>156.62088721101523</v>
      </c>
      <c r="P110" s="252">
        <f t="shared" si="667"/>
        <v>144.08217469046832</v>
      </c>
      <c r="Q110" s="252">
        <f t="shared" si="667"/>
        <v>269.10341655879813</v>
      </c>
      <c r="R110" s="216">
        <f>SUM(N110:Q110)</f>
        <v>779.0234353724943</v>
      </c>
      <c r="S110" s="252">
        <f t="shared" ref="S110" si="668">+S101-S108+S109</f>
        <v>243.90986315281575</v>
      </c>
      <c r="T110" s="252">
        <f t="shared" ref="T110" si="669">+T101-T108+T109</f>
        <v>184.64124608421145</v>
      </c>
      <c r="U110" s="252">
        <f t="shared" ref="U110" si="670">+U101-U108+U109</f>
        <v>172.78826258327982</v>
      </c>
      <c r="V110" s="252">
        <f t="shared" ref="V110" si="671">+V101-V108+V109</f>
        <v>319.03495330037555</v>
      </c>
      <c r="W110" s="216">
        <f>SUM(S110:V110)</f>
        <v>920.37432512068244</v>
      </c>
      <c r="X110" s="252">
        <f t="shared" ref="X110" si="672">+X101-X108+X109</f>
        <v>280.64066686104104</v>
      </c>
      <c r="Y110" s="252">
        <f t="shared" ref="Y110" si="673">+Y101-Y108+Y109</f>
        <v>208.8179189983467</v>
      </c>
      <c r="Z110" s="252">
        <f t="shared" ref="Z110" si="674">+Z101-Z108+Z109</f>
        <v>193.76165752886374</v>
      </c>
      <c r="AA110" s="252">
        <f t="shared" ref="AA110" si="675">+AA101-AA108+AA109</f>
        <v>355.37381766041574</v>
      </c>
      <c r="AB110" s="216">
        <f>SUM(X110:AA110)</f>
        <v>1038.5940610486673</v>
      </c>
      <c r="AC110" s="252">
        <f t="shared" ref="AC110" si="676">+AC101-AC108+AC109</f>
        <v>310.50217014171727</v>
      </c>
      <c r="AD110" s="252">
        <f t="shared" ref="AD110" si="677">+AD101-AD108+AD109</f>
        <v>229.21777906271942</v>
      </c>
      <c r="AE110" s="252">
        <f t="shared" ref="AE110" si="678">+AE101-AE108+AE109</f>
        <v>212.74433744998996</v>
      </c>
      <c r="AF110" s="765">
        <f t="shared" ref="AF110" si="679">+AF101-AF108+AF109</f>
        <v>389.59827033842845</v>
      </c>
      <c r="AG110" s="725">
        <f>SUM(AC110:AF110)</f>
        <v>1142.0625569928552</v>
      </c>
      <c r="AH110" s="252">
        <f t="shared" ref="AH110" si="680">+AH101-AH108+AH109</f>
        <v>340.86768408591581</v>
      </c>
      <c r="AI110" s="252">
        <f t="shared" ref="AI110" si="681">+AI101-AI108+AI109</f>
        <v>249.62926126043914</v>
      </c>
      <c r="AJ110" s="252">
        <f t="shared" ref="AJ110" si="682">+AJ101-AJ108+AJ109</f>
        <v>231.75676622363326</v>
      </c>
      <c r="AK110" s="765">
        <f t="shared" ref="AK110" si="683">+AK101-AK108+AK109</f>
        <v>424.71589608651334</v>
      </c>
      <c r="AL110" s="725">
        <f>SUM(AH110:AK110)</f>
        <v>1246.9696076565015</v>
      </c>
    </row>
    <row r="111" spans="2:38" s="137" customFormat="1" outlineLevel="1" x14ac:dyDescent="0.2">
      <c r="B111" s="221" t="s">
        <v>269</v>
      </c>
      <c r="C111" s="668"/>
      <c r="D111" s="253">
        <f t="shared" ref="D111" si="684">+D110/D101</f>
        <v>0.15292553191489355</v>
      </c>
      <c r="E111" s="253">
        <f t="shared" ref="E111" si="685">+E110/E101</f>
        <v>0.1319471688243756</v>
      </c>
      <c r="F111" s="253">
        <f t="shared" ref="F111" si="686">+F110/F101</f>
        <v>0.17044092600769556</v>
      </c>
      <c r="G111" s="253">
        <f t="shared" ref="G111" si="687">+G110/G101</f>
        <v>0.16710132943196987</v>
      </c>
      <c r="H111" s="217">
        <f>H110/H101</f>
        <v>0.15582800284292814</v>
      </c>
      <c r="I111" s="253">
        <f t="shared" ref="I111" si="688">+I110/I101</f>
        <v>0.17560944561135511</v>
      </c>
      <c r="J111" s="253">
        <f t="shared" ref="J111" si="689">+J110/J101</f>
        <v>-1.3573065397496956E-2</v>
      </c>
      <c r="K111" s="253">
        <f t="shared" ref="K111" si="690">+K110/K101</f>
        <v>-9.0564448188710761E-2</v>
      </c>
      <c r="L111" s="253">
        <f t="shared" ref="L111:Q111" si="691">+L110/L101</f>
        <v>4.2403509574182249E-2</v>
      </c>
      <c r="M111" s="217">
        <f>M110/M101</f>
        <v>4.6264743661414934E-2</v>
      </c>
      <c r="N111" s="253">
        <f t="shared" si="691"/>
        <v>0.13171379367578995</v>
      </c>
      <c r="O111" s="253">
        <f t="shared" si="691"/>
        <v>0.12851425254472185</v>
      </c>
      <c r="P111" s="253">
        <f t="shared" si="691"/>
        <v>0.11235060904489835</v>
      </c>
      <c r="Q111" s="253">
        <f t="shared" si="691"/>
        <v>0.16411936854664869</v>
      </c>
      <c r="R111" s="217">
        <f>R110/R101</f>
        <v>0.13597326218702308</v>
      </c>
      <c r="S111" s="253">
        <f t="shared" ref="S111:V111" si="692">+S110/S101</f>
        <v>0.13759514502828332</v>
      </c>
      <c r="T111" s="253">
        <f t="shared" si="692"/>
        <v>0.13640042801734581</v>
      </c>
      <c r="U111" s="253">
        <f t="shared" si="692"/>
        <v>0.12040160938733237</v>
      </c>
      <c r="V111" s="253">
        <f t="shared" si="692"/>
        <v>0.17054557706233894</v>
      </c>
      <c r="W111" s="217">
        <f>W110/W101</f>
        <v>0.14309066863509382</v>
      </c>
      <c r="X111" s="253">
        <f t="shared" ref="X111:AA111" si="693">+X110/X101</f>
        <v>0.1420537260398235</v>
      </c>
      <c r="Y111" s="253">
        <f t="shared" si="693"/>
        <v>0.14084973721141286</v>
      </c>
      <c r="Z111" s="253">
        <f t="shared" si="693"/>
        <v>0.12396626750397029</v>
      </c>
      <c r="AA111" s="253">
        <f t="shared" si="693"/>
        <v>0.17338400072737492</v>
      </c>
      <c r="AB111" s="217">
        <f>AB110/AB101</f>
        <v>0.14688479853300743</v>
      </c>
      <c r="AC111" s="253">
        <f t="shared" ref="AC111:AF111" si="694">+AC110/AC101</f>
        <v>0.14431684531876368</v>
      </c>
      <c r="AD111" s="253">
        <f t="shared" si="694"/>
        <v>0.14312912733026203</v>
      </c>
      <c r="AE111" s="253">
        <f t="shared" si="694"/>
        <v>0.12599632714734785</v>
      </c>
      <c r="AF111" s="716">
        <f t="shared" si="694"/>
        <v>0.17509904971078868</v>
      </c>
      <c r="AG111" s="743">
        <f>AG110/AG101</f>
        <v>0.14896754554190583</v>
      </c>
      <c r="AH111" s="253">
        <f t="shared" ref="AH111:AK111" si="695">+AH110/AH101</f>
        <v>0.14589474620964904</v>
      </c>
      <c r="AI111" s="253">
        <f t="shared" si="695"/>
        <v>0.14460871234449507</v>
      </c>
      <c r="AJ111" s="253">
        <f t="shared" si="695"/>
        <v>0.12732341485617568</v>
      </c>
      <c r="AK111" s="716">
        <f t="shared" si="695"/>
        <v>0.176283575727193</v>
      </c>
      <c r="AL111" s="743">
        <f>AL110/AL101</f>
        <v>0.15037986128424571</v>
      </c>
    </row>
    <row r="112" spans="2:38" s="153" customFormat="1" outlineLevel="1" x14ac:dyDescent="0.2">
      <c r="B112" s="662" t="s">
        <v>139</v>
      </c>
      <c r="C112" s="663"/>
      <c r="D112" s="176">
        <f t="shared" ref="D112:G112" si="696">+D108-D105</f>
        <v>1173.4000000000001</v>
      </c>
      <c r="E112" s="176">
        <f t="shared" si="696"/>
        <v>1219.3</v>
      </c>
      <c r="F112" s="176">
        <f t="shared" si="696"/>
        <v>1214.6000000000001</v>
      </c>
      <c r="G112" s="176">
        <f t="shared" si="696"/>
        <v>1209.7000000000003</v>
      </c>
      <c r="H112" s="210"/>
      <c r="I112" s="176">
        <f t="shared" ref="I112:Q112" si="697">+I108-I105</f>
        <v>1199.5</v>
      </c>
      <c r="J112" s="176">
        <f t="shared" si="697"/>
        <v>1044.8</v>
      </c>
      <c r="K112" s="176">
        <f t="shared" si="697"/>
        <v>924.49999999999977</v>
      </c>
      <c r="L112" s="176">
        <f t="shared" si="697"/>
        <v>1228.0697020617604</v>
      </c>
      <c r="M112" s="210"/>
      <c r="N112" s="176">
        <f t="shared" si="697"/>
        <v>1270.7368063648344</v>
      </c>
      <c r="O112" s="176">
        <f t="shared" si="697"/>
        <v>950.58944518297517</v>
      </c>
      <c r="P112" s="176">
        <f t="shared" si="697"/>
        <v>1025.9467281242005</v>
      </c>
      <c r="Q112" s="176">
        <f t="shared" si="697"/>
        <v>1260.9147181485509</v>
      </c>
      <c r="R112" s="210"/>
      <c r="S112" s="176">
        <f t="shared" ref="S112:V112" si="698">+S108-S105</f>
        <v>1418.1306359475343</v>
      </c>
      <c r="T112" s="176">
        <f t="shared" si="698"/>
        <v>1055.8630499852252</v>
      </c>
      <c r="U112" s="176">
        <f t="shared" si="698"/>
        <v>1148.07942161251</v>
      </c>
      <c r="V112" s="176">
        <f t="shared" si="698"/>
        <v>1438.5472981120538</v>
      </c>
      <c r="W112" s="210"/>
      <c r="X112" s="176">
        <f t="shared" ref="X112:AA112" si="699">+X108-X105</f>
        <v>1580.4762025453156</v>
      </c>
      <c r="Y112" s="176">
        <f t="shared" si="699"/>
        <v>1156.3953191778671</v>
      </c>
      <c r="Z112" s="176">
        <f t="shared" si="699"/>
        <v>1250.4153681817231</v>
      </c>
      <c r="AA112" s="176">
        <f t="shared" si="699"/>
        <v>1576.1688773727335</v>
      </c>
      <c r="AB112" s="210"/>
      <c r="AC112" s="176">
        <f t="shared" ref="AC112:AF112" si="700">+AC108-AC105</f>
        <v>1721.2248200458503</v>
      </c>
      <c r="AD112" s="176">
        <f t="shared" si="700"/>
        <v>1249.1508262771285</v>
      </c>
      <c r="AE112" s="176">
        <f t="shared" si="700"/>
        <v>1350.7970733222635</v>
      </c>
      <c r="AF112" s="717">
        <f t="shared" si="700"/>
        <v>1711.0376691655547</v>
      </c>
      <c r="AG112" s="720"/>
      <c r="AH112" s="176">
        <f t="shared" ref="AH112:AK112" si="701">+AH108-AH105</f>
        <v>1869.1156080211033</v>
      </c>
      <c r="AI112" s="176">
        <f t="shared" si="701"/>
        <v>1346.4667558846065</v>
      </c>
      <c r="AJ112" s="176">
        <f t="shared" si="701"/>
        <v>1456.1768798640869</v>
      </c>
      <c r="AK112" s="717">
        <f t="shared" si="701"/>
        <v>1852.7337146596547</v>
      </c>
      <c r="AL112" s="720"/>
    </row>
    <row r="113" spans="1:38" s="153" customFormat="1" outlineLevel="1" x14ac:dyDescent="0.2">
      <c r="B113" s="662" t="s">
        <v>140</v>
      </c>
      <c r="C113" s="663"/>
      <c r="D113" s="167">
        <f t="shared" ref="D113:K113" si="702">+D112/D101</f>
        <v>0.78018617021276604</v>
      </c>
      <c r="E113" s="167">
        <f t="shared" si="702"/>
        <v>0.79724074800575384</v>
      </c>
      <c r="F113" s="167">
        <f t="shared" si="702"/>
        <v>0.7661641329716774</v>
      </c>
      <c r="G113" s="167">
        <f t="shared" si="702"/>
        <v>0.7694803129571911</v>
      </c>
      <c r="H113" s="219"/>
      <c r="I113" s="167">
        <f t="shared" si="702"/>
        <v>0.76347781808923687</v>
      </c>
      <c r="J113" s="167">
        <f t="shared" si="702"/>
        <v>0.92085316411069984</v>
      </c>
      <c r="K113" s="167">
        <f t="shared" si="702"/>
        <v>0.97356781802864334</v>
      </c>
      <c r="L113" s="167">
        <v>0.88</v>
      </c>
      <c r="M113" s="219"/>
      <c r="N113" s="167">
        <v>0.8</v>
      </c>
      <c r="O113" s="167">
        <v>0.78</v>
      </c>
      <c r="P113" s="167">
        <v>0.8</v>
      </c>
      <c r="Q113" s="167">
        <v>0.76900000000000002</v>
      </c>
      <c r="R113" s="219"/>
      <c r="S113" s="167">
        <v>0.8</v>
      </c>
      <c r="T113" s="167">
        <v>0.78</v>
      </c>
      <c r="U113" s="167">
        <v>0.8</v>
      </c>
      <c r="V113" s="167">
        <v>0.76900000000000002</v>
      </c>
      <c r="W113" s="219"/>
      <c r="X113" s="167">
        <v>0.8</v>
      </c>
      <c r="Y113" s="167">
        <v>0.78</v>
      </c>
      <c r="Z113" s="167">
        <v>0.8</v>
      </c>
      <c r="AA113" s="167">
        <v>0.76900000000000002</v>
      </c>
      <c r="AB113" s="219"/>
      <c r="AC113" s="167">
        <v>0.8</v>
      </c>
      <c r="AD113" s="167">
        <v>0.78</v>
      </c>
      <c r="AE113" s="167">
        <v>0.8</v>
      </c>
      <c r="AF113" s="766">
        <v>0.76900000000000002</v>
      </c>
      <c r="AG113" s="731"/>
      <c r="AH113" s="167">
        <v>0.8</v>
      </c>
      <c r="AI113" s="167">
        <v>0.78</v>
      </c>
      <c r="AJ113" s="167">
        <v>0.8</v>
      </c>
      <c r="AK113" s="766">
        <v>0.76900000000000002</v>
      </c>
      <c r="AL113" s="731"/>
    </row>
    <row r="114" spans="1:38" ht="19" x14ac:dyDescent="0.35">
      <c r="A114" s="137"/>
      <c r="B114" s="314" t="s">
        <v>141</v>
      </c>
      <c r="C114" s="315"/>
      <c r="D114" s="22" t="s">
        <v>72</v>
      </c>
      <c r="E114" s="22" t="s">
        <v>211</v>
      </c>
      <c r="F114" s="22" t="s">
        <v>215</v>
      </c>
      <c r="G114" s="22" t="s">
        <v>225</v>
      </c>
      <c r="H114" s="67" t="s">
        <v>226</v>
      </c>
      <c r="I114" s="22" t="s">
        <v>227</v>
      </c>
      <c r="J114" s="22" t="s">
        <v>228</v>
      </c>
      <c r="K114" s="22" t="s">
        <v>229</v>
      </c>
      <c r="L114" s="20" t="s">
        <v>90</v>
      </c>
      <c r="M114" s="69" t="s">
        <v>91</v>
      </c>
      <c r="N114" s="20" t="s">
        <v>92</v>
      </c>
      <c r="O114" s="20" t="s">
        <v>93</v>
      </c>
      <c r="P114" s="20" t="s">
        <v>94</v>
      </c>
      <c r="Q114" s="20" t="s">
        <v>95</v>
      </c>
      <c r="R114" s="69" t="s">
        <v>96</v>
      </c>
      <c r="S114" s="20" t="s">
        <v>97</v>
      </c>
      <c r="T114" s="20" t="s">
        <v>98</v>
      </c>
      <c r="U114" s="20" t="s">
        <v>99</v>
      </c>
      <c r="V114" s="20" t="s">
        <v>100</v>
      </c>
      <c r="W114" s="69" t="s">
        <v>101</v>
      </c>
      <c r="X114" s="20" t="s">
        <v>102</v>
      </c>
      <c r="Y114" s="20" t="s">
        <v>103</v>
      </c>
      <c r="Z114" s="20" t="s">
        <v>104</v>
      </c>
      <c r="AA114" s="20" t="s">
        <v>105</v>
      </c>
      <c r="AB114" s="69" t="s">
        <v>106</v>
      </c>
      <c r="AC114" s="20" t="s">
        <v>220</v>
      </c>
      <c r="AD114" s="20" t="s">
        <v>221</v>
      </c>
      <c r="AE114" s="20" t="s">
        <v>222</v>
      </c>
      <c r="AF114" s="732" t="s">
        <v>223</v>
      </c>
      <c r="AG114" s="732" t="s">
        <v>224</v>
      </c>
      <c r="AH114" s="20" t="s">
        <v>253</v>
      </c>
      <c r="AI114" s="20" t="s">
        <v>254</v>
      </c>
      <c r="AJ114" s="20" t="s">
        <v>255</v>
      </c>
      <c r="AK114" s="732" t="s">
        <v>256</v>
      </c>
      <c r="AL114" s="732" t="s">
        <v>257</v>
      </c>
    </row>
    <row r="115" spans="1:38" s="13" customFormat="1" outlineLevel="1" x14ac:dyDescent="0.2">
      <c r="A115" s="152"/>
      <c r="B115" s="302" t="s">
        <v>270</v>
      </c>
      <c r="C115" s="303"/>
      <c r="D115" s="89">
        <v>504.6</v>
      </c>
      <c r="E115" s="89">
        <v>446.6</v>
      </c>
      <c r="F115" s="142">
        <v>533.29999999999995</v>
      </c>
      <c r="G115" s="89">
        <v>508.1</v>
      </c>
      <c r="H115" s="44">
        <f>SUM(D115:G115)</f>
        <v>1992.6</v>
      </c>
      <c r="I115" s="89">
        <v>494.6</v>
      </c>
      <c r="J115" s="89">
        <v>519.1</v>
      </c>
      <c r="K115" s="89">
        <v>447.3</v>
      </c>
      <c r="L115" s="142">
        <f>G115*(1+L116)</f>
        <v>497.93799999999999</v>
      </c>
      <c r="M115" s="44">
        <f>SUM(I115:L115)</f>
        <v>1958.9380000000001</v>
      </c>
      <c r="N115" s="142">
        <f t="shared" ref="N115" si="703">I115*(1+N116)</f>
        <v>519.33000000000004</v>
      </c>
      <c r="O115" s="142">
        <f t="shared" ref="O115" si="704">J115*(1+O116)</f>
        <v>545.05500000000006</v>
      </c>
      <c r="P115" s="142">
        <f>K115*(1+P116)</f>
        <v>438.35399999999998</v>
      </c>
      <c r="Q115" s="142">
        <f t="shared" ref="Q115" si="705">L115*(1+Q116)</f>
        <v>522.83490000000006</v>
      </c>
      <c r="R115" s="44">
        <f>SUM(N115:Q115)</f>
        <v>2025.5739000000003</v>
      </c>
      <c r="S115" s="142">
        <f t="shared" ref="S115" si="706">N115*(1+S116)</f>
        <v>545.29650000000004</v>
      </c>
      <c r="T115" s="142">
        <f t="shared" ref="T115" si="707">O115*(1+T116)</f>
        <v>572.30775000000006</v>
      </c>
      <c r="U115" s="142">
        <f t="shared" ref="U115" si="708">P115*(1+U116)</f>
        <v>460.27170000000001</v>
      </c>
      <c r="V115" s="142">
        <f t="shared" ref="V115" si="709">Q115*(1+V116)</f>
        <v>548.97664500000008</v>
      </c>
      <c r="W115" s="44">
        <f>SUM(S115:V115)</f>
        <v>2126.8525950000003</v>
      </c>
      <c r="X115" s="142">
        <f t="shared" ref="X115" si="710">S115*(1+X116)</f>
        <v>572.56132500000001</v>
      </c>
      <c r="Y115" s="142">
        <f t="shared" ref="Y115" si="711">T115*(1+Y116)</f>
        <v>600.92313750000005</v>
      </c>
      <c r="Z115" s="142">
        <f t="shared" ref="Z115" si="712">U115*(1+Z116)</f>
        <v>483.28528500000004</v>
      </c>
      <c r="AA115" s="142">
        <f t="shared" ref="AA115" si="713">V115*(1+AA116)</f>
        <v>576.42547725000009</v>
      </c>
      <c r="AB115" s="44">
        <f>SUM(X115:AA115)</f>
        <v>2233.1952247500003</v>
      </c>
      <c r="AC115" s="142">
        <f t="shared" ref="AC115" si="714">X115*(1+AC116)</f>
        <v>601.18939125000009</v>
      </c>
      <c r="AD115" s="142">
        <f t="shared" ref="AD115" si="715">Y115*(1+AD116)</f>
        <v>630.96929437500012</v>
      </c>
      <c r="AE115" s="142">
        <f t="shared" ref="AE115" si="716">Z115*(1+AE116)</f>
        <v>507.44954925000008</v>
      </c>
      <c r="AF115" s="714">
        <f t="shared" ref="AF115" si="717">AA115*(1+AF116)</f>
        <v>605.24675111250008</v>
      </c>
      <c r="AG115" s="744">
        <f>SUM(AC115:AF115)</f>
        <v>2344.8549859875002</v>
      </c>
      <c r="AH115" s="142">
        <f t="shared" ref="AH115" si="718">AC115*(1+AH116)</f>
        <v>631.24886081250008</v>
      </c>
      <c r="AI115" s="142">
        <f t="shared" ref="AI115" si="719">AD115*(1+AI116)</f>
        <v>662.5177590937501</v>
      </c>
      <c r="AJ115" s="142">
        <f t="shared" ref="AJ115" si="720">AE115*(1+AJ116)</f>
        <v>532.82202671250013</v>
      </c>
      <c r="AK115" s="714">
        <f t="shared" ref="AK115" si="721">AF115*(1+AK116)</f>
        <v>635.50908866812506</v>
      </c>
      <c r="AL115" s="744">
        <f>SUM(AH115:AK115)</f>
        <v>2462.0977352868754</v>
      </c>
    </row>
    <row r="116" spans="1:38" s="137" customFormat="1" outlineLevel="1" x14ac:dyDescent="0.2">
      <c r="B116" s="660" t="s">
        <v>148</v>
      </c>
      <c r="C116" s="661"/>
      <c r="D116" s="175"/>
      <c r="E116" s="175"/>
      <c r="F116" s="175"/>
      <c r="G116" s="175"/>
      <c r="H116" s="251"/>
      <c r="I116" s="175">
        <f>I115/D115-1</f>
        <v>-1.9817677368212494E-2</v>
      </c>
      <c r="J116" s="175">
        <f t="shared" ref="J116" si="722">J115/E115-1</f>
        <v>0.16233766233766223</v>
      </c>
      <c r="K116" s="175">
        <f>K115/F115-1</f>
        <v>-0.1612600787549221</v>
      </c>
      <c r="L116" s="175">
        <v>-0.02</v>
      </c>
      <c r="M116" s="251"/>
      <c r="N116" s="175">
        <v>0.05</v>
      </c>
      <c r="O116" s="175">
        <v>0.05</v>
      </c>
      <c r="P116" s="175">
        <v>-0.02</v>
      </c>
      <c r="Q116" s="175">
        <v>0.05</v>
      </c>
      <c r="R116" s="251"/>
      <c r="S116" s="175">
        <v>0.05</v>
      </c>
      <c r="T116" s="175">
        <v>0.05</v>
      </c>
      <c r="U116" s="175">
        <v>0.05</v>
      </c>
      <c r="V116" s="175">
        <v>0.05</v>
      </c>
      <c r="W116" s="251"/>
      <c r="X116" s="175">
        <v>0.05</v>
      </c>
      <c r="Y116" s="175">
        <v>0.05</v>
      </c>
      <c r="Z116" s="175">
        <v>0.05</v>
      </c>
      <c r="AA116" s="175">
        <v>0.05</v>
      </c>
      <c r="AB116" s="251"/>
      <c r="AC116" s="175">
        <v>0.05</v>
      </c>
      <c r="AD116" s="175">
        <v>0.05</v>
      </c>
      <c r="AE116" s="175">
        <v>0.05</v>
      </c>
      <c r="AF116" s="763">
        <v>0.05</v>
      </c>
      <c r="AG116" s="729"/>
      <c r="AH116" s="175">
        <v>0.05</v>
      </c>
      <c r="AI116" s="175">
        <v>0.05</v>
      </c>
      <c r="AJ116" s="175">
        <v>0.05</v>
      </c>
      <c r="AK116" s="763">
        <v>0.05</v>
      </c>
      <c r="AL116" s="729"/>
    </row>
    <row r="117" spans="1:38" outlineLevel="1" x14ac:dyDescent="0.2">
      <c r="A117" s="137"/>
      <c r="B117" s="347" t="s">
        <v>230</v>
      </c>
      <c r="C117" s="348"/>
      <c r="D117" s="87">
        <v>348.4</v>
      </c>
      <c r="E117" s="87">
        <v>305.39999999999998</v>
      </c>
      <c r="F117" s="87">
        <v>377.1</v>
      </c>
      <c r="G117" s="87">
        <v>359.1</v>
      </c>
      <c r="H117" s="110"/>
      <c r="I117" s="87">
        <v>338.8</v>
      </c>
      <c r="J117" s="87">
        <v>351.6</v>
      </c>
      <c r="K117" s="87">
        <v>319.89999999999998</v>
      </c>
      <c r="L117" s="144">
        <f>(L115*L127)*(K117/K126)</f>
        <v>318.32504962921348</v>
      </c>
      <c r="M117" s="110"/>
      <c r="N117" s="144">
        <f>(N115*N127)*(L117/L126)</f>
        <v>325.33398674157309</v>
      </c>
      <c r="O117" s="144">
        <f t="shared" ref="O117:Q117" si="723">(O115*O127)*(N117/N126)</f>
        <v>340.51647668539329</v>
      </c>
      <c r="P117" s="144">
        <f t="shared" si="723"/>
        <v>281.3592387640449</v>
      </c>
      <c r="Q117" s="144">
        <f t="shared" si="723"/>
        <v>335.58363665730343</v>
      </c>
      <c r="R117" s="110"/>
      <c r="S117" s="144">
        <f>(S115*S127)*(Q117/Q126)</f>
        <v>341.60068607865173</v>
      </c>
      <c r="T117" s="144">
        <f t="shared" ref="T117:V117" si="724">(T115*T127)*(S117/S126)</f>
        <v>357.54230051966294</v>
      </c>
      <c r="U117" s="144">
        <f t="shared" si="724"/>
        <v>295.42720070224721</v>
      </c>
      <c r="V117" s="144">
        <f t="shared" si="724"/>
        <v>352.36281849016854</v>
      </c>
      <c r="W117" s="110"/>
      <c r="X117" s="144">
        <f>(X115*X127)*(V117/V126)</f>
        <v>358.68072038258424</v>
      </c>
      <c r="Y117" s="144">
        <f t="shared" ref="Y117:AA117" si="725">(Y115*Y127)*(X117/X126)</f>
        <v>375.41941554564607</v>
      </c>
      <c r="Z117" s="144">
        <f t="shared" si="725"/>
        <v>310.19856073735963</v>
      </c>
      <c r="AA117" s="144">
        <f t="shared" si="725"/>
        <v>369.98095941467699</v>
      </c>
      <c r="AB117" s="110"/>
      <c r="AC117" s="144">
        <f>(AC115*AC127)*(AA117/AA126)</f>
        <v>376.61475640171346</v>
      </c>
      <c r="AD117" s="144">
        <f t="shared" ref="AD117:AF117" si="726">(AD115*AD127)*(AC117/AC126)</f>
        <v>394.19038632292842</v>
      </c>
      <c r="AE117" s="144">
        <f t="shared" si="726"/>
        <v>325.70848877422759</v>
      </c>
      <c r="AF117" s="715">
        <f t="shared" si="726"/>
        <v>388.48000738541083</v>
      </c>
      <c r="AG117" s="745"/>
      <c r="AH117" s="144">
        <f>(AH115*AH127)*(AF117/AF126)</f>
        <v>395.44549422179909</v>
      </c>
      <c r="AI117" s="144">
        <f t="shared" ref="AI117:AK117" si="727">(AI115*AI127)*(AH117/AH126)</f>
        <v>413.89990563907475</v>
      </c>
      <c r="AJ117" s="144">
        <f t="shared" si="727"/>
        <v>341.99391321293893</v>
      </c>
      <c r="AK117" s="715">
        <f t="shared" si="727"/>
        <v>407.90400775468134</v>
      </c>
      <c r="AL117" s="745"/>
    </row>
    <row r="118" spans="1:38" outlineLevel="1" x14ac:dyDescent="0.2">
      <c r="A118" s="137"/>
      <c r="B118" s="35" t="s">
        <v>108</v>
      </c>
      <c r="C118" s="26"/>
      <c r="D118" s="87">
        <v>18.600000000000001</v>
      </c>
      <c r="E118" s="87">
        <v>17.100000000000001</v>
      </c>
      <c r="F118" s="87">
        <v>20.2</v>
      </c>
      <c r="G118" s="87">
        <v>20.3</v>
      </c>
      <c r="H118" s="88"/>
      <c r="I118" s="87">
        <v>20.6</v>
      </c>
      <c r="J118" s="87">
        <v>17.7</v>
      </c>
      <c r="K118" s="87">
        <v>51.4</v>
      </c>
      <c r="L118" s="144">
        <f>(L115*L127)*(K118/K126)</f>
        <v>51.146944516853935</v>
      </c>
      <c r="M118" s="88"/>
      <c r="N118" s="144">
        <f>(N115*N127)*(L118/L126)</f>
        <v>52.273106966292147</v>
      </c>
      <c r="O118" s="144">
        <f t="shared" ref="O118:Q118" si="728">(O115*O127)*(N118/N126)</f>
        <v>54.712556741573039</v>
      </c>
      <c r="P118" s="144">
        <f t="shared" si="728"/>
        <v>45.207455056179768</v>
      </c>
      <c r="Q118" s="144">
        <f t="shared" si="728"/>
        <v>53.919971629213499</v>
      </c>
      <c r="R118" s="88"/>
      <c r="S118" s="144">
        <f>(S115*S127)*(Q118/Q126)</f>
        <v>54.886762314606749</v>
      </c>
      <c r="T118" s="144">
        <f t="shared" ref="T118:V118" si="729">(T115*T127)*(S118/S126)</f>
        <v>57.448184578651691</v>
      </c>
      <c r="U118" s="144">
        <f t="shared" si="729"/>
        <v>47.467827808988766</v>
      </c>
      <c r="V118" s="144">
        <f t="shared" si="729"/>
        <v>56.615970210674156</v>
      </c>
      <c r="W118" s="88"/>
      <c r="X118" s="144">
        <f>(X115*X127)*(V118/V126)</f>
        <v>57.631100430337071</v>
      </c>
      <c r="Y118" s="144">
        <f t="shared" ref="Y118:AA118" si="730">(Y115*Y127)*(X118/X126)</f>
        <v>60.320593807584274</v>
      </c>
      <c r="Z118" s="144">
        <f t="shared" si="730"/>
        <v>49.841219199438221</v>
      </c>
      <c r="AA118" s="144">
        <f t="shared" si="730"/>
        <v>59.446768721207874</v>
      </c>
      <c r="AB118" s="88"/>
      <c r="AC118" s="144">
        <f>(AC115*AC127)*(AA118/AA126)</f>
        <v>60.512655451853938</v>
      </c>
      <c r="AD118" s="144">
        <f t="shared" ref="AD118:AF118" si="731">(AD115*AD127)*(AC118/AC126)</f>
        <v>63.336623497963494</v>
      </c>
      <c r="AE118" s="144">
        <f t="shared" si="731"/>
        <v>52.333280159410123</v>
      </c>
      <c r="AF118" s="715">
        <f t="shared" si="731"/>
        <v>62.419107157268265</v>
      </c>
      <c r="AG118" s="746"/>
      <c r="AH118" s="144">
        <f>(AH115*AH127)*(AF118/AF126)</f>
        <v>63.538288224446632</v>
      </c>
      <c r="AI118" s="144">
        <f t="shared" ref="AI118:AK118" si="732">(AI115*AI127)*(AH118/AH126)</f>
        <v>66.503454672861679</v>
      </c>
      <c r="AJ118" s="144">
        <f t="shared" si="732"/>
        <v>54.94994416738065</v>
      </c>
      <c r="AK118" s="715">
        <f t="shared" si="732"/>
        <v>65.540062515131694</v>
      </c>
      <c r="AL118" s="746"/>
    </row>
    <row r="119" spans="1:38" outlineLevel="1" x14ac:dyDescent="0.2">
      <c r="A119" s="137"/>
      <c r="B119" s="35" t="s">
        <v>109</v>
      </c>
      <c r="C119" s="26"/>
      <c r="D119" s="103">
        <v>0</v>
      </c>
      <c r="E119" s="103">
        <v>12.3</v>
      </c>
      <c r="F119" s="103">
        <v>0.2</v>
      </c>
      <c r="G119" s="103">
        <v>0.3</v>
      </c>
      <c r="H119" s="11"/>
      <c r="I119" s="103">
        <v>0.3</v>
      </c>
      <c r="J119" s="103">
        <v>0.3</v>
      </c>
      <c r="K119" s="103">
        <v>0.3</v>
      </c>
      <c r="L119" s="294">
        <f>L242*(K119/(K72+K105+K119+K133))</f>
        <v>0.31112106175700049</v>
      </c>
      <c r="M119" s="11"/>
      <c r="N119" s="294">
        <f>N242*(L119/(L72+L105+L119+L133))</f>
        <v>0.31047313932839504</v>
      </c>
      <c r="O119" s="294">
        <f t="shared" ref="O119:Q119" si="733">O242*(N119/(N72+N105+N119+N133))</f>
        <v>0.31381522647609283</v>
      </c>
      <c r="P119" s="294">
        <f t="shared" si="733"/>
        <v>0.31484545731264207</v>
      </c>
      <c r="Q119" s="294">
        <f t="shared" si="733"/>
        <v>0.31139480379195927</v>
      </c>
      <c r="R119" s="11"/>
      <c r="S119" s="294">
        <f>S242*(Q119/(Q72+Q105+Q119+Q133))</f>
        <v>0.3129020654504005</v>
      </c>
      <c r="T119" s="294">
        <f t="shared" ref="T119:V119" si="734">T242*(S119/(S72+S105+S119+S133))</f>
        <v>0.31818929047163275</v>
      </c>
      <c r="U119" s="294">
        <f t="shared" si="734"/>
        <v>0.32079392608909191</v>
      </c>
      <c r="V119" s="294">
        <f t="shared" si="734"/>
        <v>0.31855047616347615</v>
      </c>
      <c r="W119" s="11"/>
      <c r="X119" s="294">
        <f>X242*(V119/(V72+V105+V119+V133))</f>
        <v>0.3215792280684503</v>
      </c>
      <c r="Y119" s="294">
        <f t="shared" ref="Y119:AA119" si="735">Y242*(X119/(X72+X105+X119+X133))</f>
        <v>0.32819034574229133</v>
      </c>
      <c r="Z119" s="294">
        <f t="shared" si="735"/>
        <v>0.33174743965622538</v>
      </c>
      <c r="AA119" s="294">
        <f t="shared" si="735"/>
        <v>0.33004279105952139</v>
      </c>
      <c r="AB119" s="11"/>
      <c r="AC119" s="294">
        <f>AC242*(AA119/(AA72+AA105+AA119+AA133))</f>
        <v>0.33399440948137527</v>
      </c>
      <c r="AD119" s="294">
        <f t="shared" ref="AD119:AF119" si="736">AD242*(AC119/(AC72+AC105+AC119+AC133))</f>
        <v>0.34170061414387382</v>
      </c>
      <c r="AE119" s="294">
        <f t="shared" si="736"/>
        <v>0.34602984780187412</v>
      </c>
      <c r="AF119" s="767">
        <f t="shared" si="736"/>
        <v>0.34469169781209991</v>
      </c>
      <c r="AG119" s="747"/>
      <c r="AH119" s="294">
        <f>AH242*(AF119/(AF72+AF105+AF119+AF133))</f>
        <v>0.349424312120657</v>
      </c>
      <c r="AI119" s="294">
        <f t="shared" ref="AI119:AK119" si="737">AI242*(AH119/(AH72+AH105+AH119+AH133))</f>
        <v>0.35813875228121328</v>
      </c>
      <c r="AJ119" s="294">
        <f t="shared" si="737"/>
        <v>0.36314686301350041</v>
      </c>
      <c r="AK119" s="767">
        <f t="shared" si="737"/>
        <v>0.36207144795373081</v>
      </c>
      <c r="AL119" s="747"/>
    </row>
    <row r="120" spans="1:38" outlineLevel="1" x14ac:dyDescent="0.2">
      <c r="A120" s="137"/>
      <c r="B120" s="35" t="s">
        <v>110</v>
      </c>
      <c r="C120" s="26"/>
      <c r="D120" s="87">
        <v>3.2</v>
      </c>
      <c r="E120" s="87">
        <v>3.1</v>
      </c>
      <c r="F120" s="87">
        <v>2.7</v>
      </c>
      <c r="G120" s="87">
        <v>2.6</v>
      </c>
      <c r="H120" s="88"/>
      <c r="I120" s="87">
        <v>2.4</v>
      </c>
      <c r="J120" s="87">
        <v>3</v>
      </c>
      <c r="K120" s="87">
        <v>2.5</v>
      </c>
      <c r="L120" s="144">
        <f>(L115*L127)*(K120/K126)</f>
        <v>2.4876918539325845</v>
      </c>
      <c r="M120" s="88"/>
      <c r="N120" s="144">
        <f>(N115*N127)*(L120/L126)</f>
        <v>2.542466292134832</v>
      </c>
      <c r="O120" s="144">
        <f t="shared" ref="O120:Q120" si="738">(O115*O127)*(N120/N126)</f>
        <v>2.6611165730337083</v>
      </c>
      <c r="P120" s="144">
        <f t="shared" si="738"/>
        <v>2.1988061797752807</v>
      </c>
      <c r="Q120" s="144">
        <f t="shared" si="738"/>
        <v>2.6225667134831467</v>
      </c>
      <c r="R120" s="88"/>
      <c r="S120" s="144">
        <f>(S115*S127)*(Q120/Q126)</f>
        <v>2.6695896067415732</v>
      </c>
      <c r="T120" s="144">
        <f t="shared" ref="T120:V120" si="739">(T115*T127)*(S120/S126)</f>
        <v>2.794172401685393</v>
      </c>
      <c r="U120" s="144">
        <f t="shared" si="739"/>
        <v>2.3087464887640445</v>
      </c>
      <c r="V120" s="144">
        <f t="shared" si="739"/>
        <v>2.7536950491573027</v>
      </c>
      <c r="W120" s="88"/>
      <c r="X120" s="144">
        <f>(X115*X127)*(V120/V126)</f>
        <v>2.8030690870786508</v>
      </c>
      <c r="Y120" s="144">
        <f t="shared" ref="Y120:AA120" si="740">(Y115*Y127)*(X120/X126)</f>
        <v>2.9338810217696625</v>
      </c>
      <c r="Z120" s="144">
        <f t="shared" si="740"/>
        <v>2.4241838132022471</v>
      </c>
      <c r="AA120" s="144">
        <f t="shared" si="740"/>
        <v>2.8913798016151677</v>
      </c>
      <c r="AB120" s="88"/>
      <c r="AC120" s="144">
        <f>(AC115*AC127)*(AA120/AA126)</f>
        <v>2.9432225414325837</v>
      </c>
      <c r="AD120" s="144">
        <f t="shared" ref="AD120:AF120" si="741">(AD115*AD127)*(AC120/AC126)</f>
        <v>3.0805750728581458</v>
      </c>
      <c r="AE120" s="144">
        <f t="shared" si="741"/>
        <v>2.5453930038623596</v>
      </c>
      <c r="AF120" s="715">
        <f t="shared" si="741"/>
        <v>3.035948791695926</v>
      </c>
      <c r="AG120" s="746"/>
      <c r="AH120" s="144">
        <f>(AH115*AH127)*(AF120/AF126)</f>
        <v>3.0903836685042125</v>
      </c>
      <c r="AI120" s="144">
        <f t="shared" ref="AI120:AK120" si="742">(AI115*AI127)*(AH120/AH126)</f>
        <v>3.2346038265010528</v>
      </c>
      <c r="AJ120" s="144">
        <f t="shared" si="742"/>
        <v>2.6726626540554781</v>
      </c>
      <c r="AK120" s="715">
        <f t="shared" si="742"/>
        <v>3.1877462312807237</v>
      </c>
      <c r="AL120" s="746"/>
    </row>
    <row r="121" spans="1:38" ht="18" outlineLevel="1" x14ac:dyDescent="0.35">
      <c r="A121" s="137"/>
      <c r="B121" s="35" t="s">
        <v>118</v>
      </c>
      <c r="C121" s="26"/>
      <c r="D121" s="104">
        <v>0</v>
      </c>
      <c r="E121" s="104">
        <v>0</v>
      </c>
      <c r="F121" s="104">
        <v>0</v>
      </c>
      <c r="G121" s="104">
        <v>0</v>
      </c>
      <c r="H121" s="111"/>
      <c r="I121" s="104">
        <v>0</v>
      </c>
      <c r="J121" s="104">
        <v>0</v>
      </c>
      <c r="K121" s="104">
        <v>0</v>
      </c>
      <c r="L121" s="143">
        <f>(L115*L127)*(K121/K126)</f>
        <v>0</v>
      </c>
      <c r="M121" s="111"/>
      <c r="N121" s="143">
        <f>(N115*N127)*(L121/L126)</f>
        <v>0</v>
      </c>
      <c r="O121" s="143">
        <f t="shared" ref="O121:Q121" si="743">(O115*O127)*(N121/N126)</f>
        <v>0</v>
      </c>
      <c r="P121" s="143">
        <f t="shared" si="743"/>
        <v>0</v>
      </c>
      <c r="Q121" s="143">
        <f t="shared" si="743"/>
        <v>0</v>
      </c>
      <c r="R121" s="111"/>
      <c r="S121" s="143">
        <f>(S115*S127)*(Q121/Q126)</f>
        <v>0</v>
      </c>
      <c r="T121" s="143">
        <f t="shared" ref="T121:V121" si="744">(T115*T127)*(S121/S126)</f>
        <v>0</v>
      </c>
      <c r="U121" s="143">
        <f t="shared" si="744"/>
        <v>0</v>
      </c>
      <c r="V121" s="143">
        <f t="shared" si="744"/>
        <v>0</v>
      </c>
      <c r="W121" s="111"/>
      <c r="X121" s="143">
        <f>(X115*X127)*(V121/V126)</f>
        <v>0</v>
      </c>
      <c r="Y121" s="143">
        <f t="shared" ref="Y121:AA121" si="745">(Y115*Y127)*(X121/X126)</f>
        <v>0</v>
      </c>
      <c r="Z121" s="143">
        <f t="shared" si="745"/>
        <v>0</v>
      </c>
      <c r="AA121" s="143">
        <f t="shared" si="745"/>
        <v>0</v>
      </c>
      <c r="AB121" s="111"/>
      <c r="AC121" s="143">
        <f>(AC115*AC127)*(AA121/AA126)</f>
        <v>0</v>
      </c>
      <c r="AD121" s="143">
        <f t="shared" ref="AD121:AF121" si="746">(AD115*AD127)*(AC121/AC126)</f>
        <v>0</v>
      </c>
      <c r="AE121" s="143">
        <f t="shared" si="746"/>
        <v>0</v>
      </c>
      <c r="AF121" s="764">
        <f t="shared" si="746"/>
        <v>0</v>
      </c>
      <c r="AG121" s="748"/>
      <c r="AH121" s="143">
        <f>(AH115*AH127)*(AF121/AF126)</f>
        <v>0</v>
      </c>
      <c r="AI121" s="143">
        <f t="shared" ref="AI121:AK121" si="747">(AI115*AI127)*(AH121/AH126)</f>
        <v>0</v>
      </c>
      <c r="AJ121" s="143">
        <f t="shared" si="747"/>
        <v>0</v>
      </c>
      <c r="AK121" s="764">
        <f t="shared" si="747"/>
        <v>0</v>
      </c>
      <c r="AL121" s="748"/>
    </row>
    <row r="122" spans="1:38" s="137" customFormat="1" outlineLevel="1" x14ac:dyDescent="0.2">
      <c r="B122" s="221" t="s">
        <v>142</v>
      </c>
      <c r="C122" s="222"/>
      <c r="D122" s="142">
        <f>SUM(D117:D121)</f>
        <v>370.2</v>
      </c>
      <c r="E122" s="142">
        <f>SUM(E117:E121)</f>
        <v>337.90000000000003</v>
      </c>
      <c r="F122" s="142">
        <f>SUM(F117:F121)</f>
        <v>400.2</v>
      </c>
      <c r="G122" s="142">
        <f>SUM(G117:G121)</f>
        <v>382.30000000000007</v>
      </c>
      <c r="H122" s="214"/>
      <c r="I122" s="142">
        <f>SUM(I117:I121)</f>
        <v>362.1</v>
      </c>
      <c r="J122" s="142">
        <f>SUM(J117:J121)</f>
        <v>372.6</v>
      </c>
      <c r="K122" s="142">
        <f>SUM(K117:K121)</f>
        <v>374.09999999999997</v>
      </c>
      <c r="L122" s="142">
        <f t="shared" ref="L122:Q122" si="748">SUM(L117:L121)</f>
        <v>372.27080706175695</v>
      </c>
      <c r="M122" s="214"/>
      <c r="N122" s="142">
        <f t="shared" si="748"/>
        <v>380.46003313932846</v>
      </c>
      <c r="O122" s="142">
        <f t="shared" si="748"/>
        <v>398.20396522647616</v>
      </c>
      <c r="P122" s="142">
        <f t="shared" si="748"/>
        <v>329.08034545731255</v>
      </c>
      <c r="Q122" s="142">
        <f t="shared" si="748"/>
        <v>392.43756980379203</v>
      </c>
      <c r="R122" s="214"/>
      <c r="S122" s="142">
        <f t="shared" ref="S122" si="749">SUM(S117:S121)</f>
        <v>399.46994006545043</v>
      </c>
      <c r="T122" s="142">
        <f t="shared" ref="T122" si="750">SUM(T117:T121)</f>
        <v>418.10284679047169</v>
      </c>
      <c r="U122" s="142">
        <f t="shared" ref="U122" si="751">SUM(U117:U121)</f>
        <v>345.5245689260891</v>
      </c>
      <c r="V122" s="142">
        <f t="shared" ref="V122" si="752">SUM(V117:V121)</f>
        <v>412.05103422616349</v>
      </c>
      <c r="W122" s="214"/>
      <c r="X122" s="142">
        <f t="shared" ref="X122" si="753">SUM(X117:X121)</f>
        <v>419.43646912806844</v>
      </c>
      <c r="Y122" s="142">
        <f t="shared" ref="Y122" si="754">SUM(Y117:Y121)</f>
        <v>439.0020807207423</v>
      </c>
      <c r="Z122" s="142">
        <f t="shared" ref="Z122" si="755">SUM(Z117:Z121)</f>
        <v>362.79571118965634</v>
      </c>
      <c r="AA122" s="142">
        <f t="shared" ref="AA122" si="756">SUM(AA117:AA121)</f>
        <v>432.64915072855956</v>
      </c>
      <c r="AB122" s="214"/>
      <c r="AC122" s="142">
        <f t="shared" ref="AC122" si="757">SUM(AC117:AC121)</f>
        <v>440.40462880448138</v>
      </c>
      <c r="AD122" s="142">
        <f t="shared" ref="AD122" si="758">SUM(AD117:AD121)</f>
        <v>460.94928550789393</v>
      </c>
      <c r="AE122" s="142">
        <f t="shared" ref="AE122" si="759">SUM(AE117:AE121)</f>
        <v>380.93319178530203</v>
      </c>
      <c r="AF122" s="714">
        <f t="shared" ref="AF122" si="760">SUM(AF117:AF121)</f>
        <v>454.27975503218715</v>
      </c>
      <c r="AG122" s="734"/>
      <c r="AH122" s="142">
        <f t="shared" ref="AH122" si="761">SUM(AH117:AH121)</f>
        <v>462.42359042687065</v>
      </c>
      <c r="AI122" s="142">
        <f t="shared" ref="AI122" si="762">SUM(AI117:AI121)</f>
        <v>483.99610289071865</v>
      </c>
      <c r="AJ122" s="142">
        <f t="shared" ref="AJ122" si="763">SUM(AJ117:AJ121)</f>
        <v>399.9796668973886</v>
      </c>
      <c r="AK122" s="714">
        <f t="shared" ref="AK122" si="764">SUM(AK117:AK121)</f>
        <v>476.99388794904746</v>
      </c>
      <c r="AL122" s="734"/>
    </row>
    <row r="123" spans="1:38" s="137" customFormat="1" ht="18" outlineLevel="1" x14ac:dyDescent="0.35">
      <c r="B123" s="288" t="s">
        <v>111</v>
      </c>
      <c r="C123" s="668"/>
      <c r="D123" s="143">
        <v>41.4</v>
      </c>
      <c r="E123" s="143">
        <v>40.200000000000003</v>
      </c>
      <c r="F123" s="143">
        <v>48.8</v>
      </c>
      <c r="G123" s="143">
        <v>65.099999999999994</v>
      </c>
      <c r="H123" s="211"/>
      <c r="I123" s="143">
        <v>43</v>
      </c>
      <c r="J123" s="143">
        <v>43.1</v>
      </c>
      <c r="K123" s="143">
        <v>51</v>
      </c>
      <c r="L123" s="657">
        <f>AVERAGE(G123,I123,J123,K123)</f>
        <v>50.55</v>
      </c>
      <c r="M123" s="211"/>
      <c r="N123" s="657">
        <f>AVERAGE(I123,J123,K123,L123)</f>
        <v>46.912499999999994</v>
      </c>
      <c r="O123" s="657">
        <f>AVERAGE(J123,K123,L123,N123)</f>
        <v>47.890624999999993</v>
      </c>
      <c r="P123" s="657">
        <f>AVERAGE(K123,L123,N123,O123)</f>
        <v>49.088281249999994</v>
      </c>
      <c r="Q123" s="657">
        <f>AVERAGE(L123,N123,O123,P123)</f>
        <v>48.610351562499993</v>
      </c>
      <c r="R123" s="211"/>
      <c r="S123" s="657">
        <f>AVERAGE(N123,O123,P123,Q123)</f>
        <v>48.125439453124997</v>
      </c>
      <c r="T123" s="657">
        <f>AVERAGE(O123,P123,Q123,S123)</f>
        <v>48.428674316406244</v>
      </c>
      <c r="U123" s="657">
        <f>AVERAGE(P123,Q123,S123,T123)</f>
        <v>48.563186645507805</v>
      </c>
      <c r="V123" s="657">
        <f>AVERAGE(Q123,S123,T123,U123)</f>
        <v>48.43191299438476</v>
      </c>
      <c r="W123" s="211"/>
      <c r="X123" s="657">
        <f>AVERAGE(S123,T123,U123,V123)</f>
        <v>48.38730335235595</v>
      </c>
      <c r="Y123" s="657">
        <f>AVERAGE(T123,U123,V123,X123)</f>
        <v>48.452769327163693</v>
      </c>
      <c r="Z123" s="657">
        <f>AVERAGE(U123,V123,X123,Y123)</f>
        <v>48.458793079853052</v>
      </c>
      <c r="AA123" s="657">
        <f>AVERAGE(V123,X123,Y123,Z123)</f>
        <v>48.432694688439362</v>
      </c>
      <c r="AB123" s="211"/>
      <c r="AC123" s="657">
        <f>AVERAGE(X123,Y123,Z123,AA123)</f>
        <v>48.432890111953014</v>
      </c>
      <c r="AD123" s="657">
        <f>AVERAGE(Y123,Z123,AA123,AC123)</f>
        <v>48.444286801852279</v>
      </c>
      <c r="AE123" s="657">
        <f>AVERAGE(Z123,AA123,AC123,AD123)</f>
        <v>48.44216617052443</v>
      </c>
      <c r="AF123" s="759">
        <f>AVERAGE(AA123,AC123,AD123,AE123)</f>
        <v>48.438009443192271</v>
      </c>
      <c r="AG123" s="742"/>
      <c r="AH123" s="657">
        <f>AVERAGE(AC123,AD123,AE123,AF123)</f>
        <v>48.439338131880497</v>
      </c>
      <c r="AI123" s="657">
        <f>AVERAGE(AD123,AE123,AF123,AH123)</f>
        <v>48.440950136862369</v>
      </c>
      <c r="AJ123" s="657">
        <f>AVERAGE(AE123,AF123,AH123,AI123)</f>
        <v>48.44011597061489</v>
      </c>
      <c r="AK123" s="759">
        <f>AVERAGE(AF123,AH123,AI123,AJ123)</f>
        <v>48.439603420637511</v>
      </c>
      <c r="AL123" s="742"/>
    </row>
    <row r="124" spans="1:38" s="152" customFormat="1" outlineLevel="1" x14ac:dyDescent="0.2">
      <c r="B124" s="221" t="s">
        <v>143</v>
      </c>
      <c r="C124" s="222"/>
      <c r="D124" s="252">
        <f>D115-D122+D123</f>
        <v>175.80000000000004</v>
      </c>
      <c r="E124" s="252">
        <f>E115-E122+E123</f>
        <v>148.89999999999998</v>
      </c>
      <c r="F124" s="252">
        <f>F115-F122+F123</f>
        <v>181.89999999999998</v>
      </c>
      <c r="G124" s="252">
        <f>G115-G122+G123</f>
        <v>190.89999999999995</v>
      </c>
      <c r="H124" s="216">
        <f>SUM(D124:G124)</f>
        <v>697.5</v>
      </c>
      <c r="I124" s="252">
        <f>I115-I122+I123</f>
        <v>175.5</v>
      </c>
      <c r="J124" s="252">
        <f>J115-J122+J123</f>
        <v>189.6</v>
      </c>
      <c r="K124" s="252">
        <f>K115-K122+K123</f>
        <v>124.20000000000005</v>
      </c>
      <c r="L124" s="252">
        <f t="shared" ref="L124:Q124" si="765">L115-L122+L123</f>
        <v>176.21719293824304</v>
      </c>
      <c r="M124" s="216">
        <f>SUM(I124:L124)</f>
        <v>665.51719293824317</v>
      </c>
      <c r="N124" s="252">
        <f t="shared" si="765"/>
        <v>185.78246686067158</v>
      </c>
      <c r="O124" s="252">
        <f t="shared" si="765"/>
        <v>194.74165977352391</v>
      </c>
      <c r="P124" s="252">
        <f t="shared" si="765"/>
        <v>158.36193579268743</v>
      </c>
      <c r="Q124" s="252">
        <f t="shared" si="765"/>
        <v>179.00768175870803</v>
      </c>
      <c r="R124" s="216">
        <f>SUM(N124:Q124)</f>
        <v>717.89374418559089</v>
      </c>
      <c r="S124" s="252">
        <f t="shared" ref="S124" si="766">S115-S122+S123</f>
        <v>193.95199938767462</v>
      </c>
      <c r="T124" s="252">
        <f t="shared" ref="T124" si="767">T115-T122+T123</f>
        <v>202.63357752593461</v>
      </c>
      <c r="U124" s="252">
        <f t="shared" ref="U124" si="768">U115-U122+U123</f>
        <v>163.31031771941872</v>
      </c>
      <c r="V124" s="252">
        <f t="shared" ref="V124" si="769">V115-V122+V123</f>
        <v>185.35752376822134</v>
      </c>
      <c r="W124" s="216">
        <f>SUM(S124:V124)</f>
        <v>745.25341840124918</v>
      </c>
      <c r="X124" s="252">
        <f t="shared" ref="X124" si="770">X115-X122+X123</f>
        <v>201.51215922428753</v>
      </c>
      <c r="Y124" s="252">
        <f t="shared" ref="Y124" si="771">Y115-Y122+Y123</f>
        <v>210.37382610642146</v>
      </c>
      <c r="Z124" s="252">
        <f t="shared" ref="Z124" si="772">Z115-Z122+Z123</f>
        <v>168.94836689019675</v>
      </c>
      <c r="AA124" s="252">
        <f t="shared" ref="AA124" si="773">AA115-AA122+AA123</f>
        <v>192.20902120987989</v>
      </c>
      <c r="AB124" s="216">
        <f>SUM(X124:AA124)</f>
        <v>773.04337343078566</v>
      </c>
      <c r="AC124" s="252">
        <f t="shared" ref="AC124" si="774">AC115-AC122+AC123</f>
        <v>209.21765255747172</v>
      </c>
      <c r="AD124" s="252">
        <f t="shared" ref="AD124" si="775">AD115-AD122+AD123</f>
        <v>218.46429566895847</v>
      </c>
      <c r="AE124" s="252">
        <f t="shared" ref="AE124" si="776">AE115-AE122+AE123</f>
        <v>174.95852363522249</v>
      </c>
      <c r="AF124" s="765">
        <f t="shared" ref="AF124" si="777">AF115-AF122+AF123</f>
        <v>199.4050055235052</v>
      </c>
      <c r="AG124" s="725">
        <f>SUM(AC124:AF124)</f>
        <v>802.04547738515794</v>
      </c>
      <c r="AH124" s="252">
        <f t="shared" ref="AH124" si="778">AH115-AH122+AH123</f>
        <v>217.26460851750994</v>
      </c>
      <c r="AI124" s="252">
        <f t="shared" ref="AI124" si="779">AI115-AI122+AI123</f>
        <v>226.96260633989382</v>
      </c>
      <c r="AJ124" s="252">
        <f t="shared" ref="AJ124" si="780">AJ115-AJ122+AJ123</f>
        <v>181.28247578572643</v>
      </c>
      <c r="AK124" s="765">
        <f t="shared" ref="AK124" si="781">AK115-AK122+AK123</f>
        <v>206.95480413971512</v>
      </c>
      <c r="AL124" s="725">
        <f>SUM(AH124:AK124)</f>
        <v>832.46449478284535</v>
      </c>
    </row>
    <row r="125" spans="1:38" s="152" customFormat="1" outlineLevel="1" x14ac:dyDescent="0.2">
      <c r="B125" s="221" t="s">
        <v>144</v>
      </c>
      <c r="C125" s="222"/>
      <c r="D125" s="253">
        <f>+D124/D115</f>
        <v>0.34839476813317488</v>
      </c>
      <c r="E125" s="253">
        <f>+E124/E115</f>
        <v>0.33340797133900574</v>
      </c>
      <c r="F125" s="253">
        <f>+F124/F115</f>
        <v>0.34108381773860863</v>
      </c>
      <c r="G125" s="253">
        <f>+G124/G115</f>
        <v>0.37571344223578024</v>
      </c>
      <c r="H125" s="217">
        <f>H124/H115</f>
        <v>0.35004516711833789</v>
      </c>
      <c r="I125" s="253">
        <f>+I124/I115</f>
        <v>0.3548321876263647</v>
      </c>
      <c r="J125" s="253">
        <f>+J124/J115</f>
        <v>0.36524754382585239</v>
      </c>
      <c r="K125" s="253">
        <f>+K124/K115</f>
        <v>0.27766599597585523</v>
      </c>
      <c r="L125" s="253">
        <f t="shared" ref="L125:Q125" si="782">+L124/L115</f>
        <v>0.35389384408951124</v>
      </c>
      <c r="M125" s="217">
        <f>M124/M115</f>
        <v>0.33973366841535729</v>
      </c>
      <c r="N125" s="253">
        <f t="shared" si="782"/>
        <v>0.35773490239476163</v>
      </c>
      <c r="O125" s="253">
        <f t="shared" si="782"/>
        <v>0.35728808977722226</v>
      </c>
      <c r="P125" s="253">
        <f t="shared" si="782"/>
        <v>0.36126494977275775</v>
      </c>
      <c r="Q125" s="253">
        <f t="shared" si="782"/>
        <v>0.34237898380293286</v>
      </c>
      <c r="R125" s="217">
        <f>R124/R115</f>
        <v>0.35441498539529503</v>
      </c>
      <c r="S125" s="253">
        <f t="shared" ref="S125" si="783">+S124/S115</f>
        <v>0.35568172432369288</v>
      </c>
      <c r="T125" s="253">
        <f t="shared" ref="T125" si="784">+T124/T115</f>
        <v>0.35406401106036844</v>
      </c>
      <c r="U125" s="253">
        <f t="shared" ref="U125" si="785">+U124/U115</f>
        <v>0.35481285883841807</v>
      </c>
      <c r="V125" s="253">
        <f t="shared" ref="V125" si="786">+V124/V115</f>
        <v>0.33764191146641825</v>
      </c>
      <c r="W125" s="217">
        <f>W124/W115</f>
        <v>0.35040200724453546</v>
      </c>
      <c r="X125" s="253">
        <f t="shared" ref="X125" si="787">+X124/X115</f>
        <v>0.35194860432511316</v>
      </c>
      <c r="Y125" s="253">
        <f t="shared" ref="Y125" si="788">+Y124/Y115</f>
        <v>0.35008441675524843</v>
      </c>
      <c r="Z125" s="253">
        <f t="shared" ref="Z125" si="789">+Z124/Z115</f>
        <v>0.34958309746632726</v>
      </c>
      <c r="AA125" s="253">
        <f t="shared" ref="AA125" si="790">+AA124/AA115</f>
        <v>0.33344990600843516</v>
      </c>
      <c r="AB125" s="217">
        <f>AB124/AB115</f>
        <v>0.34616023035662974</v>
      </c>
      <c r="AC125" s="253">
        <f t="shared" ref="AC125" si="791">+AC124/AC115</f>
        <v>0.3480062283242622</v>
      </c>
      <c r="AD125" s="253">
        <f t="shared" ref="AD125" si="792">+AD124/AD115</f>
        <v>0.34623601753133793</v>
      </c>
      <c r="AE125" s="253">
        <f t="shared" ref="AE125" si="793">+AE124/AE115</f>
        <v>0.34478013409176844</v>
      </c>
      <c r="AF125" s="716">
        <f t="shared" ref="AF125" si="794">+AF124/AF115</f>
        <v>0.32946067889993652</v>
      </c>
      <c r="AG125" s="743">
        <f>AG124/AG115</f>
        <v>0.34204480966970696</v>
      </c>
      <c r="AH125" s="253">
        <f t="shared" ref="AH125" si="795">+AH124/AH115</f>
        <v>0.34418217917710281</v>
      </c>
      <c r="AI125" s="253">
        <f t="shared" ref="AI125" si="796">+AI124/AI115</f>
        <v>0.34257588302289915</v>
      </c>
      <c r="AJ125" s="253">
        <f t="shared" ref="AJ125" si="797">+AJ124/AJ115</f>
        <v>0.34023082135743377</v>
      </c>
      <c r="AK125" s="716">
        <f t="shared" ref="AK125" si="798">+AK124/AK115</f>
        <v>0.32565199747723966</v>
      </c>
      <c r="AL125" s="743">
        <f>AL124/AL115</f>
        <v>0.33811188030919065</v>
      </c>
    </row>
    <row r="126" spans="1:38" s="153" customFormat="1" outlineLevel="1" x14ac:dyDescent="0.2">
      <c r="B126" s="662" t="s">
        <v>139</v>
      </c>
      <c r="C126" s="663"/>
      <c r="D126" s="176">
        <f t="shared" ref="D126" si="799">+D122-D119</f>
        <v>370.2</v>
      </c>
      <c r="E126" s="176">
        <f>+E122-E119</f>
        <v>325.60000000000002</v>
      </c>
      <c r="F126" s="176">
        <f>+F122-F119</f>
        <v>400</v>
      </c>
      <c r="G126" s="176">
        <f>+G122-G119</f>
        <v>382.00000000000006</v>
      </c>
      <c r="H126" s="210"/>
      <c r="I126" s="176">
        <f t="shared" ref="I126:K126" si="800">+I122-I119</f>
        <v>361.8</v>
      </c>
      <c r="J126" s="176">
        <f t="shared" si="800"/>
        <v>372.3</v>
      </c>
      <c r="K126" s="176">
        <f t="shared" si="800"/>
        <v>373.79999999999995</v>
      </c>
      <c r="L126" s="176">
        <f t="shared" ref="L126:Q126" si="801">+L122-L119</f>
        <v>371.95968599999998</v>
      </c>
      <c r="M126" s="210"/>
      <c r="N126" s="176">
        <f t="shared" si="801"/>
        <v>380.14956000000006</v>
      </c>
      <c r="O126" s="176">
        <f t="shared" si="801"/>
        <v>397.89015000000006</v>
      </c>
      <c r="P126" s="176">
        <f t="shared" si="801"/>
        <v>328.76549999999992</v>
      </c>
      <c r="Q126" s="176">
        <f t="shared" si="801"/>
        <v>392.12617500000005</v>
      </c>
      <c r="R126" s="210"/>
      <c r="S126" s="176">
        <f t="shared" ref="S126:V126" si="802">+S122-S119</f>
        <v>399.15703800000006</v>
      </c>
      <c r="T126" s="176">
        <f t="shared" si="802"/>
        <v>417.78465750000004</v>
      </c>
      <c r="U126" s="176">
        <f t="shared" si="802"/>
        <v>345.20377500000001</v>
      </c>
      <c r="V126" s="176">
        <f t="shared" si="802"/>
        <v>411.73248375000003</v>
      </c>
      <c r="W126" s="210"/>
      <c r="X126" s="176">
        <f t="shared" ref="X126:AA126" si="803">+X122-X119</f>
        <v>419.11488989999998</v>
      </c>
      <c r="Y126" s="176">
        <f t="shared" si="803"/>
        <v>438.67389037499998</v>
      </c>
      <c r="Z126" s="176">
        <f t="shared" si="803"/>
        <v>362.46396375000012</v>
      </c>
      <c r="AA126" s="176">
        <f t="shared" si="803"/>
        <v>432.31910793750006</v>
      </c>
      <c r="AB126" s="210"/>
      <c r="AC126" s="176">
        <f t="shared" ref="AC126:AF126" si="804">+AC122-AC119</f>
        <v>440.07063439500001</v>
      </c>
      <c r="AD126" s="176">
        <f t="shared" si="804"/>
        <v>460.60758489375007</v>
      </c>
      <c r="AE126" s="176">
        <f t="shared" si="804"/>
        <v>380.58716193750013</v>
      </c>
      <c r="AF126" s="717">
        <f t="shared" si="804"/>
        <v>453.93506333437506</v>
      </c>
      <c r="AG126" s="720"/>
      <c r="AH126" s="176">
        <f t="shared" ref="AH126:AK126" si="805">+AH122-AH119</f>
        <v>462.07416611474997</v>
      </c>
      <c r="AI126" s="176">
        <f t="shared" si="805"/>
        <v>483.63796413843744</v>
      </c>
      <c r="AJ126" s="176">
        <f t="shared" si="805"/>
        <v>399.61652003437507</v>
      </c>
      <c r="AK126" s="717">
        <f t="shared" si="805"/>
        <v>476.63181650109374</v>
      </c>
      <c r="AL126" s="720"/>
    </row>
    <row r="127" spans="1:38" s="153" customFormat="1" outlineLevel="1" x14ac:dyDescent="0.2">
      <c r="B127" s="662" t="s">
        <v>140</v>
      </c>
      <c r="C127" s="663"/>
      <c r="D127" s="167">
        <f>+D126/D115</f>
        <v>0.73365041617122473</v>
      </c>
      <c r="E127" s="167">
        <f>+E126/E115</f>
        <v>0.72906403940886699</v>
      </c>
      <c r="F127" s="167">
        <f>+F126/F115</f>
        <v>0.75004687792987068</v>
      </c>
      <c r="G127" s="167">
        <f>+G126/G115</f>
        <v>0.75182050777406029</v>
      </c>
      <c r="H127" s="219"/>
      <c r="I127" s="167">
        <f t="shared" ref="I127:K127" si="806">+I126/I115</f>
        <v>0.73150020218358269</v>
      </c>
      <c r="J127" s="167">
        <f t="shared" si="806"/>
        <v>0.7172028510884223</v>
      </c>
      <c r="K127" s="167">
        <f t="shared" si="806"/>
        <v>0.83568075117370877</v>
      </c>
      <c r="L127" s="167">
        <v>0.747</v>
      </c>
      <c r="M127" s="219"/>
      <c r="N127" s="167">
        <v>0.73199999999999998</v>
      </c>
      <c r="O127" s="167">
        <v>0.73</v>
      </c>
      <c r="P127" s="167">
        <v>0.75</v>
      </c>
      <c r="Q127" s="167">
        <v>0.75</v>
      </c>
      <c r="R127" s="219"/>
      <c r="S127" s="167">
        <v>0.73199999999999998</v>
      </c>
      <c r="T127" s="167">
        <v>0.73</v>
      </c>
      <c r="U127" s="167">
        <v>0.75</v>
      </c>
      <c r="V127" s="167">
        <v>0.75</v>
      </c>
      <c r="W127" s="219"/>
      <c r="X127" s="167">
        <v>0.73199999999999998</v>
      </c>
      <c r="Y127" s="167">
        <v>0.73</v>
      </c>
      <c r="Z127" s="167">
        <v>0.75</v>
      </c>
      <c r="AA127" s="167">
        <v>0.75</v>
      </c>
      <c r="AB127" s="219"/>
      <c r="AC127" s="167">
        <v>0.73199999999999998</v>
      </c>
      <c r="AD127" s="167">
        <v>0.73</v>
      </c>
      <c r="AE127" s="167">
        <v>0.75</v>
      </c>
      <c r="AF127" s="766">
        <v>0.75</v>
      </c>
      <c r="AG127" s="731"/>
      <c r="AH127" s="167">
        <v>0.73199999999999998</v>
      </c>
      <c r="AI127" s="167">
        <v>0.73</v>
      </c>
      <c r="AJ127" s="167">
        <v>0.75</v>
      </c>
      <c r="AK127" s="766">
        <v>0.75</v>
      </c>
      <c r="AL127" s="731"/>
    </row>
    <row r="128" spans="1:38" ht="19" x14ac:dyDescent="0.35">
      <c r="A128" s="137"/>
      <c r="B128" s="314" t="s">
        <v>145</v>
      </c>
      <c r="C128" s="315"/>
      <c r="D128" s="22" t="s">
        <v>72</v>
      </c>
      <c r="E128" s="22" t="s">
        <v>211</v>
      </c>
      <c r="F128" s="22" t="s">
        <v>215</v>
      </c>
      <c r="G128" s="22" t="s">
        <v>225</v>
      </c>
      <c r="H128" s="67" t="s">
        <v>226</v>
      </c>
      <c r="I128" s="22" t="s">
        <v>227</v>
      </c>
      <c r="J128" s="22" t="s">
        <v>228</v>
      </c>
      <c r="K128" s="22" t="s">
        <v>229</v>
      </c>
      <c r="L128" s="20" t="s">
        <v>90</v>
      </c>
      <c r="M128" s="69" t="s">
        <v>91</v>
      </c>
      <c r="N128" s="20" t="s">
        <v>92</v>
      </c>
      <c r="O128" s="20" t="s">
        <v>93</v>
      </c>
      <c r="P128" s="20" t="s">
        <v>94</v>
      </c>
      <c r="Q128" s="20" t="s">
        <v>95</v>
      </c>
      <c r="R128" s="69" t="s">
        <v>96</v>
      </c>
      <c r="S128" s="20" t="s">
        <v>97</v>
      </c>
      <c r="T128" s="20" t="s">
        <v>98</v>
      </c>
      <c r="U128" s="20" t="s">
        <v>99</v>
      </c>
      <c r="V128" s="20" t="s">
        <v>100</v>
      </c>
      <c r="W128" s="69" t="s">
        <v>101</v>
      </c>
      <c r="X128" s="20" t="s">
        <v>102</v>
      </c>
      <c r="Y128" s="20" t="s">
        <v>103</v>
      </c>
      <c r="Z128" s="20" t="s">
        <v>104</v>
      </c>
      <c r="AA128" s="20" t="s">
        <v>105</v>
      </c>
      <c r="AB128" s="69" t="s">
        <v>106</v>
      </c>
      <c r="AC128" s="20" t="s">
        <v>220</v>
      </c>
      <c r="AD128" s="20" t="s">
        <v>221</v>
      </c>
      <c r="AE128" s="20" t="s">
        <v>222</v>
      </c>
      <c r="AF128" s="732" t="s">
        <v>223</v>
      </c>
      <c r="AG128" s="732" t="s">
        <v>224</v>
      </c>
      <c r="AH128" s="20" t="s">
        <v>253</v>
      </c>
      <c r="AI128" s="20" t="s">
        <v>254</v>
      </c>
      <c r="AJ128" s="20" t="s">
        <v>255</v>
      </c>
      <c r="AK128" s="732" t="s">
        <v>256</v>
      </c>
      <c r="AL128" s="732" t="s">
        <v>257</v>
      </c>
    </row>
    <row r="129" spans="1:38" s="13" customFormat="1" outlineLevel="1" x14ac:dyDescent="0.2">
      <c r="A129" s="152"/>
      <c r="B129" s="310" t="s">
        <v>271</v>
      </c>
      <c r="C129" s="311"/>
      <c r="D129" s="87">
        <v>11.6</v>
      </c>
      <c r="E129" s="87">
        <v>15.8</v>
      </c>
      <c r="F129" s="87">
        <v>23.3</v>
      </c>
      <c r="G129" s="87">
        <v>15.4</v>
      </c>
      <c r="H129" s="11"/>
      <c r="I129" s="87">
        <v>20.5</v>
      </c>
      <c r="J129" s="87">
        <v>12</v>
      </c>
      <c r="K129" s="87">
        <v>19.7</v>
      </c>
      <c r="L129" s="142">
        <f>G129*(1+L130)</f>
        <v>13.09</v>
      </c>
      <c r="M129" s="250"/>
      <c r="N129" s="142">
        <f t="shared" ref="N129" si="807">I129*(1+N130)</f>
        <v>19.474999999999998</v>
      </c>
      <c r="O129" s="142">
        <f t="shared" ref="O129" si="808">J129*(1+O130)</f>
        <v>12.600000000000001</v>
      </c>
      <c r="P129" s="142">
        <f t="shared" ref="P129" si="809">K129*(1+P130)</f>
        <v>20.684999999999999</v>
      </c>
      <c r="Q129" s="142">
        <f t="shared" ref="Q129" si="810">L129*(1+Q130)</f>
        <v>13.7445</v>
      </c>
      <c r="R129" s="214"/>
      <c r="S129" s="289">
        <f t="shared" ref="S129" si="811">N129*(1+S130)</f>
        <v>20.448749999999997</v>
      </c>
      <c r="T129" s="290">
        <f t="shared" ref="T129" si="812">O129*(1+T130)</f>
        <v>13.230000000000002</v>
      </c>
      <c r="U129" s="290">
        <f t="shared" ref="U129" si="813">P129*(1+U130)</f>
        <v>21.719249999999999</v>
      </c>
      <c r="V129" s="290">
        <f t="shared" ref="V129" si="814">Q129*(1+V130)</f>
        <v>14.431725</v>
      </c>
      <c r="W129" s="198"/>
      <c r="X129" s="290">
        <f t="shared" ref="X129" si="815">S129*(1+X130)</f>
        <v>21.471187499999999</v>
      </c>
      <c r="Y129" s="290">
        <f t="shared" ref="Y129" si="816">T129*(1+Y130)</f>
        <v>13.891500000000002</v>
      </c>
      <c r="Z129" s="290">
        <f t="shared" ref="Z129" si="817">U129*(1+Z130)</f>
        <v>22.8052125</v>
      </c>
      <c r="AA129" s="290">
        <f t="shared" ref="AA129" si="818">V129*(1+AA130)</f>
        <v>15.153311250000002</v>
      </c>
      <c r="AB129" s="198"/>
      <c r="AC129" s="290">
        <f t="shared" ref="AC129" si="819">X129*(1+AC130)</f>
        <v>22.544746875000001</v>
      </c>
      <c r="AD129" s="290">
        <f t="shared" ref="AD129" si="820">Y129*(1+AD130)</f>
        <v>14.586075000000003</v>
      </c>
      <c r="AE129" s="290">
        <f t="shared" ref="AE129" si="821">Z129*(1+AE130)</f>
        <v>23.945473124999999</v>
      </c>
      <c r="AF129" s="714">
        <f t="shared" ref="AF129" si="822">AA129*(1+AF130)</f>
        <v>15.910976812500003</v>
      </c>
      <c r="AG129" s="749"/>
      <c r="AH129" s="290">
        <f t="shared" ref="AH129" si="823">AC129*(1+AH130)</f>
        <v>23.671984218750001</v>
      </c>
      <c r="AI129" s="290">
        <f t="shared" ref="AI129" si="824">AD129*(1+AI130)</f>
        <v>15.315378750000004</v>
      </c>
      <c r="AJ129" s="290">
        <f t="shared" ref="AJ129" si="825">AE129*(1+AJ130)</f>
        <v>25.142746781250001</v>
      </c>
      <c r="AK129" s="714">
        <f t="shared" ref="AK129" si="826">AF129*(1+AK130)</f>
        <v>16.706525653125002</v>
      </c>
      <c r="AL129" s="749"/>
    </row>
    <row r="130" spans="1:38" s="152" customFormat="1" outlineLevel="1" x14ac:dyDescent="0.2">
      <c r="B130" s="287" t="s">
        <v>272</v>
      </c>
      <c r="C130" s="282"/>
      <c r="D130" s="171"/>
      <c r="E130" s="171"/>
      <c r="F130" s="171"/>
      <c r="G130" s="171"/>
      <c r="H130" s="214"/>
      <c r="I130" s="171">
        <f t="shared" ref="I130:J130" si="827">I129/D129-1</f>
        <v>0.76724137931034497</v>
      </c>
      <c r="J130" s="171">
        <f t="shared" si="827"/>
        <v>-0.24050632911392411</v>
      </c>
      <c r="K130" s="171">
        <f>K129/F129-1</f>
        <v>-0.15450643776824036</v>
      </c>
      <c r="L130" s="686">
        <v>-0.15</v>
      </c>
      <c r="M130" s="214"/>
      <c r="N130" s="686">
        <v>-0.05</v>
      </c>
      <c r="O130" s="686">
        <v>0.05</v>
      </c>
      <c r="P130" s="686">
        <v>0.05</v>
      </c>
      <c r="Q130" s="687">
        <v>0.05</v>
      </c>
      <c r="R130" s="214"/>
      <c r="S130" s="688">
        <v>0.05</v>
      </c>
      <c r="T130" s="686">
        <v>0.05</v>
      </c>
      <c r="U130" s="686">
        <v>0.05</v>
      </c>
      <c r="V130" s="686">
        <v>0.05</v>
      </c>
      <c r="W130" s="214"/>
      <c r="X130" s="686">
        <v>0.05</v>
      </c>
      <c r="Y130" s="686">
        <v>0.05</v>
      </c>
      <c r="Z130" s="686">
        <v>0.05</v>
      </c>
      <c r="AA130" s="686">
        <v>0.05</v>
      </c>
      <c r="AB130" s="214"/>
      <c r="AC130" s="686">
        <v>0.05</v>
      </c>
      <c r="AD130" s="686">
        <v>0.05</v>
      </c>
      <c r="AE130" s="686">
        <v>0.05</v>
      </c>
      <c r="AF130" s="687">
        <v>0.05</v>
      </c>
      <c r="AG130" s="734"/>
      <c r="AH130" s="686">
        <v>0.05</v>
      </c>
      <c r="AI130" s="686">
        <v>0.05</v>
      </c>
      <c r="AJ130" s="686">
        <v>0.05</v>
      </c>
      <c r="AK130" s="687">
        <v>0.05</v>
      </c>
      <c r="AL130" s="734"/>
    </row>
    <row r="131" spans="1:38" s="137" customFormat="1" outlineLevel="1" x14ac:dyDescent="0.2">
      <c r="B131" s="666" t="s">
        <v>230</v>
      </c>
      <c r="C131" s="667"/>
      <c r="D131" s="144">
        <v>13.4</v>
      </c>
      <c r="E131" s="144">
        <v>15.9</v>
      </c>
      <c r="F131" s="144">
        <v>22.4</v>
      </c>
      <c r="G131" s="144">
        <v>15.5</v>
      </c>
      <c r="H131" s="157"/>
      <c r="I131" s="144">
        <v>20.7</v>
      </c>
      <c r="J131" s="144">
        <v>10.199999999999999</v>
      </c>
      <c r="K131" s="144">
        <v>20.8</v>
      </c>
      <c r="L131" s="142">
        <f>AVERAGE(G131,I131,J131,K131)</f>
        <v>16.8</v>
      </c>
      <c r="M131" s="216"/>
      <c r="N131" s="142">
        <f>AVERAGE(I131,J131,K131,L131)</f>
        <v>17.125</v>
      </c>
      <c r="O131" s="142">
        <f>AVERAGE(J131,K131,L131,N131)</f>
        <v>16.231249999999999</v>
      </c>
      <c r="P131" s="142">
        <f>AVERAGE(K131,L131,N131,O131)</f>
        <v>17.739062499999999</v>
      </c>
      <c r="Q131" s="142">
        <f>AVERAGE(L131,N131,O131,P131)</f>
        <v>16.973828125000001</v>
      </c>
      <c r="R131" s="214"/>
      <c r="S131" s="142">
        <f>AVERAGE(N131,O131,P131,Q131)</f>
        <v>17.017285156250001</v>
      </c>
      <c r="T131" s="142">
        <f>AVERAGE(O131,P131,Q131,S131)</f>
        <v>16.9903564453125</v>
      </c>
      <c r="U131" s="142">
        <f>AVERAGE(P131,Q131,S131,T131)</f>
        <v>17.180133056640624</v>
      </c>
      <c r="V131" s="142">
        <f>AVERAGE(Q131,S131,T131,U131)</f>
        <v>17.040400695800781</v>
      </c>
      <c r="W131" s="214"/>
      <c r="X131" s="142">
        <f>AVERAGE(S131,T131,U131,V131)</f>
        <v>17.057043838500977</v>
      </c>
      <c r="Y131" s="142">
        <f>AVERAGE(T131,U131,V131,X131)</f>
        <v>17.066983509063721</v>
      </c>
      <c r="Z131" s="142">
        <f>AVERAGE(U131,V131,X131,Y131)</f>
        <v>17.086140275001526</v>
      </c>
      <c r="AA131" s="142">
        <f>AVERAGE(V131,X131,Y131,Z131)</f>
        <v>17.06264207959175</v>
      </c>
      <c r="AB131" s="214"/>
      <c r="AC131" s="142">
        <f>AVERAGE(X131,Y131,Z131,AA131)</f>
        <v>17.068202425539493</v>
      </c>
      <c r="AD131" s="142">
        <f>AVERAGE(Y131,Z131,AA131,AC131)</f>
        <v>17.070992072299124</v>
      </c>
      <c r="AE131" s="142">
        <f>AVERAGE(Z131,AA131,AC131,AD131)</f>
        <v>17.071994213107974</v>
      </c>
      <c r="AF131" s="714">
        <f>AVERAGE(AA131,AC131,AD131,AE131)</f>
        <v>17.068457697634585</v>
      </c>
      <c r="AG131" s="734"/>
      <c r="AH131" s="142">
        <f>AVERAGE(AC131,AD131,AE131,AF131)</f>
        <v>17.069911602145293</v>
      </c>
      <c r="AI131" s="142">
        <f>AVERAGE(AD131,AE131,AF131,AH131)</f>
        <v>17.070338896296743</v>
      </c>
      <c r="AJ131" s="142">
        <f>AVERAGE(AE131,AF131,AH131,AI131)</f>
        <v>17.07017560229615</v>
      </c>
      <c r="AK131" s="714">
        <f>AVERAGE(AF131,AH131,AI131,AJ131)</f>
        <v>17.069720949593194</v>
      </c>
      <c r="AL131" s="734"/>
    </row>
    <row r="132" spans="1:38" s="137" customFormat="1" outlineLevel="1" x14ac:dyDescent="0.2">
      <c r="B132" s="651" t="s">
        <v>108</v>
      </c>
      <c r="C132" s="220"/>
      <c r="D132" s="144">
        <v>3.2</v>
      </c>
      <c r="E132" s="144">
        <v>4.3</v>
      </c>
      <c r="F132" s="144">
        <v>5.8</v>
      </c>
      <c r="G132" s="144">
        <f>5.2+0.1</f>
        <v>5.3</v>
      </c>
      <c r="H132" s="157"/>
      <c r="I132" s="144">
        <v>2.8</v>
      </c>
      <c r="J132" s="144">
        <v>3.7</v>
      </c>
      <c r="K132" s="144">
        <v>4</v>
      </c>
      <c r="L132" s="142">
        <f t="shared" ref="L132:L135" si="828">AVERAGE(G132,I132,J132,K132)</f>
        <v>3.95</v>
      </c>
      <c r="M132" s="216"/>
      <c r="N132" s="142">
        <f t="shared" ref="N132:N135" si="829">AVERAGE(I132,J132,K132,L132)</f>
        <v>3.6124999999999998</v>
      </c>
      <c r="O132" s="142">
        <f t="shared" ref="O132:O135" si="830">AVERAGE(J132,K132,L132,N132)</f>
        <v>3.8156249999999998</v>
      </c>
      <c r="P132" s="142">
        <f t="shared" ref="P132:P135" si="831">AVERAGE(K132,L132,N132,O132)</f>
        <v>3.8445312500000002</v>
      </c>
      <c r="Q132" s="142">
        <f t="shared" ref="Q132:Q135" si="832">AVERAGE(L132,N132,O132,P132)</f>
        <v>3.8056640625</v>
      </c>
      <c r="R132" s="214"/>
      <c r="S132" s="142">
        <f t="shared" ref="S132:S135" si="833">AVERAGE(N132,O132,P132,Q132)</f>
        <v>3.7695800781250002</v>
      </c>
      <c r="T132" s="142">
        <f t="shared" ref="T132:T135" si="834">AVERAGE(O132,P132,Q132,S132)</f>
        <v>3.8088500976562498</v>
      </c>
      <c r="U132" s="142">
        <f t="shared" ref="U132:U135" si="835">AVERAGE(P132,Q132,S132,T132)</f>
        <v>3.8071563720703123</v>
      </c>
      <c r="V132" s="142">
        <f t="shared" ref="V132:V135" si="836">AVERAGE(Q132,S132,T132,U132)</f>
        <v>3.7978126525878908</v>
      </c>
      <c r="W132" s="214"/>
      <c r="X132" s="142">
        <f t="shared" ref="X132:X135" si="837">AVERAGE(S132,T132,U132,V132)</f>
        <v>3.7958498001098633</v>
      </c>
      <c r="Y132" s="142">
        <f t="shared" ref="Y132:Y135" si="838">AVERAGE(T132,U132,V132,X132)</f>
        <v>3.8024172306060793</v>
      </c>
      <c r="Z132" s="142">
        <f t="shared" ref="Z132:Z135" si="839">AVERAGE(U132,V132,X132,Y132)</f>
        <v>3.8008090138435362</v>
      </c>
      <c r="AA132" s="142">
        <f t="shared" ref="AA132:AA135" si="840">AVERAGE(V132,X132,Y132,Z132)</f>
        <v>3.7992221742868422</v>
      </c>
      <c r="AB132" s="214"/>
      <c r="AC132" s="142">
        <f t="shared" ref="AC132:AC135" si="841">AVERAGE(X132,Y132,Z132,AA132)</f>
        <v>3.7995745547115805</v>
      </c>
      <c r="AD132" s="142">
        <f t="shared" ref="AD132:AD135" si="842">AVERAGE(Y132,Z132,AA132,AC132)</f>
        <v>3.8005057433620095</v>
      </c>
      <c r="AE132" s="142">
        <f t="shared" ref="AE132:AE135" si="843">AVERAGE(Z132,AA132,AC132,AD132)</f>
        <v>3.8000278715509923</v>
      </c>
      <c r="AF132" s="714">
        <f t="shared" ref="AF132:AF135" si="844">AVERAGE(AA132,AC132,AD132,AE132)</f>
        <v>3.7998325859778559</v>
      </c>
      <c r="AG132" s="734"/>
      <c r="AH132" s="142">
        <f t="shared" ref="AH132:AH135" si="845">AVERAGE(AC132,AD132,AE132,AF132)</f>
        <v>3.7999851889006093</v>
      </c>
      <c r="AI132" s="142">
        <f t="shared" ref="AI132:AI135" si="846">AVERAGE(AD132,AE132,AF132,AH132)</f>
        <v>3.800087847447867</v>
      </c>
      <c r="AJ132" s="142">
        <f t="shared" ref="AJ132:AJ135" si="847">AVERAGE(AE132,AF132,AH132,AI132)</f>
        <v>3.7999833734693311</v>
      </c>
      <c r="AK132" s="714">
        <f t="shared" ref="AK132:AK135" si="848">AVERAGE(AF132,AH132,AI132,AJ132)</f>
        <v>3.7999722489489161</v>
      </c>
      <c r="AL132" s="734"/>
    </row>
    <row r="133" spans="1:38" s="137" customFormat="1" outlineLevel="1" x14ac:dyDescent="0.2">
      <c r="B133" s="651" t="s">
        <v>109</v>
      </c>
      <c r="C133" s="220"/>
      <c r="D133" s="173">
        <v>39.5</v>
      </c>
      <c r="E133" s="173">
        <v>40.5</v>
      </c>
      <c r="F133" s="173">
        <v>39.6</v>
      </c>
      <c r="G133" s="173">
        <v>37.299999999999997</v>
      </c>
      <c r="H133" s="214"/>
      <c r="I133" s="173">
        <v>34.9</v>
      </c>
      <c r="J133" s="173">
        <v>34.5</v>
      </c>
      <c r="K133" s="173">
        <v>40.9</v>
      </c>
      <c r="L133" s="144">
        <f>L242*(K133/(K72+K105+K119+K133))</f>
        <v>42.41617141953774</v>
      </c>
      <c r="M133" s="216"/>
      <c r="N133" s="144">
        <f>N242*(L133/(L72+L105+L119+L133))</f>
        <v>42.327837995104524</v>
      </c>
      <c r="O133" s="144">
        <f t="shared" ref="O133:Q133" si="849">O242*(N133/(N72+N105+N119+N133))</f>
        <v>42.783475876240658</v>
      </c>
      <c r="P133" s="144">
        <f t="shared" si="849"/>
        <v>42.923930680290198</v>
      </c>
      <c r="Q133" s="144">
        <f t="shared" si="849"/>
        <v>42.45349158363711</v>
      </c>
      <c r="R133" s="214"/>
      <c r="S133" s="144">
        <f>S242*(Q133/(Q72+Q105+Q119+Q133))</f>
        <v>42.658981589737927</v>
      </c>
      <c r="T133" s="144">
        <f t="shared" ref="T133:V133" si="850">T242*(S133/(S72+S105+S119+S133))</f>
        <v>43.379806600965921</v>
      </c>
      <c r="U133" s="144">
        <f t="shared" si="850"/>
        <v>43.734905256812851</v>
      </c>
      <c r="V133" s="144">
        <f t="shared" si="850"/>
        <v>43.429048250287245</v>
      </c>
      <c r="W133" s="214"/>
      <c r="X133" s="144">
        <f>X242*(V133/(V72+V105+V119+V133))</f>
        <v>43.841968093332056</v>
      </c>
      <c r="Y133" s="144">
        <f t="shared" ref="Y133:AA133" si="851">Y242*(X133/(X72+X105+X119+X133))</f>
        <v>44.743283802865719</v>
      </c>
      <c r="Z133" s="144">
        <f t="shared" si="851"/>
        <v>45.22823427313206</v>
      </c>
      <c r="AA133" s="144">
        <f t="shared" si="851"/>
        <v>44.995833847781412</v>
      </c>
      <c r="AB133" s="214"/>
      <c r="AC133" s="144">
        <f>AC242*(AA133/(AA72+AA105+AA119+AA133))</f>
        <v>45.53457115929416</v>
      </c>
      <c r="AD133" s="144">
        <f t="shared" ref="AD133:AF133" si="852">AD242*(AC133/(AC72+AC105+AC119+AC133))</f>
        <v>46.585183728281464</v>
      </c>
      <c r="AE133" s="144">
        <f t="shared" si="852"/>
        <v>47.175402583655504</v>
      </c>
      <c r="AF133" s="715">
        <f t="shared" si="852"/>
        <v>46.992968135049615</v>
      </c>
      <c r="AG133" s="734"/>
      <c r="AH133" s="144">
        <f>AH242*(AF133/(AF72+AF105+AF119+AF133))</f>
        <v>47.638181219116234</v>
      </c>
      <c r="AI133" s="144">
        <f t="shared" ref="AI133:AK133" si="853">AI242*(AH133/(AH72+AH105+AH119+AH133))</f>
        <v>48.826249894338744</v>
      </c>
      <c r="AJ133" s="144">
        <f t="shared" si="853"/>
        <v>49.509022324173891</v>
      </c>
      <c r="AK133" s="715">
        <f t="shared" si="853"/>
        <v>49.362407404358635</v>
      </c>
      <c r="AL133" s="734"/>
    </row>
    <row r="134" spans="1:38" s="137" customFormat="1" outlineLevel="1" x14ac:dyDescent="0.2">
      <c r="B134" s="651" t="s">
        <v>110</v>
      </c>
      <c r="C134" s="220"/>
      <c r="D134" s="144">
        <v>300.39999999999998</v>
      </c>
      <c r="E134" s="144">
        <v>303.89999999999998</v>
      </c>
      <c r="F134" s="144">
        <v>299</v>
      </c>
      <c r="G134" s="144">
        <v>267.39999999999998</v>
      </c>
      <c r="H134" s="157"/>
      <c r="I134" s="144">
        <v>292.2</v>
      </c>
      <c r="J134" s="144">
        <v>271.60000000000002</v>
      </c>
      <c r="K134" s="144">
        <v>269.10000000000002</v>
      </c>
      <c r="L134" s="142">
        <f t="shared" si="828"/>
        <v>275.07499999999999</v>
      </c>
      <c r="M134" s="216"/>
      <c r="N134" s="142">
        <f t="shared" si="829"/>
        <v>276.99374999999998</v>
      </c>
      <c r="O134" s="142">
        <f t="shared" si="830"/>
        <v>273.19218750000005</v>
      </c>
      <c r="P134" s="142">
        <f t="shared" si="831"/>
        <v>273.59023437500002</v>
      </c>
      <c r="Q134" s="142">
        <f t="shared" si="832"/>
        <v>274.71279296875002</v>
      </c>
      <c r="R134" s="214"/>
      <c r="S134" s="142">
        <f t="shared" si="833"/>
        <v>274.62224121093755</v>
      </c>
      <c r="T134" s="142">
        <f t="shared" si="834"/>
        <v>274.02936401367191</v>
      </c>
      <c r="U134" s="142">
        <f t="shared" si="835"/>
        <v>274.23865814208989</v>
      </c>
      <c r="V134" s="142">
        <f t="shared" si="836"/>
        <v>274.40076408386233</v>
      </c>
      <c r="W134" s="214"/>
      <c r="X134" s="142">
        <f t="shared" si="837"/>
        <v>274.3227568626404</v>
      </c>
      <c r="Y134" s="142">
        <f t="shared" si="838"/>
        <v>274.24788577556615</v>
      </c>
      <c r="Z134" s="142">
        <f t="shared" si="839"/>
        <v>274.30251621603969</v>
      </c>
      <c r="AA134" s="142">
        <f t="shared" si="840"/>
        <v>274.31848073452716</v>
      </c>
      <c r="AB134" s="214"/>
      <c r="AC134" s="142">
        <f t="shared" si="841"/>
        <v>274.29790989719334</v>
      </c>
      <c r="AD134" s="142">
        <f t="shared" si="842"/>
        <v>274.29169815583157</v>
      </c>
      <c r="AE134" s="142">
        <f t="shared" si="843"/>
        <v>274.30265125089795</v>
      </c>
      <c r="AF134" s="714">
        <f t="shared" si="844"/>
        <v>274.3026850096125</v>
      </c>
      <c r="AG134" s="734"/>
      <c r="AH134" s="142">
        <f t="shared" si="845"/>
        <v>274.29873607838385</v>
      </c>
      <c r="AI134" s="142">
        <f t="shared" si="846"/>
        <v>274.29894262368146</v>
      </c>
      <c r="AJ134" s="142">
        <f t="shared" si="847"/>
        <v>274.30075374064393</v>
      </c>
      <c r="AK134" s="714">
        <f t="shared" si="848"/>
        <v>274.30027936308045</v>
      </c>
      <c r="AL134" s="734"/>
    </row>
    <row r="135" spans="1:38" s="137" customFormat="1" ht="18" outlineLevel="1" x14ac:dyDescent="0.35">
      <c r="B135" s="651" t="s">
        <v>118</v>
      </c>
      <c r="C135" s="220"/>
      <c r="D135" s="174">
        <v>13.9</v>
      </c>
      <c r="E135" s="174">
        <v>0.6</v>
      </c>
      <c r="F135" s="174">
        <v>6</v>
      </c>
      <c r="G135" s="174">
        <v>-0.9</v>
      </c>
      <c r="H135" s="215"/>
      <c r="I135" s="174">
        <v>0.3</v>
      </c>
      <c r="J135" s="174">
        <v>0</v>
      </c>
      <c r="K135" s="174">
        <v>22.1</v>
      </c>
      <c r="L135" s="145">
        <f t="shared" si="828"/>
        <v>5.375</v>
      </c>
      <c r="M135" s="293"/>
      <c r="N135" s="145">
        <f t="shared" si="829"/>
        <v>6.9437500000000005</v>
      </c>
      <c r="O135" s="145">
        <f t="shared" si="830"/>
        <v>8.6046875000000007</v>
      </c>
      <c r="P135" s="145">
        <f t="shared" si="831"/>
        <v>10.755859375</v>
      </c>
      <c r="Q135" s="145">
        <f t="shared" si="832"/>
        <v>7.9198242187500005</v>
      </c>
      <c r="R135" s="214"/>
      <c r="S135" s="145">
        <f t="shared" si="833"/>
        <v>8.5560302734375</v>
      </c>
      <c r="T135" s="145">
        <f t="shared" si="834"/>
        <v>8.9591003417968764</v>
      </c>
      <c r="U135" s="145">
        <f t="shared" si="835"/>
        <v>9.0477035522460945</v>
      </c>
      <c r="V135" s="145">
        <f t="shared" si="836"/>
        <v>8.6206645965576172</v>
      </c>
      <c r="W135" s="214"/>
      <c r="X135" s="145">
        <f t="shared" si="837"/>
        <v>8.7958746910095229</v>
      </c>
      <c r="Y135" s="145">
        <f t="shared" si="838"/>
        <v>8.8558357954025269</v>
      </c>
      <c r="Z135" s="145">
        <f t="shared" si="839"/>
        <v>8.8300196588039412</v>
      </c>
      <c r="AA135" s="145">
        <f t="shared" si="840"/>
        <v>8.775598685443402</v>
      </c>
      <c r="AB135" s="214"/>
      <c r="AC135" s="145">
        <f t="shared" si="841"/>
        <v>8.8143322076648474</v>
      </c>
      <c r="AD135" s="145">
        <f t="shared" si="842"/>
        <v>8.8189465868286803</v>
      </c>
      <c r="AE135" s="145">
        <f t="shared" si="843"/>
        <v>8.8097242846852168</v>
      </c>
      <c r="AF135" s="768">
        <f t="shared" si="844"/>
        <v>8.8046504411555375</v>
      </c>
      <c r="AG135" s="734"/>
      <c r="AH135" s="145">
        <f t="shared" si="845"/>
        <v>8.8119133800835705</v>
      </c>
      <c r="AI135" s="145">
        <f t="shared" si="846"/>
        <v>8.8113086731882504</v>
      </c>
      <c r="AJ135" s="145">
        <f t="shared" si="847"/>
        <v>8.8093991947781447</v>
      </c>
      <c r="AK135" s="768">
        <f t="shared" si="848"/>
        <v>8.8093179223013749</v>
      </c>
      <c r="AL135" s="734"/>
    </row>
    <row r="136" spans="1:38" outlineLevel="1" x14ac:dyDescent="0.2">
      <c r="A136" s="137"/>
      <c r="B136" s="86" t="s">
        <v>146</v>
      </c>
      <c r="C136" s="29"/>
      <c r="D136" s="142">
        <f t="shared" ref="D136:J136" si="854">SUM(D131:D135)</f>
        <v>370.4</v>
      </c>
      <c r="E136" s="142">
        <f t="shared" si="854"/>
        <v>365.2</v>
      </c>
      <c r="F136" s="142">
        <f t="shared" si="854"/>
        <v>372.8</v>
      </c>
      <c r="G136" s="142">
        <f t="shared" si="854"/>
        <v>324.60000000000002</v>
      </c>
      <c r="H136" s="214"/>
      <c r="I136" s="142">
        <f t="shared" si="854"/>
        <v>350.9</v>
      </c>
      <c r="J136" s="142">
        <f t="shared" si="854"/>
        <v>320</v>
      </c>
      <c r="K136" s="142">
        <f>SUM(K131:K135)</f>
        <v>356.90000000000003</v>
      </c>
      <c r="L136" s="142">
        <f t="shared" ref="L136:Q136" si="855">SUM(L131:L135)</f>
        <v>343.61617141953775</v>
      </c>
      <c r="M136" s="265"/>
      <c r="N136" s="142">
        <f t="shared" si="855"/>
        <v>347.00283799510453</v>
      </c>
      <c r="O136" s="142">
        <f t="shared" si="855"/>
        <v>344.62722587624074</v>
      </c>
      <c r="P136" s="142">
        <f t="shared" si="855"/>
        <v>348.85361818029025</v>
      </c>
      <c r="Q136" s="142">
        <f t="shared" si="855"/>
        <v>345.86560095863717</v>
      </c>
      <c r="R136" s="265"/>
      <c r="S136" s="142">
        <f t="shared" ref="S136" si="856">SUM(S131:S135)</f>
        <v>346.62411830848799</v>
      </c>
      <c r="T136" s="142">
        <f t="shared" ref="T136" si="857">SUM(T131:T135)</f>
        <v>347.1674774994035</v>
      </c>
      <c r="U136" s="142">
        <f t="shared" ref="U136" si="858">SUM(U131:U135)</f>
        <v>348.00855637985978</v>
      </c>
      <c r="V136" s="142">
        <f t="shared" ref="V136" si="859">SUM(V131:V135)</f>
        <v>347.28869027909587</v>
      </c>
      <c r="W136" s="265"/>
      <c r="X136" s="142">
        <f t="shared" ref="X136" si="860">SUM(X131:X135)</f>
        <v>347.81349328559281</v>
      </c>
      <c r="Y136" s="142">
        <f t="shared" ref="Y136" si="861">SUM(Y131:Y135)</f>
        <v>348.71640611350421</v>
      </c>
      <c r="Z136" s="142">
        <f t="shared" ref="Z136" si="862">SUM(Z131:Z135)</f>
        <v>349.24771943682077</v>
      </c>
      <c r="AA136" s="142">
        <f t="shared" ref="AA136" si="863">SUM(AA131:AA135)</f>
        <v>348.95177752163056</v>
      </c>
      <c r="AB136" s="265"/>
      <c r="AC136" s="142">
        <f t="shared" ref="AC136" si="864">SUM(AC131:AC135)</f>
        <v>349.51459024440339</v>
      </c>
      <c r="AD136" s="142">
        <f t="shared" ref="AD136" si="865">SUM(AD131:AD135)</f>
        <v>350.56732628660285</v>
      </c>
      <c r="AE136" s="142">
        <f t="shared" ref="AE136" si="866">SUM(AE131:AE135)</f>
        <v>351.15980020389765</v>
      </c>
      <c r="AF136" s="714">
        <f t="shared" ref="AF136" si="867">SUM(AF131:AF135)</f>
        <v>350.96859386943015</v>
      </c>
      <c r="AG136" s="750"/>
      <c r="AH136" s="142">
        <f t="shared" ref="AH136" si="868">SUM(AH131:AH135)</f>
        <v>351.61872746862957</v>
      </c>
      <c r="AI136" s="142">
        <f t="shared" ref="AI136" si="869">SUM(AI131:AI135)</f>
        <v>352.80692793495302</v>
      </c>
      <c r="AJ136" s="142">
        <f t="shared" ref="AJ136" si="870">SUM(AJ131:AJ135)</f>
        <v>353.48933423536147</v>
      </c>
      <c r="AK136" s="714">
        <f t="shared" ref="AK136" si="871">SUM(AK131:AK135)</f>
        <v>353.34169788828257</v>
      </c>
      <c r="AL136" s="750"/>
    </row>
    <row r="137" spans="1:38" outlineLevel="1" x14ac:dyDescent="0.2">
      <c r="A137" s="137"/>
      <c r="B137" s="86" t="s">
        <v>147</v>
      </c>
      <c r="C137" s="77"/>
      <c r="D137" s="252">
        <f t="shared" ref="D137:J137" si="872">D129-D136</f>
        <v>-358.79999999999995</v>
      </c>
      <c r="E137" s="252">
        <f t="shared" si="872"/>
        <v>-349.4</v>
      </c>
      <c r="F137" s="252">
        <f t="shared" si="872"/>
        <v>-349.5</v>
      </c>
      <c r="G137" s="252">
        <f t="shared" si="872"/>
        <v>-309.20000000000005</v>
      </c>
      <c r="H137" s="254"/>
      <c r="I137" s="252">
        <f t="shared" si="872"/>
        <v>-330.4</v>
      </c>
      <c r="J137" s="252">
        <f t="shared" si="872"/>
        <v>-308</v>
      </c>
      <c r="K137" s="252">
        <f>K129-K136</f>
        <v>-337.20000000000005</v>
      </c>
      <c r="L137" s="252">
        <f t="shared" ref="L137:Q137" si="873">L129-L136</f>
        <v>-330.52617141953777</v>
      </c>
      <c r="M137" s="265"/>
      <c r="N137" s="252">
        <f t="shared" si="873"/>
        <v>-327.52783799510451</v>
      </c>
      <c r="O137" s="252">
        <f t="shared" si="873"/>
        <v>-332.02722587624072</v>
      </c>
      <c r="P137" s="252">
        <f t="shared" si="873"/>
        <v>-328.16861818029025</v>
      </c>
      <c r="Q137" s="252">
        <f t="shared" si="873"/>
        <v>-332.12110095863716</v>
      </c>
      <c r="R137" s="265"/>
      <c r="S137" s="252">
        <f t="shared" ref="S137" si="874">S129-S136</f>
        <v>-326.17536830848798</v>
      </c>
      <c r="T137" s="252">
        <f t="shared" ref="T137" si="875">T129-T136</f>
        <v>-333.93747749940349</v>
      </c>
      <c r="U137" s="252">
        <f t="shared" ref="U137" si="876">U129-U136</f>
        <v>-326.2893063798598</v>
      </c>
      <c r="V137" s="252">
        <f t="shared" ref="V137" si="877">V129-V136</f>
        <v>-332.8569652790959</v>
      </c>
      <c r="W137" s="265"/>
      <c r="X137" s="252">
        <f t="shared" ref="X137" si="878">X129-X136</f>
        <v>-326.34230578559283</v>
      </c>
      <c r="Y137" s="252">
        <f t="shared" ref="Y137" si="879">Y129-Y136</f>
        <v>-334.8249061135042</v>
      </c>
      <c r="Z137" s="252">
        <f t="shared" ref="Z137" si="880">Z129-Z136</f>
        <v>-326.44250693682079</v>
      </c>
      <c r="AA137" s="252">
        <f t="shared" ref="AA137" si="881">AA129-AA136</f>
        <v>-333.79846627163056</v>
      </c>
      <c r="AB137" s="265"/>
      <c r="AC137" s="252">
        <f t="shared" ref="AC137" si="882">AC129-AC136</f>
        <v>-326.96984336940341</v>
      </c>
      <c r="AD137" s="252">
        <f t="shared" ref="AD137" si="883">AD129-AD136</f>
        <v>-335.98125128660286</v>
      </c>
      <c r="AE137" s="252">
        <f t="shared" ref="AE137" si="884">AE129-AE136</f>
        <v>-327.21432707889767</v>
      </c>
      <c r="AF137" s="765">
        <f t="shared" ref="AF137" si="885">AF129-AF136</f>
        <v>-335.05761705693016</v>
      </c>
      <c r="AG137" s="750"/>
      <c r="AH137" s="252">
        <f t="shared" ref="AH137" si="886">AH129-AH136</f>
        <v>-327.94674324987955</v>
      </c>
      <c r="AI137" s="252">
        <f t="shared" ref="AI137" si="887">AI129-AI136</f>
        <v>-337.49154918495304</v>
      </c>
      <c r="AJ137" s="252">
        <f t="shared" ref="AJ137" si="888">AJ129-AJ136</f>
        <v>-328.34658745411144</v>
      </c>
      <c r="AK137" s="765">
        <f t="shared" ref="AK137" si="889">AK129-AK136</f>
        <v>-336.63517223515754</v>
      </c>
      <c r="AL137" s="750"/>
    </row>
    <row r="138" spans="1:38" s="105" customFormat="1" outlineLevel="1" x14ac:dyDescent="0.2">
      <c r="A138" s="153"/>
      <c r="B138" s="108" t="s">
        <v>139</v>
      </c>
      <c r="C138" s="106"/>
      <c r="D138" s="94">
        <f t="shared" ref="D138:J138" si="890">D136-D133</f>
        <v>330.9</v>
      </c>
      <c r="E138" s="94">
        <f t="shared" si="890"/>
        <v>324.7</v>
      </c>
      <c r="F138" s="94">
        <f t="shared" si="890"/>
        <v>333.2</v>
      </c>
      <c r="G138" s="94">
        <f t="shared" si="890"/>
        <v>287.3</v>
      </c>
      <c r="H138" s="95"/>
      <c r="I138" s="94">
        <f t="shared" si="890"/>
        <v>316</v>
      </c>
      <c r="J138" s="94">
        <f t="shared" si="890"/>
        <v>285.5</v>
      </c>
      <c r="K138" s="94">
        <f>K136-K133</f>
        <v>316.00000000000006</v>
      </c>
      <c r="L138" s="176">
        <f t="shared" ref="L138:Q138" si="891">L136-L133</f>
        <v>301.2</v>
      </c>
      <c r="M138" s="219"/>
      <c r="N138" s="176">
        <f t="shared" si="891"/>
        <v>304.67500000000001</v>
      </c>
      <c r="O138" s="176">
        <f t="shared" si="891"/>
        <v>301.84375000000011</v>
      </c>
      <c r="P138" s="176">
        <f t="shared" si="891"/>
        <v>305.92968750000006</v>
      </c>
      <c r="Q138" s="176">
        <f t="shared" si="891"/>
        <v>303.41210937500006</v>
      </c>
      <c r="R138" s="219"/>
      <c r="S138" s="176">
        <f t="shared" ref="S138:V138" si="892">S136-S133</f>
        <v>303.96513671875005</v>
      </c>
      <c r="T138" s="176">
        <f t="shared" si="892"/>
        <v>303.78767089843757</v>
      </c>
      <c r="U138" s="176">
        <f t="shared" si="892"/>
        <v>304.27365112304693</v>
      </c>
      <c r="V138" s="176">
        <f t="shared" si="892"/>
        <v>303.85964202880865</v>
      </c>
      <c r="W138" s="219"/>
      <c r="X138" s="176">
        <f t="shared" ref="X138:AA138" si="893">X136-X133</f>
        <v>303.97152519226074</v>
      </c>
      <c r="Y138" s="176">
        <f t="shared" si="893"/>
        <v>303.97312231063847</v>
      </c>
      <c r="Z138" s="176">
        <f t="shared" si="893"/>
        <v>304.01948516368873</v>
      </c>
      <c r="AA138" s="176">
        <f t="shared" si="893"/>
        <v>303.95594367384916</v>
      </c>
      <c r="AB138" s="219"/>
      <c r="AC138" s="176">
        <f t="shared" ref="AC138:AF138" si="894">AC136-AC133</f>
        <v>303.98001908510923</v>
      </c>
      <c r="AD138" s="176">
        <f t="shared" si="894"/>
        <v>303.98214255832136</v>
      </c>
      <c r="AE138" s="176">
        <f t="shared" si="894"/>
        <v>303.98439762024213</v>
      </c>
      <c r="AF138" s="717">
        <f t="shared" si="894"/>
        <v>303.97562573438051</v>
      </c>
      <c r="AG138" s="731"/>
      <c r="AH138" s="176">
        <f t="shared" ref="AH138:AK138" si="895">AH136-AH133</f>
        <v>303.98054624951334</v>
      </c>
      <c r="AI138" s="176">
        <f t="shared" si="895"/>
        <v>303.98067804061429</v>
      </c>
      <c r="AJ138" s="176">
        <f t="shared" si="895"/>
        <v>303.98031191118758</v>
      </c>
      <c r="AK138" s="717">
        <f t="shared" si="895"/>
        <v>303.97929048392393</v>
      </c>
      <c r="AL138" s="731"/>
    </row>
    <row r="139" spans="1:38" s="105" customFormat="1" outlineLevel="1" x14ac:dyDescent="0.2">
      <c r="A139" s="153"/>
      <c r="B139" s="108" t="s">
        <v>140</v>
      </c>
      <c r="C139" s="106"/>
      <c r="D139" s="109">
        <f t="shared" ref="D139:J139" si="896">+D138/D129</f>
        <v>28.525862068965516</v>
      </c>
      <c r="E139" s="109">
        <f t="shared" si="896"/>
        <v>20.550632911392402</v>
      </c>
      <c r="F139" s="109">
        <f t="shared" si="896"/>
        <v>14.300429184549355</v>
      </c>
      <c r="G139" s="167">
        <f t="shared" si="896"/>
        <v>18.655844155844157</v>
      </c>
      <c r="H139" s="107"/>
      <c r="I139" s="167">
        <f t="shared" si="896"/>
        <v>15.414634146341463</v>
      </c>
      <c r="J139" s="167">
        <f t="shared" si="896"/>
        <v>23.791666666666668</v>
      </c>
      <c r="K139" s="167">
        <f>+K138/K129</f>
        <v>16.040609137055842</v>
      </c>
      <c r="L139" s="167">
        <f t="shared" ref="L139:Q139" si="897">+L138/L129</f>
        <v>23.009931245225363</v>
      </c>
      <c r="M139" s="219"/>
      <c r="N139" s="167">
        <f t="shared" si="897"/>
        <v>15.644415917843391</v>
      </c>
      <c r="O139" s="167">
        <f t="shared" si="897"/>
        <v>23.955853174603181</v>
      </c>
      <c r="P139" s="167">
        <f t="shared" si="897"/>
        <v>14.789929296591737</v>
      </c>
      <c r="Q139" s="167">
        <f t="shared" si="897"/>
        <v>22.075165293390086</v>
      </c>
      <c r="R139" s="219"/>
      <c r="S139" s="167">
        <f t="shared" ref="S139" si="898">+S138/S129</f>
        <v>14.864729468488298</v>
      </c>
      <c r="T139" s="167">
        <f t="shared" ref="T139" si="899">+T138/T129</f>
        <v>22.962031058082957</v>
      </c>
      <c r="U139" s="167">
        <f t="shared" ref="U139" si="900">+U138/U129</f>
        <v>14.009399547546391</v>
      </c>
      <c r="V139" s="167">
        <f t="shared" ref="V139" si="901">+V138/V129</f>
        <v>21.054977282951874</v>
      </c>
      <c r="W139" s="219"/>
      <c r="X139" s="167">
        <f t="shared" ref="X139" si="902">+X138/X129</f>
        <v>14.157182745121142</v>
      </c>
      <c r="Y139" s="167">
        <f t="shared" ref="Y139" si="903">+Y138/Y129</f>
        <v>21.881950999578045</v>
      </c>
      <c r="Z139" s="167">
        <f t="shared" ref="Z139" si="904">+Z138/Z129</f>
        <v>13.331140201552111</v>
      </c>
      <c r="AA139" s="167">
        <f t="shared" ref="AA139" si="905">+AA138/AA129</f>
        <v>20.05871447231371</v>
      </c>
      <c r="AB139" s="219"/>
      <c r="AC139" s="167">
        <f t="shared" ref="AC139" si="906">+AC138/AC129</f>
        <v>13.483407942902851</v>
      </c>
      <c r="AD139" s="167">
        <f t="shared" ref="AD139" si="907">+AD138/AD129</f>
        <v>20.840571747939133</v>
      </c>
      <c r="AE139" s="167">
        <f t="shared" ref="AE139" si="908">+AE138/AE129</f>
        <v>12.694858691385416</v>
      </c>
      <c r="AF139" s="766">
        <f t="shared" ref="AF139" si="909">+AF138/AF129</f>
        <v>19.104774604131833</v>
      </c>
      <c r="AG139" s="731"/>
      <c r="AH139" s="167">
        <f t="shared" ref="AH139" si="910">+AH138/AH129</f>
        <v>12.841363167551361</v>
      </c>
      <c r="AI139" s="167">
        <f t="shared" ref="AI139" si="911">+AI138/AI129</f>
        <v>19.848067945470444</v>
      </c>
      <c r="AJ139" s="167">
        <f t="shared" ref="AJ139" si="912">+AJ138/AJ129</f>
        <v>12.090179110338033</v>
      </c>
      <c r="AK139" s="766">
        <f t="shared" ref="AK139" si="913">+AK138/AK129</f>
        <v>18.195242792870207</v>
      </c>
      <c r="AL139" s="731"/>
    </row>
    <row r="140" spans="1:38" ht="19" x14ac:dyDescent="0.35">
      <c r="A140" s="137"/>
      <c r="B140" s="314" t="s">
        <v>58</v>
      </c>
      <c r="C140" s="315"/>
      <c r="D140" s="22" t="s">
        <v>72</v>
      </c>
      <c r="E140" s="22" t="s">
        <v>211</v>
      </c>
      <c r="F140" s="22" t="s">
        <v>215</v>
      </c>
      <c r="G140" s="22" t="s">
        <v>225</v>
      </c>
      <c r="H140" s="67" t="s">
        <v>226</v>
      </c>
      <c r="I140" s="22" t="s">
        <v>227</v>
      </c>
      <c r="J140" s="22" t="s">
        <v>228</v>
      </c>
      <c r="K140" s="22" t="s">
        <v>229</v>
      </c>
      <c r="L140" s="20" t="s">
        <v>90</v>
      </c>
      <c r="M140" s="69" t="s">
        <v>91</v>
      </c>
      <c r="N140" s="20" t="s">
        <v>92</v>
      </c>
      <c r="O140" s="20" t="s">
        <v>93</v>
      </c>
      <c r="P140" s="20" t="s">
        <v>94</v>
      </c>
      <c r="Q140" s="20" t="s">
        <v>95</v>
      </c>
      <c r="R140" s="69" t="s">
        <v>96</v>
      </c>
      <c r="S140" s="20" t="s">
        <v>97</v>
      </c>
      <c r="T140" s="20" t="s">
        <v>98</v>
      </c>
      <c r="U140" s="20" t="s">
        <v>99</v>
      </c>
      <c r="V140" s="20" t="s">
        <v>100</v>
      </c>
      <c r="W140" s="69" t="s">
        <v>101</v>
      </c>
      <c r="X140" s="20" t="s">
        <v>102</v>
      </c>
      <c r="Y140" s="20" t="s">
        <v>103</v>
      </c>
      <c r="Z140" s="20" t="s">
        <v>104</v>
      </c>
      <c r="AA140" s="20" t="s">
        <v>105</v>
      </c>
      <c r="AB140" s="69" t="s">
        <v>106</v>
      </c>
      <c r="AC140" s="20" t="s">
        <v>220</v>
      </c>
      <c r="AD140" s="20" t="s">
        <v>221</v>
      </c>
      <c r="AE140" s="20" t="s">
        <v>222</v>
      </c>
      <c r="AF140" s="732" t="s">
        <v>223</v>
      </c>
      <c r="AG140" s="732" t="s">
        <v>224</v>
      </c>
      <c r="AH140" s="20" t="s">
        <v>253</v>
      </c>
      <c r="AI140" s="20" t="s">
        <v>254</v>
      </c>
      <c r="AJ140" s="20" t="s">
        <v>255</v>
      </c>
      <c r="AK140" s="732" t="s">
        <v>256</v>
      </c>
      <c r="AL140" s="732" t="s">
        <v>257</v>
      </c>
    </row>
    <row r="141" spans="1:38" s="112" customFormat="1" ht="15.5" customHeight="1" outlineLevel="1" x14ac:dyDescent="0.2">
      <c r="A141" s="225"/>
      <c r="B141" s="93" t="s">
        <v>149</v>
      </c>
      <c r="C141" s="113"/>
      <c r="D141" s="94">
        <f>+D56+D89-D13</f>
        <v>0</v>
      </c>
      <c r="E141" s="94">
        <f t="shared" ref="E141:G141" si="914">+E56+E89-E13</f>
        <v>0</v>
      </c>
      <c r="F141" s="176">
        <f t="shared" si="914"/>
        <v>0</v>
      </c>
      <c r="G141" s="94">
        <f t="shared" si="914"/>
        <v>0</v>
      </c>
      <c r="H141" s="95"/>
      <c r="I141" s="94">
        <f>+I56+I89-I13</f>
        <v>0</v>
      </c>
      <c r="J141" s="94">
        <f t="shared" ref="J141" si="915">+J56+J89-J13</f>
        <v>0</v>
      </c>
      <c r="K141" s="176">
        <f>+K56+K89-K13</f>
        <v>0</v>
      </c>
      <c r="L141" s="176">
        <f t="shared" ref="L141:AK141" si="916">+L56+L89-L13</f>
        <v>0</v>
      </c>
      <c r="M141" s="210"/>
      <c r="N141" s="176">
        <f t="shared" si="916"/>
        <v>0</v>
      </c>
      <c r="O141" s="176">
        <f t="shared" si="916"/>
        <v>0</v>
      </c>
      <c r="P141" s="176">
        <f t="shared" si="916"/>
        <v>0</v>
      </c>
      <c r="Q141" s="176">
        <f t="shared" si="916"/>
        <v>0</v>
      </c>
      <c r="R141" s="210"/>
      <c r="S141" s="176">
        <f t="shared" si="916"/>
        <v>0</v>
      </c>
      <c r="T141" s="176">
        <f t="shared" si="916"/>
        <v>0</v>
      </c>
      <c r="U141" s="176">
        <f t="shared" si="916"/>
        <v>0</v>
      </c>
      <c r="V141" s="176">
        <f t="shared" si="916"/>
        <v>0</v>
      </c>
      <c r="W141" s="210"/>
      <c r="X141" s="176">
        <f t="shared" si="916"/>
        <v>0</v>
      </c>
      <c r="Y141" s="176">
        <f t="shared" si="916"/>
        <v>0</v>
      </c>
      <c r="Z141" s="176">
        <f t="shared" si="916"/>
        <v>0</v>
      </c>
      <c r="AA141" s="176">
        <f t="shared" si="916"/>
        <v>0</v>
      </c>
      <c r="AB141" s="210"/>
      <c r="AC141" s="176">
        <f t="shared" si="916"/>
        <v>0</v>
      </c>
      <c r="AD141" s="176">
        <f t="shared" si="916"/>
        <v>0</v>
      </c>
      <c r="AE141" s="176">
        <f t="shared" si="916"/>
        <v>0</v>
      </c>
      <c r="AF141" s="717">
        <f t="shared" si="916"/>
        <v>0</v>
      </c>
      <c r="AG141" s="720"/>
      <c r="AH141" s="176">
        <f t="shared" si="916"/>
        <v>0</v>
      </c>
      <c r="AI141" s="176">
        <f t="shared" si="916"/>
        <v>0</v>
      </c>
      <c r="AJ141" s="176">
        <f t="shared" si="916"/>
        <v>0</v>
      </c>
      <c r="AK141" s="717">
        <f t="shared" si="916"/>
        <v>0</v>
      </c>
      <c r="AL141" s="720"/>
    </row>
    <row r="142" spans="1:38" s="112" customFormat="1" ht="15.5" customHeight="1" outlineLevel="1" x14ac:dyDescent="0.2">
      <c r="A142" s="225"/>
      <c r="B142" s="93" t="s">
        <v>150</v>
      </c>
      <c r="C142" s="113"/>
      <c r="D142" s="94">
        <f>+D63+D96-D14</f>
        <v>0</v>
      </c>
      <c r="E142" s="94">
        <f t="shared" ref="E142:G142" si="917">+E63+E96-E14</f>
        <v>0</v>
      </c>
      <c r="F142" s="176">
        <f t="shared" si="917"/>
        <v>0</v>
      </c>
      <c r="G142" s="94">
        <f t="shared" si="917"/>
        <v>0</v>
      </c>
      <c r="H142" s="95"/>
      <c r="I142" s="94">
        <f>+I63+I96-I14</f>
        <v>0</v>
      </c>
      <c r="J142" s="94">
        <f t="shared" ref="J142:K142" si="918">+J63+J96-J14</f>
        <v>0</v>
      </c>
      <c r="K142" s="176">
        <f t="shared" si="918"/>
        <v>0</v>
      </c>
      <c r="L142" s="176">
        <f t="shared" ref="L142:AK142" si="919">+L63+L96-L14</f>
        <v>0</v>
      </c>
      <c r="M142" s="210"/>
      <c r="N142" s="176">
        <f t="shared" si="919"/>
        <v>0</v>
      </c>
      <c r="O142" s="176">
        <f t="shared" si="919"/>
        <v>0</v>
      </c>
      <c r="P142" s="176">
        <f t="shared" si="919"/>
        <v>0</v>
      </c>
      <c r="Q142" s="176">
        <f t="shared" si="919"/>
        <v>0</v>
      </c>
      <c r="R142" s="210"/>
      <c r="S142" s="176">
        <f t="shared" si="919"/>
        <v>0</v>
      </c>
      <c r="T142" s="176">
        <f t="shared" si="919"/>
        <v>0</v>
      </c>
      <c r="U142" s="176">
        <f t="shared" si="919"/>
        <v>0</v>
      </c>
      <c r="V142" s="176">
        <f t="shared" si="919"/>
        <v>0</v>
      </c>
      <c r="W142" s="210"/>
      <c r="X142" s="176">
        <f t="shared" si="919"/>
        <v>0</v>
      </c>
      <c r="Y142" s="176">
        <f t="shared" si="919"/>
        <v>0</v>
      </c>
      <c r="Z142" s="176">
        <f t="shared" si="919"/>
        <v>0</v>
      </c>
      <c r="AA142" s="176">
        <f t="shared" si="919"/>
        <v>0</v>
      </c>
      <c r="AB142" s="210"/>
      <c r="AC142" s="176">
        <f t="shared" si="919"/>
        <v>0</v>
      </c>
      <c r="AD142" s="176">
        <f t="shared" si="919"/>
        <v>0</v>
      </c>
      <c r="AE142" s="176">
        <f t="shared" si="919"/>
        <v>0</v>
      </c>
      <c r="AF142" s="717">
        <f t="shared" si="919"/>
        <v>0</v>
      </c>
      <c r="AG142" s="720"/>
      <c r="AH142" s="176">
        <f t="shared" si="919"/>
        <v>0</v>
      </c>
      <c r="AI142" s="176">
        <f t="shared" si="919"/>
        <v>0</v>
      </c>
      <c r="AJ142" s="176">
        <f t="shared" si="919"/>
        <v>0</v>
      </c>
      <c r="AK142" s="717">
        <f t="shared" si="919"/>
        <v>0</v>
      </c>
      <c r="AL142" s="720"/>
    </row>
    <row r="143" spans="1:38" s="112" customFormat="1" ht="15.5" customHeight="1" outlineLevel="1" x14ac:dyDescent="0.2">
      <c r="A143" s="225"/>
      <c r="B143" s="93" t="s">
        <v>151</v>
      </c>
      <c r="C143" s="113"/>
      <c r="D143" s="94">
        <f>+D64+D97+D115+D129-D15</f>
        <v>0</v>
      </c>
      <c r="E143" s="94">
        <f t="shared" ref="E143:G143" si="920">+E64+E97+E115+E129-E15</f>
        <v>0</v>
      </c>
      <c r="F143" s="176">
        <f t="shared" si="920"/>
        <v>0</v>
      </c>
      <c r="G143" s="94">
        <f t="shared" si="920"/>
        <v>0</v>
      </c>
      <c r="H143" s="95"/>
      <c r="I143" s="94">
        <f>+I64+I97+I115+I129-I15</f>
        <v>0</v>
      </c>
      <c r="J143" s="94">
        <f t="shared" ref="J143:K143" si="921">+J64+J97+J115+J129-J15</f>
        <v>0</v>
      </c>
      <c r="K143" s="176">
        <f t="shared" si="921"/>
        <v>0</v>
      </c>
      <c r="L143" s="176">
        <f t="shared" ref="L143:AK143" si="922">+L64+L97+L115+L129-L15</f>
        <v>0</v>
      </c>
      <c r="M143" s="210"/>
      <c r="N143" s="176">
        <f t="shared" si="922"/>
        <v>0</v>
      </c>
      <c r="O143" s="176">
        <f t="shared" si="922"/>
        <v>0</v>
      </c>
      <c r="P143" s="176">
        <f t="shared" si="922"/>
        <v>0</v>
      </c>
      <c r="Q143" s="176">
        <f t="shared" si="922"/>
        <v>0</v>
      </c>
      <c r="R143" s="210"/>
      <c r="S143" s="176">
        <f t="shared" si="922"/>
        <v>0</v>
      </c>
      <c r="T143" s="176">
        <f t="shared" si="922"/>
        <v>0</v>
      </c>
      <c r="U143" s="176">
        <f t="shared" si="922"/>
        <v>0</v>
      </c>
      <c r="V143" s="176">
        <f t="shared" si="922"/>
        <v>0</v>
      </c>
      <c r="W143" s="210"/>
      <c r="X143" s="176">
        <f t="shared" si="922"/>
        <v>0</v>
      </c>
      <c r="Y143" s="176">
        <f t="shared" si="922"/>
        <v>0</v>
      </c>
      <c r="Z143" s="176">
        <f t="shared" si="922"/>
        <v>0</v>
      </c>
      <c r="AA143" s="176">
        <f t="shared" si="922"/>
        <v>0</v>
      </c>
      <c r="AB143" s="210"/>
      <c r="AC143" s="176">
        <f t="shared" si="922"/>
        <v>0</v>
      </c>
      <c r="AD143" s="176">
        <f t="shared" si="922"/>
        <v>0</v>
      </c>
      <c r="AE143" s="176">
        <f t="shared" si="922"/>
        <v>0</v>
      </c>
      <c r="AF143" s="717">
        <f t="shared" si="922"/>
        <v>0</v>
      </c>
      <c r="AG143" s="720"/>
      <c r="AH143" s="176">
        <f t="shared" si="922"/>
        <v>0</v>
      </c>
      <c r="AI143" s="176">
        <f t="shared" si="922"/>
        <v>0</v>
      </c>
      <c r="AJ143" s="176">
        <f t="shared" si="922"/>
        <v>0</v>
      </c>
      <c r="AK143" s="717">
        <f t="shared" si="922"/>
        <v>0</v>
      </c>
      <c r="AL143" s="720"/>
    </row>
    <row r="144" spans="1:38" s="112" customFormat="1" ht="15.5" customHeight="1" outlineLevel="1" x14ac:dyDescent="0.2">
      <c r="A144" s="225"/>
      <c r="B144" s="93" t="s">
        <v>111</v>
      </c>
      <c r="C144" s="113"/>
      <c r="D144" s="94">
        <f>+D123+D109-D24</f>
        <v>0</v>
      </c>
      <c r="E144" s="94">
        <f t="shared" ref="E144:G144" si="923">+E123+E109-E24</f>
        <v>0</v>
      </c>
      <c r="F144" s="176">
        <f t="shared" si="923"/>
        <v>0</v>
      </c>
      <c r="G144" s="94">
        <f t="shared" si="923"/>
        <v>0</v>
      </c>
      <c r="H144" s="95"/>
      <c r="I144" s="94">
        <f>+I123+I109-I24</f>
        <v>0</v>
      </c>
      <c r="J144" s="94">
        <f t="shared" ref="J144:K144" si="924">+J123+J109-J24</f>
        <v>0</v>
      </c>
      <c r="K144" s="176">
        <f t="shared" si="924"/>
        <v>0</v>
      </c>
      <c r="L144" s="176">
        <f t="shared" ref="L144:AK144" si="925">+L123+L109-L24</f>
        <v>0</v>
      </c>
      <c r="M144" s="210"/>
      <c r="N144" s="176">
        <f t="shared" si="925"/>
        <v>0</v>
      </c>
      <c r="O144" s="176">
        <f t="shared" si="925"/>
        <v>0</v>
      </c>
      <c r="P144" s="176">
        <f t="shared" si="925"/>
        <v>0</v>
      </c>
      <c r="Q144" s="176">
        <f t="shared" si="925"/>
        <v>0</v>
      </c>
      <c r="R144" s="210"/>
      <c r="S144" s="176">
        <f t="shared" si="925"/>
        <v>0</v>
      </c>
      <c r="T144" s="176">
        <f t="shared" si="925"/>
        <v>0</v>
      </c>
      <c r="U144" s="176">
        <f t="shared" si="925"/>
        <v>0</v>
      </c>
      <c r="V144" s="176">
        <f t="shared" si="925"/>
        <v>0</v>
      </c>
      <c r="W144" s="210"/>
      <c r="X144" s="176">
        <f t="shared" si="925"/>
        <v>0</v>
      </c>
      <c r="Y144" s="176">
        <f t="shared" si="925"/>
        <v>0</v>
      </c>
      <c r="Z144" s="176">
        <f t="shared" si="925"/>
        <v>0</v>
      </c>
      <c r="AA144" s="176">
        <f t="shared" si="925"/>
        <v>0</v>
      </c>
      <c r="AB144" s="210"/>
      <c r="AC144" s="176">
        <f t="shared" si="925"/>
        <v>0</v>
      </c>
      <c r="AD144" s="176">
        <f t="shared" si="925"/>
        <v>0</v>
      </c>
      <c r="AE144" s="176">
        <f t="shared" si="925"/>
        <v>0</v>
      </c>
      <c r="AF144" s="717">
        <f t="shared" si="925"/>
        <v>0</v>
      </c>
      <c r="AG144" s="720"/>
      <c r="AH144" s="176">
        <f t="shared" si="925"/>
        <v>0</v>
      </c>
      <c r="AI144" s="176">
        <f t="shared" si="925"/>
        <v>0</v>
      </c>
      <c r="AJ144" s="176">
        <f t="shared" si="925"/>
        <v>0</v>
      </c>
      <c r="AK144" s="717">
        <f t="shared" si="925"/>
        <v>0</v>
      </c>
      <c r="AL144" s="720"/>
    </row>
    <row r="145" spans="1:38" s="112" customFormat="1" ht="15.5" customHeight="1" outlineLevel="1" x14ac:dyDescent="0.2">
      <c r="A145" s="225"/>
      <c r="B145" s="93" t="s">
        <v>152</v>
      </c>
      <c r="C145" s="113"/>
      <c r="D145" s="94">
        <f>+D76+D110+D124+D137-D25</f>
        <v>0</v>
      </c>
      <c r="E145" s="94">
        <f>+E76+E110+E124+E137-E25</f>
        <v>0</v>
      </c>
      <c r="F145" s="176">
        <f>+F76+F110+F124+F137-F25</f>
        <v>0</v>
      </c>
      <c r="G145" s="94">
        <f>+G76+G110+G124+G137-G25</f>
        <v>9.9999999998544808E-2</v>
      </c>
      <c r="H145" s="95"/>
      <c r="I145" s="94">
        <f>+I76+I110+I124+I137-I25</f>
        <v>0</v>
      </c>
      <c r="J145" s="94">
        <f>+J76+J110+J124+J137-J25</f>
        <v>6.8212102632969618E-13</v>
      </c>
      <c r="K145" s="176">
        <f>+K76+K110+K124+K137-K25</f>
        <v>0</v>
      </c>
      <c r="L145" s="176">
        <f t="shared" ref="L145:AK145" si="926">+L76+L110+L124+L137-L25</f>
        <v>0</v>
      </c>
      <c r="M145" s="210"/>
      <c r="N145" s="176">
        <f t="shared" si="926"/>
        <v>0</v>
      </c>
      <c r="O145" s="176">
        <f t="shared" si="926"/>
        <v>1.4779288903810084E-12</v>
      </c>
      <c r="P145" s="176">
        <f t="shared" si="926"/>
        <v>0</v>
      </c>
      <c r="Q145" s="176">
        <f t="shared" si="926"/>
        <v>0</v>
      </c>
      <c r="R145" s="210"/>
      <c r="S145" s="176">
        <f t="shared" si="926"/>
        <v>0</v>
      </c>
      <c r="T145" s="176">
        <f t="shared" si="926"/>
        <v>1.0231815394945443E-12</v>
      </c>
      <c r="U145" s="176">
        <f t="shared" si="926"/>
        <v>0</v>
      </c>
      <c r="V145" s="176">
        <f t="shared" si="926"/>
        <v>0</v>
      </c>
      <c r="W145" s="210"/>
      <c r="X145" s="176">
        <f t="shared" si="926"/>
        <v>3.4106051316484809E-12</v>
      </c>
      <c r="Y145" s="176">
        <f t="shared" si="926"/>
        <v>0</v>
      </c>
      <c r="Z145" s="176">
        <f t="shared" si="926"/>
        <v>0</v>
      </c>
      <c r="AA145" s="176">
        <f t="shared" si="926"/>
        <v>0</v>
      </c>
      <c r="AB145" s="210"/>
      <c r="AC145" s="176">
        <f t="shared" si="926"/>
        <v>0</v>
      </c>
      <c r="AD145" s="176">
        <f t="shared" si="926"/>
        <v>0</v>
      </c>
      <c r="AE145" s="176">
        <f t="shared" si="926"/>
        <v>0</v>
      </c>
      <c r="AF145" s="717">
        <f t="shared" si="926"/>
        <v>0</v>
      </c>
      <c r="AG145" s="720"/>
      <c r="AH145" s="176">
        <f t="shared" si="926"/>
        <v>0</v>
      </c>
      <c r="AI145" s="176">
        <f t="shared" si="926"/>
        <v>0</v>
      </c>
      <c r="AJ145" s="176">
        <f t="shared" si="926"/>
        <v>1.7053025658242404E-12</v>
      </c>
      <c r="AK145" s="717">
        <f t="shared" si="926"/>
        <v>0</v>
      </c>
      <c r="AL145" s="720"/>
    </row>
    <row r="146" spans="1:38" ht="15" customHeight="1" x14ac:dyDescent="0.35">
      <c r="A146" s="137"/>
      <c r="B146" s="314" t="s">
        <v>38</v>
      </c>
      <c r="C146" s="315"/>
      <c r="D146" s="22" t="s">
        <v>72</v>
      </c>
      <c r="E146" s="22" t="s">
        <v>211</v>
      </c>
      <c r="F146" s="22" t="s">
        <v>215</v>
      </c>
      <c r="G146" s="22" t="s">
        <v>225</v>
      </c>
      <c r="H146" s="67" t="s">
        <v>226</v>
      </c>
      <c r="I146" s="22" t="s">
        <v>227</v>
      </c>
      <c r="J146" s="22" t="s">
        <v>228</v>
      </c>
      <c r="K146" s="22" t="s">
        <v>229</v>
      </c>
      <c r="L146" s="20" t="s">
        <v>90</v>
      </c>
      <c r="M146" s="69" t="s">
        <v>91</v>
      </c>
      <c r="N146" s="20" t="s">
        <v>92</v>
      </c>
      <c r="O146" s="20" t="s">
        <v>93</v>
      </c>
      <c r="P146" s="20" t="s">
        <v>94</v>
      </c>
      <c r="Q146" s="20" t="s">
        <v>95</v>
      </c>
      <c r="R146" s="69" t="s">
        <v>96</v>
      </c>
      <c r="S146" s="20" t="s">
        <v>97</v>
      </c>
      <c r="T146" s="20" t="s">
        <v>98</v>
      </c>
      <c r="U146" s="20" t="s">
        <v>99</v>
      </c>
      <c r="V146" s="20" t="s">
        <v>100</v>
      </c>
      <c r="W146" s="69" t="s">
        <v>101</v>
      </c>
      <c r="X146" s="20" t="s">
        <v>102</v>
      </c>
      <c r="Y146" s="20" t="s">
        <v>103</v>
      </c>
      <c r="Z146" s="20" t="s">
        <v>104</v>
      </c>
      <c r="AA146" s="20" t="s">
        <v>105</v>
      </c>
      <c r="AB146" s="69" t="s">
        <v>106</v>
      </c>
      <c r="AC146" s="20" t="s">
        <v>220</v>
      </c>
      <c r="AD146" s="20" t="s">
        <v>221</v>
      </c>
      <c r="AE146" s="20" t="s">
        <v>222</v>
      </c>
      <c r="AF146" s="732" t="s">
        <v>223</v>
      </c>
      <c r="AG146" s="732" t="s">
        <v>224</v>
      </c>
      <c r="AH146" s="20" t="s">
        <v>253</v>
      </c>
      <c r="AI146" s="20" t="s">
        <v>254</v>
      </c>
      <c r="AJ146" s="20" t="s">
        <v>255</v>
      </c>
      <c r="AK146" s="732" t="s">
        <v>256</v>
      </c>
      <c r="AL146" s="732" t="s">
        <v>257</v>
      </c>
    </row>
    <row r="147" spans="1:38" s="196" customFormat="1" outlineLevel="1" x14ac:dyDescent="0.2">
      <c r="B147" s="312" t="s">
        <v>68</v>
      </c>
      <c r="C147" s="313"/>
      <c r="D147" s="171"/>
      <c r="E147" s="171"/>
      <c r="F147" s="171"/>
      <c r="G147" s="171"/>
      <c r="H147" s="226"/>
      <c r="I147" s="171">
        <f t="shared" ref="I147:K147" si="927">I16/D16-1</f>
        <v>7.0016735266180907E-2</v>
      </c>
      <c r="J147" s="171">
        <f t="shared" si="927"/>
        <v>-4.9192026514851106E-2</v>
      </c>
      <c r="K147" s="171">
        <f t="shared" si="927"/>
        <v>-0.38119595485856661</v>
      </c>
      <c r="L147" s="162">
        <f>L16/G16-1</f>
        <v>-0.10757497665746618</v>
      </c>
      <c r="M147" s="226"/>
      <c r="N147" s="162">
        <f t="shared" ref="N147:Q147" si="928">N16/I16-1</f>
        <v>3.6175603919937016E-2</v>
      </c>
      <c r="O147" s="162">
        <f t="shared" si="928"/>
        <v>0.10765843239266348</v>
      </c>
      <c r="P147" s="162">
        <f t="shared" si="928"/>
        <v>0.21992742642795093</v>
      </c>
      <c r="Q147" s="162">
        <f t="shared" si="928"/>
        <v>0.12162599489793857</v>
      </c>
      <c r="R147" s="685"/>
      <c r="S147" s="162">
        <f t="shared" ref="S147" si="929">S16/N16-1</f>
        <v>9.5829911515096011E-2</v>
      </c>
      <c r="T147" s="162">
        <f t="shared" ref="T147" si="930">T16/O16-1</f>
        <v>9.3160717018955674E-2</v>
      </c>
      <c r="U147" s="162">
        <f t="shared" ref="U147" si="931">U16/P16-1</f>
        <v>0.10220708285824176</v>
      </c>
      <c r="V147" s="162">
        <f t="shared" ref="V147" si="932">V16/Q16-1</f>
        <v>9.7229060177277393E-2</v>
      </c>
      <c r="W147" s="685"/>
      <c r="X147" s="162">
        <f t="shared" ref="X147" si="933">X16/S16-1</f>
        <v>7.7000450988892188E-2</v>
      </c>
      <c r="Y147" s="162">
        <f t="shared" ref="Y147" si="934">Y16/T16-1</f>
        <v>7.1873945530680494E-2</v>
      </c>
      <c r="Z147" s="162">
        <f t="shared" ref="Z147" si="935">Z16/U16-1</f>
        <v>7.070374066035412E-2</v>
      </c>
      <c r="AA147" s="162">
        <f t="shared" ref="AA147" si="936">AA16/V16-1</f>
        <v>7.3105632402474807E-2</v>
      </c>
      <c r="AB147" s="685"/>
      <c r="AC147" s="162">
        <f t="shared" ref="AC147" si="937">AC16/X16-1</f>
        <v>7.1242090562211979E-2</v>
      </c>
      <c r="AD147" s="162">
        <f t="shared" ref="AD147" si="938">AD16/Y16-1</f>
        <v>6.8283793061664655E-2</v>
      </c>
      <c r="AE147" s="162">
        <f t="shared" ref="AE147" si="939">AE16/Z16-1</f>
        <v>6.74583997404965E-2</v>
      </c>
      <c r="AF147" s="769">
        <f t="shared" ref="AF147" si="940">AF16/AA16-1</f>
        <v>7.0069587452043613E-2</v>
      </c>
      <c r="AG147" s="751"/>
      <c r="AH147" s="162">
        <f t="shared" ref="AH147" si="941">AH16/AC16-1</f>
        <v>6.9856848462772403E-2</v>
      </c>
      <c r="AI147" s="162">
        <f t="shared" ref="AI147" si="942">AI16/AD16-1</f>
        <v>6.7199163654586336E-2</v>
      </c>
      <c r="AJ147" s="162">
        <f t="shared" ref="AJ147" si="943">AJ16/AE16-1</f>
        <v>6.6563590226462299E-2</v>
      </c>
      <c r="AK147" s="769">
        <f t="shared" ref="AK147" si="944">AK16/AF16-1</f>
        <v>6.9148147334636034E-2</v>
      </c>
      <c r="AL147" s="751"/>
    </row>
    <row r="148" spans="1:38" s="196" customFormat="1" outlineLevel="1" x14ac:dyDescent="0.2">
      <c r="B148" s="312" t="s">
        <v>23</v>
      </c>
      <c r="C148" s="313"/>
      <c r="D148" s="162">
        <f t="shared" ref="D148:L148" si="945">D25/D16</f>
        <v>0.15313522396610738</v>
      </c>
      <c r="E148" s="162">
        <f t="shared" si="945"/>
        <v>0.13601547756862614</v>
      </c>
      <c r="F148" s="162">
        <f t="shared" si="945"/>
        <v>0.16434119888612064</v>
      </c>
      <c r="G148" s="162">
        <f t="shared" si="945"/>
        <v>0.16054542759745088</v>
      </c>
      <c r="H148" s="226">
        <f t="shared" si="945"/>
        <v>0.15383309567461143</v>
      </c>
      <c r="I148" s="162">
        <f t="shared" si="945"/>
        <v>0.1718730185568752</v>
      </c>
      <c r="J148" s="162">
        <f t="shared" si="945"/>
        <v>8.1291592307820446E-2</v>
      </c>
      <c r="K148" s="162">
        <f t="shared" si="945"/>
        <v>-0.16671798394164022</v>
      </c>
      <c r="L148" s="162">
        <f t="shared" si="945"/>
        <v>6.0588638106468244E-2</v>
      </c>
      <c r="M148" s="226">
        <f t="shared" ref="M148" si="946">M25/M16</f>
        <v>5.8626603903365375E-2</v>
      </c>
      <c r="N148" s="162">
        <f t="shared" ref="N148:Q148" si="947">N25/N16</f>
        <v>0.13932517699693281</v>
      </c>
      <c r="O148" s="162">
        <f t="shared" si="947"/>
        <v>0.13027246458213301</v>
      </c>
      <c r="P148" s="162">
        <f t="shared" si="947"/>
        <v>0.11090974590916514</v>
      </c>
      <c r="Q148" s="162">
        <f t="shared" si="947"/>
        <v>0.14840185191000968</v>
      </c>
      <c r="R148" s="685">
        <v>0.154</v>
      </c>
      <c r="S148" s="162">
        <f t="shared" ref="S148:V148" si="948">S25/S16</f>
        <v>0.14597058790430026</v>
      </c>
      <c r="T148" s="162">
        <f t="shared" si="948"/>
        <v>0.13696968520754976</v>
      </c>
      <c r="U148" s="162">
        <f t="shared" si="948"/>
        <v>0.12067617772766182</v>
      </c>
      <c r="V148" s="162">
        <f t="shared" si="948"/>
        <v>0.15488700982290113</v>
      </c>
      <c r="W148" s="685">
        <v>0.154</v>
      </c>
      <c r="X148" s="162">
        <f t="shared" ref="X148:AA148" si="949">X25/X16</f>
        <v>0.14989360466834706</v>
      </c>
      <c r="Y148" s="162">
        <f t="shared" si="949"/>
        <v>0.14100001673742119</v>
      </c>
      <c r="Z148" s="162">
        <f t="shared" si="949"/>
        <v>0.12551097254537671</v>
      </c>
      <c r="AA148" s="162">
        <f t="shared" si="949"/>
        <v>0.15869904879249233</v>
      </c>
      <c r="AB148" s="685">
        <v>0.154</v>
      </c>
      <c r="AC148" s="162">
        <f t="shared" ref="AC148:AF148" si="950">AC25/AC16</f>
        <v>0.15285605151325188</v>
      </c>
      <c r="AD148" s="162">
        <f t="shared" si="950"/>
        <v>0.14411118630797801</v>
      </c>
      <c r="AE148" s="162">
        <f t="shared" si="950"/>
        <v>0.12925851600720745</v>
      </c>
      <c r="AF148" s="769">
        <f t="shared" si="950"/>
        <v>0.16173963489518073</v>
      </c>
      <c r="AG148" s="751">
        <v>0.154</v>
      </c>
      <c r="AH148" s="162">
        <f t="shared" ref="AH148:AK148" si="951">AH25/AH16</f>
        <v>0.1552797172953454</v>
      </c>
      <c r="AI148" s="162">
        <f t="shared" si="951"/>
        <v>0.14667598434064272</v>
      </c>
      <c r="AJ148" s="162">
        <f t="shared" si="951"/>
        <v>0.13236324637780134</v>
      </c>
      <c r="AK148" s="769">
        <f t="shared" si="951"/>
        <v>0.1642963053385019</v>
      </c>
      <c r="AL148" s="751">
        <v>0.154</v>
      </c>
    </row>
    <row r="149" spans="1:38" s="196" customFormat="1" outlineLevel="1" x14ac:dyDescent="0.2">
      <c r="B149" s="312" t="s">
        <v>195</v>
      </c>
      <c r="C149" s="313"/>
      <c r="D149" s="162">
        <f t="shared" ref="D149:L149" si="952">+D27/D16</f>
        <v>0.17394123056975294</v>
      </c>
      <c r="E149" s="162">
        <f t="shared" si="952"/>
        <v>0.15843892227913536</v>
      </c>
      <c r="F149" s="162">
        <f t="shared" si="952"/>
        <v>0.18270555474131628</v>
      </c>
      <c r="G149" s="162">
        <f t="shared" si="952"/>
        <v>0.17201719282644154</v>
      </c>
      <c r="H149" s="226">
        <f t="shared" si="952"/>
        <v>0.17201964645435841</v>
      </c>
      <c r="I149" s="162">
        <f t="shared" si="952"/>
        <v>0.1819616463062376</v>
      </c>
      <c r="J149" s="162">
        <f t="shared" si="952"/>
        <v>9.2432910252347358E-2</v>
      </c>
      <c r="K149" s="162">
        <f t="shared" si="952"/>
        <v>-0.12558205632268285</v>
      </c>
      <c r="L149" s="162">
        <f t="shared" si="952"/>
        <v>9.1652256641822374E-2</v>
      </c>
      <c r="M149" s="226">
        <f t="shared" ref="M149" si="953">+M27/M16</f>
        <v>8.0014932671540598E-2</v>
      </c>
      <c r="N149" s="162">
        <f t="shared" ref="N149:Q149" si="954">+N27/N16</f>
        <v>0.15600387393183082</v>
      </c>
      <c r="O149" s="162">
        <f t="shared" si="954"/>
        <v>0.14845205362926792</v>
      </c>
      <c r="P149" s="162">
        <f t="shared" si="954"/>
        <v>0.13384873266803926</v>
      </c>
      <c r="Q149" s="162">
        <f t="shared" si="954"/>
        <v>0.16576421776962078</v>
      </c>
      <c r="R149" s="685">
        <v>0.17199999999999999</v>
      </c>
      <c r="S149" s="162">
        <f t="shared" ref="S149:V149" si="955">+S27/S16</f>
        <v>0.16113946684163089</v>
      </c>
      <c r="T149" s="162">
        <f t="shared" si="955"/>
        <v>0.15467922552512006</v>
      </c>
      <c r="U149" s="162">
        <f t="shared" si="955"/>
        <v>0.14468326780865598</v>
      </c>
      <c r="V149" s="162">
        <f t="shared" si="955"/>
        <v>0.17264865290882753</v>
      </c>
      <c r="W149" s="685">
        <v>0.17199999999999999</v>
      </c>
      <c r="X149" s="162">
        <f t="shared" ref="X149:AA149" si="956">+X27/X16</f>
        <v>0.16426020561031762</v>
      </c>
      <c r="Y149" s="162">
        <f t="shared" si="956"/>
        <v>0.1570560963925898</v>
      </c>
      <c r="Z149" s="162">
        <f t="shared" si="956"/>
        <v>0.14615255605949271</v>
      </c>
      <c r="AA149" s="162">
        <f t="shared" si="956"/>
        <v>0.16238504920763647</v>
      </c>
      <c r="AB149" s="685">
        <v>0.17199999999999999</v>
      </c>
      <c r="AC149" s="162">
        <f t="shared" ref="AC149:AF149" si="957">+AC27/AC16</f>
        <v>0.16657228927889667</v>
      </c>
      <c r="AD149" s="162">
        <f t="shared" si="957"/>
        <v>0.15953103771317778</v>
      </c>
      <c r="AE149" s="162">
        <f t="shared" si="957"/>
        <v>0.14900691801664215</v>
      </c>
      <c r="AF149" s="769">
        <f t="shared" si="957"/>
        <v>0.17667885739022185</v>
      </c>
      <c r="AG149" s="751">
        <v>0.17199999999999999</v>
      </c>
      <c r="AH149" s="162">
        <f t="shared" ref="AH149:AK149" si="958">+AH27/AH16</f>
        <v>0.16800298438425326</v>
      </c>
      <c r="AI149" s="162">
        <f t="shared" si="958"/>
        <v>0.16096756273732848</v>
      </c>
      <c r="AJ149" s="162">
        <f t="shared" si="958"/>
        <v>0.15071777009243303</v>
      </c>
      <c r="AK149" s="769">
        <f t="shared" si="958"/>
        <v>0.17827988299337433</v>
      </c>
      <c r="AL149" s="751">
        <v>0.17199999999999999</v>
      </c>
    </row>
    <row r="150" spans="1:38" s="196" customFormat="1" outlineLevel="1" x14ac:dyDescent="0.2">
      <c r="B150" s="312" t="s">
        <v>2</v>
      </c>
      <c r="C150" s="313"/>
      <c r="D150" s="162">
        <f t="shared" ref="D150:M150" si="959">D32/D31</f>
        <v>0.2124287933713101</v>
      </c>
      <c r="E150" s="162">
        <f t="shared" si="959"/>
        <v>0.1965853658536586</v>
      </c>
      <c r="F150" s="162">
        <f t="shared" si="959"/>
        <v>0.18110799689903978</v>
      </c>
      <c r="G150" s="171">
        <f t="shared" si="959"/>
        <v>0.20083682008368189</v>
      </c>
      <c r="H150" s="226">
        <f t="shared" si="959"/>
        <v>0.19515471765706843</v>
      </c>
      <c r="I150" s="162">
        <f t="shared" si="959"/>
        <v>0.22600104913446431</v>
      </c>
      <c r="J150" s="162">
        <f t="shared" si="959"/>
        <v>0.16760635571501836</v>
      </c>
      <c r="K150" s="162">
        <f>K32/K31</f>
        <v>0.16490147783251249</v>
      </c>
      <c r="L150" s="162">
        <v>0.26</v>
      </c>
      <c r="M150" s="226">
        <f>M32/M31</f>
        <v>0.26235613602980684</v>
      </c>
      <c r="N150" s="162">
        <f t="shared" ref="N150:AK150" si="960">AVERAGE($I$150:$K$150,$D$150:$G$150)</f>
        <v>0.19278112269852651</v>
      </c>
      <c r="O150" s="162">
        <f t="shared" si="960"/>
        <v>0.19278112269852651</v>
      </c>
      <c r="P150" s="162">
        <f t="shared" si="960"/>
        <v>0.19278112269852651</v>
      </c>
      <c r="Q150" s="162">
        <f t="shared" si="960"/>
        <v>0.19278112269852651</v>
      </c>
      <c r="R150" s="685">
        <v>0.19500000000000001</v>
      </c>
      <c r="S150" s="162">
        <f t="shared" si="960"/>
        <v>0.19278112269852651</v>
      </c>
      <c r="T150" s="162">
        <f t="shared" si="960"/>
        <v>0.19278112269852651</v>
      </c>
      <c r="U150" s="162">
        <f t="shared" si="960"/>
        <v>0.19278112269852651</v>
      </c>
      <c r="V150" s="162">
        <f t="shared" si="960"/>
        <v>0.19278112269852651</v>
      </c>
      <c r="W150" s="685">
        <v>0.19500000000000001</v>
      </c>
      <c r="X150" s="162">
        <f t="shared" si="960"/>
        <v>0.19278112269852651</v>
      </c>
      <c r="Y150" s="162">
        <f t="shared" si="960"/>
        <v>0.19278112269852651</v>
      </c>
      <c r="Z150" s="162">
        <f t="shared" si="960"/>
        <v>0.19278112269852651</v>
      </c>
      <c r="AA150" s="162">
        <f t="shared" si="960"/>
        <v>0.19278112269852651</v>
      </c>
      <c r="AB150" s="685">
        <v>0.19500000000000001</v>
      </c>
      <c r="AC150" s="162">
        <f t="shared" si="960"/>
        <v>0.19278112269852651</v>
      </c>
      <c r="AD150" s="162">
        <f t="shared" si="960"/>
        <v>0.19278112269852651</v>
      </c>
      <c r="AE150" s="162">
        <f t="shared" si="960"/>
        <v>0.19278112269852651</v>
      </c>
      <c r="AF150" s="769">
        <f t="shared" si="960"/>
        <v>0.19278112269852651</v>
      </c>
      <c r="AG150" s="751">
        <v>0.19500000000000001</v>
      </c>
      <c r="AH150" s="162">
        <f t="shared" si="960"/>
        <v>0.19278112269852651</v>
      </c>
      <c r="AI150" s="162">
        <f t="shared" si="960"/>
        <v>0.19278112269852651</v>
      </c>
      <c r="AJ150" s="162">
        <f t="shared" si="960"/>
        <v>0.19278112269852651</v>
      </c>
      <c r="AK150" s="769">
        <f t="shared" si="960"/>
        <v>0.19278112269852651</v>
      </c>
      <c r="AL150" s="751">
        <v>0.19500000000000001</v>
      </c>
    </row>
    <row r="151" spans="1:38" s="196" customFormat="1" outlineLevel="1" x14ac:dyDescent="0.2">
      <c r="B151" s="312" t="s">
        <v>196</v>
      </c>
      <c r="C151" s="313"/>
      <c r="D151" s="162"/>
      <c r="E151" s="162">
        <f>+E29/((E184+E185+E190)+(D184+D185+D190)/2)</f>
        <v>3.0327214684756584E-3</v>
      </c>
      <c r="F151" s="162">
        <f>+F29/((F184+F185+F190)+(E184+E185+E190)/2)</f>
        <v>6.4321029136466161E-3</v>
      </c>
      <c r="G151" s="162">
        <f>+G29/((G184+G185+G190)+(F184+F185+F190)/2)</f>
        <v>2.9603261807251862E-3</v>
      </c>
      <c r="H151" s="226"/>
      <c r="I151" s="162">
        <f>+I29/((I184+I185+I190)+(G184+G185+G190)/2)</f>
        <v>3.3143988743550958E-3</v>
      </c>
      <c r="J151" s="162">
        <f t="shared" ref="J151" si="961">+J29/((J184+J185+J190)+(I184+I185+I190)/2)</f>
        <v>4.4659305324505627E-4</v>
      </c>
      <c r="K151" s="162">
        <f>+K29/((K184+K185+K190)+(J184+J185+J190)/2)</f>
        <v>2.1779393606804753E-3</v>
      </c>
      <c r="L151" s="162">
        <f>AVERAGE(I151:K151)</f>
        <v>1.9796437627602093E-3</v>
      </c>
      <c r="M151" s="226"/>
      <c r="N151" s="162">
        <f>AVERAGE(I151:L151)</f>
        <v>1.9796437627602093E-3</v>
      </c>
      <c r="O151" s="162"/>
      <c r="P151" s="162"/>
      <c r="Q151" s="162"/>
      <c r="R151" s="685"/>
      <c r="S151" s="162"/>
      <c r="T151" s="162"/>
      <c r="U151" s="162"/>
      <c r="V151" s="162"/>
      <c r="W151" s="685"/>
      <c r="X151" s="162"/>
      <c r="Y151" s="162"/>
      <c r="Z151" s="162"/>
      <c r="AA151" s="162"/>
      <c r="AB151" s="685"/>
      <c r="AC151" s="162"/>
      <c r="AD151" s="162"/>
      <c r="AE151" s="162"/>
      <c r="AF151" s="769"/>
      <c r="AG151" s="751"/>
      <c r="AH151" s="162"/>
      <c r="AI151" s="162"/>
      <c r="AJ151" s="162"/>
      <c r="AK151" s="769"/>
      <c r="AL151" s="751"/>
    </row>
    <row r="152" spans="1:38" s="196" customFormat="1" outlineLevel="1" x14ac:dyDescent="0.2">
      <c r="B152" s="312" t="s">
        <v>197</v>
      </c>
      <c r="C152" s="313"/>
      <c r="D152" s="162"/>
      <c r="E152" s="162">
        <f>-E30/((((E206+E209)+(D206+D209))/2))</f>
        <v>8.0557251242696429E-3</v>
      </c>
      <c r="F152" s="162">
        <f>-F30/((((F206+F209)+(E206+E209))/2))</f>
        <v>8.4807318557490342E-3</v>
      </c>
      <c r="G152" s="162">
        <f>-G30/((((G206+G209)+(F206+F209))/2))</f>
        <v>8.572925858076421E-3</v>
      </c>
      <c r="H152" s="226"/>
      <c r="I152" s="162">
        <f>-I30/((((I206+I209)+(G206+G209))/2))</f>
        <v>8.0554679008449908E-3</v>
      </c>
      <c r="J152" s="162">
        <f t="shared" ref="J152" si="962">-J30/((((J206+J209)+(I206+I209))/2))</f>
        <v>7.730372102084551E-3</v>
      </c>
      <c r="K152" s="162">
        <f>-K30/((((K206+K209)+(J206+J209))/2))</f>
        <v>7.8322294946980078E-3</v>
      </c>
      <c r="L152" s="162">
        <f>K152</f>
        <v>7.8322294946980078E-3</v>
      </c>
      <c r="M152" s="226"/>
      <c r="N152" s="162">
        <f>L152</f>
        <v>7.8322294946980078E-3</v>
      </c>
      <c r="O152" s="162">
        <f>N152</f>
        <v>7.8322294946980078E-3</v>
      </c>
      <c r="P152" s="162">
        <f>O152</f>
        <v>7.8322294946980078E-3</v>
      </c>
      <c r="Q152" s="162">
        <f>P152</f>
        <v>7.8322294946980078E-3</v>
      </c>
      <c r="R152" s="685"/>
      <c r="S152" s="162">
        <f>Q152</f>
        <v>7.8322294946980078E-3</v>
      </c>
      <c r="T152" s="162">
        <f>S152</f>
        <v>7.8322294946980078E-3</v>
      </c>
      <c r="U152" s="162">
        <f>T152</f>
        <v>7.8322294946980078E-3</v>
      </c>
      <c r="V152" s="162">
        <f>U152</f>
        <v>7.8322294946980078E-3</v>
      </c>
      <c r="W152" s="685"/>
      <c r="X152" s="162">
        <f>V152</f>
        <v>7.8322294946980078E-3</v>
      </c>
      <c r="Y152" s="162">
        <f>X152</f>
        <v>7.8322294946980078E-3</v>
      </c>
      <c r="Z152" s="162">
        <f>Y152</f>
        <v>7.8322294946980078E-3</v>
      </c>
      <c r="AA152" s="162">
        <f>Z152</f>
        <v>7.8322294946980078E-3</v>
      </c>
      <c r="AB152" s="685"/>
      <c r="AC152" s="162">
        <f>AA152</f>
        <v>7.8322294946980078E-3</v>
      </c>
      <c r="AD152" s="162">
        <f>AC152</f>
        <v>7.8322294946980078E-3</v>
      </c>
      <c r="AE152" s="162">
        <f>AD152</f>
        <v>7.8322294946980078E-3</v>
      </c>
      <c r="AF152" s="769">
        <f>AE152</f>
        <v>7.8322294946980078E-3</v>
      </c>
      <c r="AG152" s="751"/>
      <c r="AH152" s="162">
        <f>AF152</f>
        <v>7.8322294946980078E-3</v>
      </c>
      <c r="AI152" s="162">
        <f>AH152</f>
        <v>7.8322294946980078E-3</v>
      </c>
      <c r="AJ152" s="162">
        <f>AI152</f>
        <v>7.8322294946980078E-3</v>
      </c>
      <c r="AK152" s="769">
        <f>AJ152</f>
        <v>7.8322294946980078E-3</v>
      </c>
      <c r="AL152" s="751"/>
    </row>
    <row r="153" spans="1:38" s="196" customFormat="1" outlineLevel="1" x14ac:dyDescent="0.2">
      <c r="B153" s="281" t="s">
        <v>284</v>
      </c>
      <c r="C153" s="282"/>
      <c r="D153" s="162"/>
      <c r="E153" s="162"/>
      <c r="F153" s="162"/>
      <c r="G153" s="162"/>
      <c r="H153" s="226"/>
      <c r="I153" s="162">
        <f>I42/D42-1</f>
        <v>5.9389868457878192E-2</v>
      </c>
      <c r="J153" s="162">
        <f t="shared" ref="J153:K153" si="963">J42/E42-1</f>
        <v>-0.47460546003783222</v>
      </c>
      <c r="K153" s="162">
        <f t="shared" si="963"/>
        <v>-1.5922286955663072</v>
      </c>
      <c r="L153" s="162">
        <f>L42/G42-1</f>
        <v>-0.60114045549355921</v>
      </c>
      <c r="M153" s="226"/>
      <c r="N153" s="162">
        <f t="shared" ref="N153:Q153" si="964">N42/I42-1</f>
        <v>-9.1790105239074826E-2</v>
      </c>
      <c r="O153" s="162">
        <f t="shared" si="964"/>
        <v>0.95278345583766511</v>
      </c>
      <c r="P153" s="162">
        <f t="shared" si="964"/>
        <v>-1.8916416850531306</v>
      </c>
      <c r="Q153" s="162">
        <f t="shared" si="964"/>
        <v>1.6132110790601644</v>
      </c>
      <c r="R153" s="685"/>
      <c r="S153" s="162">
        <f t="shared" ref="S153" si="965">S42/N42-1</f>
        <v>0.1935386913206556</v>
      </c>
      <c r="T153" s="162">
        <f t="shared" ref="T153" si="966">T42/O42-1</f>
        <v>0.20461977450426794</v>
      </c>
      <c r="U153" s="162">
        <f t="shared" ref="U153" si="967">U42/P42-1</f>
        <v>0.28214258101134781</v>
      </c>
      <c r="V153" s="162">
        <f t="shared" ref="V153" si="968">V42/Q42-1</f>
        <v>0.20100346492594445</v>
      </c>
      <c r="W153" s="685"/>
      <c r="X153" s="162">
        <f t="shared" ref="X153" si="969">X42/S42-1</f>
        <v>0.1452228105739255</v>
      </c>
      <c r="Y153" s="162">
        <f t="shared" ref="Y153" si="970">Y42/T42-1</f>
        <v>0.13702327185809904</v>
      </c>
      <c r="Z153" s="162">
        <f t="shared" ref="Z153" si="971">Z42/U42-1</f>
        <v>0.13603267844391009</v>
      </c>
      <c r="AA153" s="162">
        <f t="shared" ref="AA153" si="972">AA42/V42-1</f>
        <v>4.7396511074203174E-2</v>
      </c>
      <c r="AB153" s="685"/>
      <c r="AC153" s="162">
        <f t="shared" ref="AC153" si="973">AC42/X42-1</f>
        <v>0.13058334493323964</v>
      </c>
      <c r="AD153" s="162">
        <f t="shared" ref="AD153" si="974">AD42/Y42-1</f>
        <v>0.1323051884783859</v>
      </c>
      <c r="AE153" s="162">
        <f t="shared" ref="AE153" si="975">AE42/Z42-1</f>
        <v>0.14348408969111137</v>
      </c>
      <c r="AF153" s="769">
        <f t="shared" ref="AF153" si="976">AF42/AA42-1</f>
        <v>0.21958353076076031</v>
      </c>
      <c r="AG153" s="751"/>
      <c r="AH153" s="162">
        <f t="shared" ref="AH153" si="977">AH42/AC42-1</f>
        <v>0.124264395816434</v>
      </c>
      <c r="AI153" s="162">
        <f t="shared" ref="AI153" si="978">AI42/AD42-1</f>
        <v>0.12636682383322162</v>
      </c>
      <c r="AJ153" s="162">
        <f t="shared" ref="AJ153" si="979">AJ42/AE42-1</f>
        <v>0.13880269045900162</v>
      </c>
      <c r="AK153" s="769">
        <f t="shared" ref="AK153" si="980">AK42/AF42-1</f>
        <v>0.1301544144314648</v>
      </c>
      <c r="AL153" s="751"/>
    </row>
    <row r="154" spans="1:38" s="196" customFormat="1" outlineLevel="1" x14ac:dyDescent="0.2">
      <c r="B154" s="281" t="s">
        <v>285</v>
      </c>
      <c r="C154" s="282"/>
      <c r="D154" s="162"/>
      <c r="E154" s="162"/>
      <c r="F154" s="162"/>
      <c r="G154" s="162"/>
      <c r="H154" s="226"/>
      <c r="I154" s="162">
        <f>I257/D257-1</f>
        <v>-0.22820512820512895</v>
      </c>
      <c r="J154" s="162">
        <f t="shared" ref="J154:K154" si="981">J257/E257-1</f>
        <v>-4.4869364754098413</v>
      </c>
      <c r="K154" s="162">
        <f t="shared" si="981"/>
        <v>-1.314434752864716</v>
      </c>
      <c r="L154" s="162">
        <f>L257/G257-1</f>
        <v>-0.26686390968835694</v>
      </c>
      <c r="M154" s="226"/>
      <c r="N154" s="162">
        <f t="shared" ref="N154:Q154" si="982">N257/I257-1</f>
        <v>-0.13929578296984713</v>
      </c>
      <c r="O154" s="162">
        <f t="shared" si="982"/>
        <v>-1.6850458219336804</v>
      </c>
      <c r="P154" s="162">
        <f t="shared" si="982"/>
        <v>-4.1661657810753434</v>
      </c>
      <c r="Q154" s="162">
        <f t="shared" si="982"/>
        <v>-8.0850864483887119E-2</v>
      </c>
      <c r="R154" s="685"/>
      <c r="S154" s="162">
        <f t="shared" ref="S154" si="983">S257/N257-1</f>
        <v>7.1799370392406914E-3</v>
      </c>
      <c r="T154" s="162">
        <f t="shared" ref="T154" si="984">T257/O257-1</f>
        <v>7.0284871147512362E-3</v>
      </c>
      <c r="U154" s="162">
        <f t="shared" ref="U154" si="985">U257/P257-1</f>
        <v>-5.4612451131393458E-2</v>
      </c>
      <c r="V154" s="162">
        <f t="shared" ref="V154" si="986">V257/Q257-1</f>
        <v>0.20205982511977716</v>
      </c>
      <c r="W154" s="685"/>
      <c r="X154" s="162">
        <f t="shared" ref="X154" si="987">X257/S257-1</f>
        <v>0.18844053664962002</v>
      </c>
      <c r="Y154" s="162">
        <f t="shared" ref="Y154" si="988">Y257/T257-1</f>
        <v>0.10146362501429129</v>
      </c>
      <c r="Z154" s="162">
        <f t="shared" ref="Z154" si="989">Z257/U257-1</f>
        <v>9.5494976786156371E-2</v>
      </c>
      <c r="AA154" s="162">
        <f t="shared" ref="AA154" si="990">AA257/V257-1</f>
        <v>0.1009710281975893</v>
      </c>
      <c r="AB154" s="685"/>
      <c r="AC154" s="162">
        <f t="shared" ref="AC154" si="991">AC257/X257-1</f>
        <v>7.4477662191665406E-2</v>
      </c>
      <c r="AD154" s="162">
        <f t="shared" ref="AD154" si="992">AD257/Y257-1</f>
        <v>8.602562885601861E-2</v>
      </c>
      <c r="AE154" s="162">
        <f t="shared" ref="AE154" si="993">AE257/Z257-1</f>
        <v>8.6752395409911642E-2</v>
      </c>
      <c r="AF154" s="769">
        <f t="shared" ref="AF154" si="994">AF257/AA257-1</f>
        <v>9.8519096992145672E-2</v>
      </c>
      <c r="AG154" s="751"/>
      <c r="AH154" s="162">
        <f t="shared" ref="AH154" si="995">AH257/AC257-1</f>
        <v>8.5050188992688458E-2</v>
      </c>
      <c r="AI154" s="162">
        <f t="shared" ref="AI154" si="996">AI257/AD257-1</f>
        <v>9.0129923974622939E-2</v>
      </c>
      <c r="AJ154" s="162">
        <f t="shared" ref="AJ154" si="997">AJ257/AE257-1</f>
        <v>8.9641839386931821E-2</v>
      </c>
      <c r="AK154" s="769">
        <f t="shared" ref="AK154" si="998">AK257/AF257-1</f>
        <v>0.10136832190511513</v>
      </c>
      <c r="AL154" s="751"/>
    </row>
    <row r="155" spans="1:38" s="196" customFormat="1" outlineLevel="1" x14ac:dyDescent="0.2">
      <c r="B155" s="281" t="s">
        <v>286</v>
      </c>
      <c r="C155" s="282"/>
      <c r="D155" s="162"/>
      <c r="E155" s="162"/>
      <c r="F155" s="162"/>
      <c r="G155" s="162"/>
      <c r="H155" s="226"/>
      <c r="I155" s="162">
        <f>I277/D277-1</f>
        <v>-0.25970425138632247</v>
      </c>
      <c r="J155" s="162">
        <f>J277/E277-1</f>
        <v>71.491596638654428</v>
      </c>
      <c r="K155" s="162">
        <f t="shared" ref="K155" si="999">K277/F277-1</f>
        <v>-2.01838485632575</v>
      </c>
      <c r="L155" s="162">
        <f>L277/G277-1</f>
        <v>-5.8119926361177576E-3</v>
      </c>
      <c r="M155" s="226"/>
      <c r="N155" s="162">
        <f t="shared" ref="N155:Q155" si="1000">N277/I277-1</f>
        <v>-0.1236699271446261</v>
      </c>
      <c r="O155" s="162">
        <f t="shared" si="1000"/>
        <v>-1.3797312706122549</v>
      </c>
      <c r="P155" s="162">
        <f t="shared" si="1000"/>
        <v>-2.3010338469578775</v>
      </c>
      <c r="Q155" s="162">
        <f t="shared" si="1000"/>
        <v>-0.2123024451783615</v>
      </c>
      <c r="R155" s="685"/>
      <c r="S155" s="162">
        <f t="shared" ref="S155" si="1001">S277/N277-1</f>
        <v>-3.4987549296034648E-2</v>
      </c>
      <c r="T155" s="162">
        <f t="shared" ref="T155" si="1002">T277/O277-1</f>
        <v>-6.4746751096215416E-2</v>
      </c>
      <c r="U155" s="162">
        <f t="shared" ref="U155" si="1003">U277/P277-1</f>
        <v>-0.10853843022442755</v>
      </c>
      <c r="V155" s="162">
        <f t="shared" ref="V155" si="1004">V277/Q277-1</f>
        <v>0.22474171279623656</v>
      </c>
      <c r="W155" s="685"/>
      <c r="X155" s="162">
        <f t="shared" ref="X155" si="1005">X277/S277-1</f>
        <v>0.20923758538625936</v>
      </c>
      <c r="Y155" s="162">
        <f t="shared" ref="Y155" si="1006">Y277/T277-1</f>
        <v>9.2031470476641841E-2</v>
      </c>
      <c r="Z155" s="162">
        <f t="shared" ref="Z155" si="1007">Z277/U277-1</f>
        <v>8.4667407368233194E-2</v>
      </c>
      <c r="AA155" s="162">
        <f t="shared" ref="AA155" si="1008">AA277/V277-1</f>
        <v>9.0508289966575672E-2</v>
      </c>
      <c r="AB155" s="685"/>
      <c r="AC155" s="162">
        <f t="shared" ref="AC155" si="1009">AC277/X277-1</f>
        <v>6.5245195406245182E-2</v>
      </c>
      <c r="AD155" s="162">
        <f t="shared" ref="AD155" si="1010">AD277/Y277-1</f>
        <v>7.2458879732476777E-2</v>
      </c>
      <c r="AE155" s="162">
        <f t="shared" ref="AE155" si="1011">AE277/Z277-1</f>
        <v>7.4784957022715037E-2</v>
      </c>
      <c r="AF155" s="769">
        <f t="shared" ref="AF155" si="1012">AF277/AA277-1</f>
        <v>8.7450858800874665E-2</v>
      </c>
      <c r="AG155" s="751"/>
      <c r="AH155" s="162">
        <f t="shared" ref="AH155" si="1013">AH277/AC277-1</f>
        <v>7.7797723525834916E-2</v>
      </c>
      <c r="AI155" s="162">
        <f t="shared" ref="AI155" si="1014">AI277/AD277-1</f>
        <v>7.4224521590862125E-2</v>
      </c>
      <c r="AJ155" s="162">
        <f t="shared" ref="AJ155" si="1015">AJ277/AE277-1</f>
        <v>7.3492509596676747E-2</v>
      </c>
      <c r="AK155" s="769">
        <f t="shared" ref="AK155" si="1016">AK277/AF277-1</f>
        <v>8.2665841988350808E-2</v>
      </c>
      <c r="AL155" s="751"/>
    </row>
    <row r="156" spans="1:38" ht="19" x14ac:dyDescent="0.35">
      <c r="A156" s="137"/>
      <c r="B156" s="314" t="s">
        <v>274</v>
      </c>
      <c r="C156" s="315"/>
      <c r="D156" s="22" t="s">
        <v>72</v>
      </c>
      <c r="E156" s="22" t="s">
        <v>211</v>
      </c>
      <c r="F156" s="22" t="s">
        <v>215</v>
      </c>
      <c r="G156" s="22" t="s">
        <v>225</v>
      </c>
      <c r="H156" s="67" t="s">
        <v>226</v>
      </c>
      <c r="I156" s="22" t="s">
        <v>227</v>
      </c>
      <c r="J156" s="22" t="s">
        <v>228</v>
      </c>
      <c r="K156" s="22" t="s">
        <v>229</v>
      </c>
      <c r="L156" s="20" t="s">
        <v>90</v>
      </c>
      <c r="M156" s="69" t="s">
        <v>91</v>
      </c>
      <c r="N156" s="20" t="s">
        <v>92</v>
      </c>
      <c r="O156" s="20" t="s">
        <v>93</v>
      </c>
      <c r="P156" s="20" t="s">
        <v>94</v>
      </c>
      <c r="Q156" s="20" t="s">
        <v>95</v>
      </c>
      <c r="R156" s="69" t="s">
        <v>96</v>
      </c>
      <c r="S156" s="20" t="s">
        <v>97</v>
      </c>
      <c r="T156" s="20" t="s">
        <v>98</v>
      </c>
      <c r="U156" s="20" t="s">
        <v>99</v>
      </c>
      <c r="V156" s="20" t="s">
        <v>100</v>
      </c>
      <c r="W156" s="69" t="s">
        <v>101</v>
      </c>
      <c r="X156" s="20" t="s">
        <v>102</v>
      </c>
      <c r="Y156" s="20" t="s">
        <v>103</v>
      </c>
      <c r="Z156" s="20" t="s">
        <v>104</v>
      </c>
      <c r="AA156" s="20" t="s">
        <v>105</v>
      </c>
      <c r="AB156" s="69" t="s">
        <v>106</v>
      </c>
      <c r="AC156" s="20" t="s">
        <v>220</v>
      </c>
      <c r="AD156" s="20" t="s">
        <v>221</v>
      </c>
      <c r="AE156" s="20" t="s">
        <v>222</v>
      </c>
      <c r="AF156" s="732" t="s">
        <v>223</v>
      </c>
      <c r="AG156" s="732" t="s">
        <v>224</v>
      </c>
      <c r="AH156" s="20" t="s">
        <v>253</v>
      </c>
      <c r="AI156" s="20" t="s">
        <v>254</v>
      </c>
      <c r="AJ156" s="20" t="s">
        <v>255</v>
      </c>
      <c r="AK156" s="732" t="s">
        <v>256</v>
      </c>
      <c r="AL156" s="732" t="s">
        <v>257</v>
      </c>
    </row>
    <row r="157" spans="1:38" s="137" customFormat="1" outlineLevel="1" x14ac:dyDescent="0.2">
      <c r="B157" s="312" t="s">
        <v>35</v>
      </c>
      <c r="C157" s="313"/>
      <c r="D157" s="162"/>
      <c r="E157" s="162">
        <f>(E38+E161+E164+E167)/D38-1</f>
        <v>2.777764747303535E-2</v>
      </c>
      <c r="F157" s="162">
        <f>(F38+F161+F164+F167)/E38-1</f>
        <v>-1.7269004124131682E-2</v>
      </c>
      <c r="G157" s="162">
        <f>(G38+G161+G164+G167)/F38-1</f>
        <v>1.9258933156590885E-2</v>
      </c>
      <c r="H157" s="266"/>
      <c r="I157" s="162">
        <f>(I38+I161+I164+I167)/G38-1</f>
        <v>-1.436336111538794E-2</v>
      </c>
      <c r="J157" s="162">
        <f>(J38+J161+J164+J167)/I38-1</f>
        <v>-1.1333810572689007E-3</v>
      </c>
      <c r="K157" s="162">
        <f>(K38+K161+K164+K167)/J38-1</f>
        <v>-2.8161802355349819E-3</v>
      </c>
      <c r="L157" s="162">
        <f>AVERAGE(K157,J157,I157,G157)</f>
        <v>2.3650268709976552E-4</v>
      </c>
      <c r="M157" s="266"/>
      <c r="N157" s="162">
        <f>AVERAGE(J157,L157,K157,I157)</f>
        <v>-4.5191049302730144E-3</v>
      </c>
      <c r="O157" s="162">
        <f>AVERAGE(N157, K157,L157,J157)</f>
        <v>-2.0580408839942829E-3</v>
      </c>
      <c r="P157" s="162">
        <f>AVERAGE(O157,N157,L157,K157)</f>
        <v>-2.2892058406756284E-3</v>
      </c>
      <c r="Q157" s="162">
        <f>AVERAGE(P157,O157,N157,L157)</f>
        <v>-2.1574622419607901E-3</v>
      </c>
      <c r="R157" s="266"/>
      <c r="S157" s="162">
        <f>AVERAGE(O157,Q157,P157,N157)</f>
        <v>-2.7559534742259291E-3</v>
      </c>
      <c r="T157" s="162">
        <f>AVERAGE(S157, P157,Q157,O157)</f>
        <v>-2.3151656102141575E-3</v>
      </c>
      <c r="U157" s="162">
        <f>AVERAGE(T157,S157,Q157,P157)</f>
        <v>-2.3794467917691263E-3</v>
      </c>
      <c r="V157" s="162">
        <f>AVERAGE(U157,T157,S157,Q157)</f>
        <v>-2.4020070295425011E-3</v>
      </c>
      <c r="W157" s="266"/>
      <c r="X157" s="162">
        <f>AVERAGE(T157,V157,U157,S157)</f>
        <v>-2.4631432264379284E-3</v>
      </c>
      <c r="Y157" s="162">
        <f>AVERAGE(X157, U157,V157,T157)</f>
        <v>-2.3899406644909285E-3</v>
      </c>
      <c r="Z157" s="162">
        <f>AVERAGE(Y157,X157,V157,U157)</f>
        <v>-2.408634428060121E-3</v>
      </c>
      <c r="AA157" s="162">
        <f>AVERAGE(Z157,Y157,X157,V157)</f>
        <v>-2.4159313371328699E-3</v>
      </c>
      <c r="AB157" s="266"/>
      <c r="AC157" s="162">
        <f>AVERAGE(Y157,AA157,Z157,X157)</f>
        <v>-2.4194124140304619E-3</v>
      </c>
      <c r="AD157" s="162">
        <f>AVERAGE(AC157, Z157,AA157,Y157)</f>
        <v>-2.4084797109285953E-3</v>
      </c>
      <c r="AE157" s="162">
        <f>AVERAGE(AD157,AC157,AA157,Z157)</f>
        <v>-2.4131144725380122E-3</v>
      </c>
      <c r="AF157" s="769">
        <f>AVERAGE(AE157,AD157,AC157,AA157)</f>
        <v>-2.4142344836574851E-3</v>
      </c>
      <c r="AG157" s="752"/>
      <c r="AH157" s="162">
        <f>AVERAGE(AD157,AF157,AE157,AC157)</f>
        <v>-2.4138102702886384E-3</v>
      </c>
      <c r="AI157" s="162">
        <f>AVERAGE(AH157, AE157,AF157,AD157)</f>
        <v>-2.4124097343531828E-3</v>
      </c>
      <c r="AJ157" s="162">
        <f>AVERAGE(AI157,AH157,AF157,AE157)</f>
        <v>-2.4133922402093293E-3</v>
      </c>
      <c r="AK157" s="769">
        <f>AVERAGE(AJ157,AI157,AH157,AF157)</f>
        <v>-2.413461682127159E-3</v>
      </c>
      <c r="AL157" s="752"/>
    </row>
    <row r="158" spans="1:38" s="137" customFormat="1" outlineLevel="1" x14ac:dyDescent="0.2">
      <c r="B158" s="312" t="s">
        <v>36</v>
      </c>
      <c r="C158" s="313"/>
      <c r="D158" s="162"/>
      <c r="E158" s="162">
        <f>(E39+E161+E164+E167)/D39-1</f>
        <v>2.7604785512613583E-2</v>
      </c>
      <c r="F158" s="162">
        <f>(F39+F161+F164+F167)/E39-1</f>
        <v>-1.6710442080933863E-2</v>
      </c>
      <c r="G158" s="162">
        <f>(G39+G161+G164+G167)/F39-1</f>
        <v>1.9089589576967603E-2</v>
      </c>
      <c r="H158" s="266"/>
      <c r="I158" s="162">
        <f>(I39+I161+I164+I167)/G39-1</f>
        <v>-1.5386652077945762E-2</v>
      </c>
      <c r="J158" s="162">
        <f>(J39+J161+J164+J167)/I39-1</f>
        <v>-2.5506658270361138E-3</v>
      </c>
      <c r="K158" s="162">
        <f>(K39+K161+K164+K167)/J39-1</f>
        <v>-1.0332853392055585E-2</v>
      </c>
      <c r="L158" s="162">
        <f t="shared" ref="L158" si="1017">AVERAGE(K158,J158,I158,G158)</f>
        <v>-2.2951454300174645E-3</v>
      </c>
      <c r="M158" s="266"/>
      <c r="N158" s="162">
        <f>AVERAGE(J158,L158,K158,I158)</f>
        <v>-7.6413291817637313E-3</v>
      </c>
      <c r="O158" s="162">
        <f>AVERAGE(N158,K158,L158,J158)</f>
        <v>-5.7049984577182238E-3</v>
      </c>
      <c r="P158" s="162">
        <f>AVERAGE(O158,N158,L158,K158)</f>
        <v>-6.4935816153887512E-3</v>
      </c>
      <c r="Q158" s="162">
        <f t="shared" ref="Q158" si="1018">AVERAGE(P158,O158,N158,L158)</f>
        <v>-5.5337636712220429E-3</v>
      </c>
      <c r="R158" s="266"/>
      <c r="S158" s="162">
        <f>AVERAGE(O158,Q158,P158,N158)</f>
        <v>-6.3434182315231877E-3</v>
      </c>
      <c r="T158" s="162">
        <f>AVERAGE(S158,P158,Q158,O158)</f>
        <v>-6.0189404939630514E-3</v>
      </c>
      <c r="U158" s="162">
        <f>AVERAGE(T158,S158,Q158,P158)</f>
        <v>-6.0974260030242583E-3</v>
      </c>
      <c r="V158" s="162">
        <f t="shared" ref="V158" si="1019">AVERAGE(U158,T158,S158,Q158)</f>
        <v>-5.9983870999331347E-3</v>
      </c>
      <c r="W158" s="266"/>
      <c r="X158" s="162">
        <f>AVERAGE(T158,V158,U158,S158)</f>
        <v>-6.1145429571109085E-3</v>
      </c>
      <c r="Y158" s="162">
        <f>AVERAGE(X158,U158,V158,T158)</f>
        <v>-6.0573241385078382E-3</v>
      </c>
      <c r="Z158" s="162">
        <f>AVERAGE(Y158,X158,V158,U158)</f>
        <v>-6.0669200496440345E-3</v>
      </c>
      <c r="AA158" s="162">
        <f t="shared" ref="AA158" si="1020">AVERAGE(Z158,Y158,X158,V158)</f>
        <v>-6.059293561298979E-3</v>
      </c>
      <c r="AB158" s="266"/>
      <c r="AC158" s="162">
        <f>AVERAGE(Y158,AA158,Z158,X158)</f>
        <v>-6.07452017664044E-3</v>
      </c>
      <c r="AD158" s="162">
        <f>AVERAGE(AC158,Z158,AA158,Y158)</f>
        <v>-6.0645144815228234E-3</v>
      </c>
      <c r="AE158" s="162">
        <f>AVERAGE(AD158,AC158,AA158,Z158)</f>
        <v>-6.0663120672765697E-3</v>
      </c>
      <c r="AF158" s="769">
        <f t="shared" ref="AF158" si="1021">AVERAGE(AE158,AD158,AC158,AA158)</f>
        <v>-6.0661600716847026E-3</v>
      </c>
      <c r="AG158" s="752"/>
      <c r="AH158" s="162">
        <f>AVERAGE(AD158,AF158,AE158,AC158)</f>
        <v>-6.0678766992811346E-3</v>
      </c>
      <c r="AI158" s="162">
        <f>AVERAGE(AH158,AE158,AF158,AD158)</f>
        <v>-6.0662158299413065E-3</v>
      </c>
      <c r="AJ158" s="162">
        <f>AVERAGE(AI158,AH158,AF158,AE158)</f>
        <v>-6.0666411670459285E-3</v>
      </c>
      <c r="AK158" s="769">
        <f t="shared" ref="AK158" si="1022">AVERAGE(AJ158,AI158,AH158,AF158)</f>
        <v>-6.0667234419882685E-3</v>
      </c>
      <c r="AL158" s="752"/>
    </row>
    <row r="159" spans="1:38" s="137" customFormat="1" outlineLevel="1" x14ac:dyDescent="0.2">
      <c r="B159" s="312" t="s">
        <v>281</v>
      </c>
      <c r="C159" s="313"/>
      <c r="D159" s="155"/>
      <c r="E159" s="155">
        <v>69.922678056926543</v>
      </c>
      <c r="F159" s="155">
        <v>83.13076202744692</v>
      </c>
      <c r="G159" s="155">
        <v>92.52</v>
      </c>
      <c r="H159" s="267"/>
      <c r="I159" s="155">
        <v>85.23</v>
      </c>
      <c r="J159" s="155">
        <v>78.08</v>
      </c>
      <c r="K159" s="155">
        <v>0</v>
      </c>
      <c r="L159" s="675">
        <v>78</v>
      </c>
      <c r="M159" s="267"/>
      <c r="N159" s="155">
        <v>75</v>
      </c>
      <c r="O159" s="155">
        <v>75</v>
      </c>
      <c r="P159" s="155">
        <v>80</v>
      </c>
      <c r="Q159" s="155">
        <v>80</v>
      </c>
      <c r="R159" s="267"/>
      <c r="S159" s="155">
        <v>80</v>
      </c>
      <c r="T159" s="155">
        <v>80</v>
      </c>
      <c r="U159" s="155">
        <v>80</v>
      </c>
      <c r="V159" s="155">
        <v>80</v>
      </c>
      <c r="W159" s="267"/>
      <c r="X159" s="155">
        <v>80</v>
      </c>
      <c r="Y159" s="155">
        <v>80</v>
      </c>
      <c r="Z159" s="155">
        <v>80</v>
      </c>
      <c r="AA159" s="155">
        <v>80</v>
      </c>
      <c r="AB159" s="267"/>
      <c r="AC159" s="155">
        <v>80</v>
      </c>
      <c r="AD159" s="155">
        <v>80</v>
      </c>
      <c r="AE159" s="155">
        <v>80</v>
      </c>
      <c r="AF159" s="770">
        <v>80</v>
      </c>
      <c r="AG159" s="753"/>
      <c r="AH159" s="155">
        <v>80</v>
      </c>
      <c r="AI159" s="155">
        <v>80</v>
      </c>
      <c r="AJ159" s="155">
        <v>80</v>
      </c>
      <c r="AK159" s="770">
        <v>80</v>
      </c>
      <c r="AL159" s="753"/>
    </row>
    <row r="160" spans="1:38" s="137" customFormat="1" outlineLevel="1" x14ac:dyDescent="0.2">
      <c r="B160" s="312" t="s">
        <v>282</v>
      </c>
      <c r="C160" s="313"/>
      <c r="D160" s="139"/>
      <c r="E160" s="144">
        <v>713.2</v>
      </c>
      <c r="F160" s="144">
        <f>954.3-713.2</f>
        <v>241.09999999999991</v>
      </c>
      <c r="G160" s="139">
        <v>2177.1942404399997</v>
      </c>
      <c r="H160" s="140">
        <f>+SUM(D160:G160)</f>
        <v>3131.4942404399999</v>
      </c>
      <c r="I160" s="139">
        <v>1107.9389472300002</v>
      </c>
      <c r="J160" s="139">
        <v>567.02921856000012</v>
      </c>
      <c r="K160" s="139">
        <v>0</v>
      </c>
      <c r="L160" s="139">
        <v>100</v>
      </c>
      <c r="M160" s="140">
        <f>+SUM(I160:L160)</f>
        <v>1774.9681657900003</v>
      </c>
      <c r="N160" s="139">
        <v>100</v>
      </c>
      <c r="O160" s="139">
        <v>100</v>
      </c>
      <c r="P160" s="139">
        <v>100</v>
      </c>
      <c r="Q160" s="139">
        <v>100</v>
      </c>
      <c r="R160" s="140">
        <f>+SUM(N160:Q160)</f>
        <v>400</v>
      </c>
      <c r="S160" s="139">
        <v>100</v>
      </c>
      <c r="T160" s="139">
        <v>100</v>
      </c>
      <c r="U160" s="139">
        <v>100</v>
      </c>
      <c r="V160" s="139">
        <v>100</v>
      </c>
      <c r="W160" s="140">
        <f>+SUM(S160:V160)</f>
        <v>400</v>
      </c>
      <c r="X160" s="139">
        <v>100</v>
      </c>
      <c r="Y160" s="139">
        <v>100</v>
      </c>
      <c r="Z160" s="139">
        <v>100</v>
      </c>
      <c r="AA160" s="139">
        <v>100</v>
      </c>
      <c r="AB160" s="140">
        <f>+SUM(X160:AA160)</f>
        <v>400</v>
      </c>
      <c r="AC160" s="139">
        <v>100</v>
      </c>
      <c r="AD160" s="139">
        <v>100</v>
      </c>
      <c r="AE160" s="139">
        <v>100</v>
      </c>
      <c r="AF160" s="708">
        <v>100</v>
      </c>
      <c r="AG160" s="708">
        <f>+SUM(AC160:AF160)</f>
        <v>400</v>
      </c>
      <c r="AH160" s="139">
        <v>100</v>
      </c>
      <c r="AI160" s="139">
        <v>100</v>
      </c>
      <c r="AJ160" s="139">
        <v>100</v>
      </c>
      <c r="AK160" s="708">
        <v>100</v>
      </c>
      <c r="AL160" s="708">
        <f>+SUM(AH160:AK160)</f>
        <v>400</v>
      </c>
    </row>
    <row r="161" spans="1:38" s="137" customFormat="1" outlineLevel="1" x14ac:dyDescent="0.2">
      <c r="B161" s="312" t="s">
        <v>283</v>
      </c>
      <c r="C161" s="313"/>
      <c r="D161" s="232"/>
      <c r="E161" s="232">
        <f>IF((E160)&gt;0,(E160/E159),0)</f>
        <v>10.199838161509755</v>
      </c>
      <c r="F161" s="232">
        <f>IF((F160)&gt;0,(F160/F159),0)</f>
        <v>2.9002500893760241</v>
      </c>
      <c r="G161" s="232">
        <f>IF((G160)&gt;0,(G160/G159),0)</f>
        <v>23.532146999999998</v>
      </c>
      <c r="H161" s="157">
        <f>+SUM(D161:G161)</f>
        <v>36.632235250885778</v>
      </c>
      <c r="I161" s="232">
        <f>IF((I160)&gt;0,(I160/I159),0)</f>
        <v>12.999401000000001</v>
      </c>
      <c r="J161" s="232">
        <f>IF((J160)&gt;0,(J160/J159),0)</f>
        <v>7.262157000000002</v>
      </c>
      <c r="K161" s="232">
        <f t="shared" ref="K161:Q161" si="1023">IF((K160)&gt;0,(K160/K159),0)</f>
        <v>0</v>
      </c>
      <c r="L161" s="232">
        <f t="shared" si="1023"/>
        <v>1.2820512820512822</v>
      </c>
      <c r="M161" s="157">
        <f>+SUM(I161:L161)</f>
        <v>21.543609282051282</v>
      </c>
      <c r="N161" s="232">
        <f t="shared" si="1023"/>
        <v>1.3333333333333333</v>
      </c>
      <c r="O161" s="232">
        <f t="shared" si="1023"/>
        <v>1.3333333333333333</v>
      </c>
      <c r="P161" s="232">
        <f t="shared" si="1023"/>
        <v>1.25</v>
      </c>
      <c r="Q161" s="232">
        <f t="shared" si="1023"/>
        <v>1.25</v>
      </c>
      <c r="R161" s="157">
        <f>+SUM(N161:Q161)</f>
        <v>5.1666666666666661</v>
      </c>
      <c r="S161" s="232">
        <f t="shared" ref="S161" si="1024">IF((S160)&gt;0,(S160/S159),0)</f>
        <v>1.25</v>
      </c>
      <c r="T161" s="232">
        <f t="shared" ref="T161" si="1025">IF((T160)&gt;0,(T160/T159),0)</f>
        <v>1.25</v>
      </c>
      <c r="U161" s="232">
        <f t="shared" ref="U161" si="1026">IF((U160)&gt;0,(U160/U159),0)</f>
        <v>1.25</v>
      </c>
      <c r="V161" s="232">
        <f t="shared" ref="V161" si="1027">IF((V160)&gt;0,(V160/V159),0)</f>
        <v>1.25</v>
      </c>
      <c r="W161" s="157">
        <f>+SUM(S161:V161)</f>
        <v>5</v>
      </c>
      <c r="X161" s="232">
        <f t="shared" ref="X161" si="1028">IF((X160)&gt;0,(X160/X159),0)</f>
        <v>1.25</v>
      </c>
      <c r="Y161" s="232">
        <f t="shared" ref="Y161" si="1029">IF((Y160)&gt;0,(Y160/Y159),0)</f>
        <v>1.25</v>
      </c>
      <c r="Z161" s="232">
        <f t="shared" ref="Z161" si="1030">IF((Z160)&gt;0,(Z160/Z159),0)</f>
        <v>1.25</v>
      </c>
      <c r="AA161" s="232">
        <f t="shared" ref="AA161" si="1031">IF((AA160)&gt;0,(AA160/AA159),0)</f>
        <v>1.25</v>
      </c>
      <c r="AB161" s="157">
        <f>+SUM(X161:AA161)</f>
        <v>5</v>
      </c>
      <c r="AC161" s="232">
        <f t="shared" ref="AC161" si="1032">IF((AC160)&gt;0,(AC160/AC159),0)</f>
        <v>1.25</v>
      </c>
      <c r="AD161" s="232">
        <f t="shared" ref="AD161" si="1033">IF((AD160)&gt;0,(AD160/AD159),0)</f>
        <v>1.25</v>
      </c>
      <c r="AE161" s="232">
        <f t="shared" ref="AE161" si="1034">IF((AE160)&gt;0,(AE160/AE159),0)</f>
        <v>1.25</v>
      </c>
      <c r="AF161" s="715">
        <f t="shared" ref="AF161" si="1035">IF((AF160)&gt;0,(AF160/AF159),0)</f>
        <v>1.25</v>
      </c>
      <c r="AG161" s="715">
        <f>+SUM(AC161:AF161)</f>
        <v>5</v>
      </c>
      <c r="AH161" s="232">
        <f t="shared" ref="AH161" si="1036">IF((AH160)&gt;0,(AH160/AH159),0)</f>
        <v>1.25</v>
      </c>
      <c r="AI161" s="232">
        <f t="shared" ref="AI161" si="1037">IF((AI160)&gt;0,(AI160/AI159),0)</f>
        <v>1.25</v>
      </c>
      <c r="AJ161" s="232">
        <f t="shared" ref="AJ161" si="1038">IF((AJ160)&gt;0,(AJ160/AJ159),0)</f>
        <v>1.25</v>
      </c>
      <c r="AK161" s="715">
        <f t="shared" ref="AK161" si="1039">IF((AK160)&gt;0,(AK160/AK159),0)</f>
        <v>1.25</v>
      </c>
      <c r="AL161" s="715">
        <f>+SUM(AH161:AK161)</f>
        <v>5</v>
      </c>
    </row>
    <row r="162" spans="1:38" s="137" customFormat="1" outlineLevel="1" x14ac:dyDescent="0.2">
      <c r="B162" s="676" t="s">
        <v>275</v>
      </c>
      <c r="C162" s="677"/>
      <c r="D162" s="678">
        <v>55.58</v>
      </c>
      <c r="E162" s="233">
        <v>65.03</v>
      </c>
      <c r="F162" s="268"/>
      <c r="G162" s="268"/>
      <c r="H162" s="213"/>
      <c r="I162" s="268"/>
      <c r="J162" s="268"/>
      <c r="K162" s="268"/>
      <c r="L162" s="268"/>
      <c r="M162" s="213"/>
      <c r="N162" s="374">
        <f>+N159/L159-1</f>
        <v>-3.8461538461538436E-2</v>
      </c>
      <c r="O162" s="374">
        <f>+O159/N159-1</f>
        <v>0</v>
      </c>
      <c r="P162" s="374">
        <f t="shared" ref="O162:Q162" si="1040">+P159/N159-1</f>
        <v>6.6666666666666652E-2</v>
      </c>
      <c r="Q162" s="374">
        <f t="shared" si="1040"/>
        <v>6.6666666666666652E-2</v>
      </c>
      <c r="R162" s="213"/>
      <c r="S162" s="268"/>
      <c r="T162" s="268"/>
      <c r="U162" s="268"/>
      <c r="V162" s="268"/>
      <c r="W162" s="213"/>
      <c r="X162" s="268"/>
      <c r="Y162" s="268"/>
      <c r="Z162" s="268"/>
      <c r="AA162" s="268"/>
      <c r="AB162" s="213"/>
      <c r="AC162" s="268"/>
      <c r="AD162" s="268"/>
      <c r="AE162" s="268"/>
      <c r="AF162" s="740"/>
      <c r="AG162" s="740"/>
      <c r="AH162" s="268"/>
      <c r="AI162" s="268"/>
      <c r="AJ162" s="268"/>
      <c r="AK162" s="740"/>
      <c r="AL162" s="740"/>
    </row>
    <row r="163" spans="1:38" s="137" customFormat="1" outlineLevel="1" x14ac:dyDescent="0.2">
      <c r="B163" s="679" t="s">
        <v>276</v>
      </c>
      <c r="C163" s="680"/>
      <c r="D163" s="681">
        <f>71.968334*55.58</f>
        <v>4000.0000037199998</v>
      </c>
      <c r="E163" s="234">
        <v>318.64700000000005</v>
      </c>
      <c r="F163" s="232"/>
      <c r="G163" s="232"/>
      <c r="H163" s="157"/>
      <c r="I163" s="232"/>
      <c r="J163" s="232"/>
      <c r="K163" s="232"/>
      <c r="L163" s="232"/>
      <c r="M163" s="157"/>
      <c r="N163" s="232"/>
      <c r="O163" s="232"/>
      <c r="P163" s="232"/>
      <c r="Q163" s="232"/>
      <c r="R163" s="157"/>
      <c r="S163" s="232"/>
      <c r="T163" s="232"/>
      <c r="U163" s="232"/>
      <c r="V163" s="232"/>
      <c r="W163" s="157"/>
      <c r="X163" s="232"/>
      <c r="Y163" s="232"/>
      <c r="Z163" s="232"/>
      <c r="AA163" s="232"/>
      <c r="AB163" s="157"/>
      <c r="AC163" s="232"/>
      <c r="AD163" s="232"/>
      <c r="AE163" s="232"/>
      <c r="AF163" s="715"/>
      <c r="AG163" s="715"/>
      <c r="AH163" s="232"/>
      <c r="AI163" s="232"/>
      <c r="AJ163" s="232"/>
      <c r="AK163" s="715"/>
      <c r="AL163" s="715"/>
    </row>
    <row r="164" spans="1:38" s="137" customFormat="1" outlineLevel="1" x14ac:dyDescent="0.2">
      <c r="B164" s="682" t="s">
        <v>277</v>
      </c>
      <c r="C164" s="683"/>
      <c r="D164" s="684">
        <f>IF((D163)&gt;0,(D163/D162),0)</f>
        <v>71.968333999999999</v>
      </c>
      <c r="E164" s="269">
        <f>IF((E163)&gt;0,(E163/E162),0)</f>
        <v>4.9000000000000004</v>
      </c>
      <c r="F164" s="269"/>
      <c r="G164" s="269"/>
      <c r="H164" s="270"/>
      <c r="I164" s="269"/>
      <c r="J164" s="269"/>
      <c r="K164" s="269"/>
      <c r="L164" s="269"/>
      <c r="M164" s="270"/>
      <c r="N164" s="269"/>
      <c r="O164" s="269"/>
      <c r="P164" s="269"/>
      <c r="Q164" s="269"/>
      <c r="R164" s="270"/>
      <c r="S164" s="269"/>
      <c r="T164" s="269"/>
      <c r="U164" s="269"/>
      <c r="V164" s="269"/>
      <c r="W164" s="270"/>
      <c r="X164" s="269"/>
      <c r="Y164" s="269"/>
      <c r="Z164" s="269"/>
      <c r="AA164" s="269"/>
      <c r="AB164" s="270"/>
      <c r="AC164" s="269"/>
      <c r="AD164" s="269"/>
      <c r="AE164" s="269"/>
      <c r="AF164" s="754"/>
      <c r="AG164" s="754"/>
      <c r="AH164" s="269"/>
      <c r="AI164" s="269"/>
      <c r="AJ164" s="269"/>
      <c r="AK164" s="754"/>
      <c r="AL164" s="754"/>
    </row>
    <row r="165" spans="1:38" s="137" customFormat="1" outlineLevel="1" x14ac:dyDescent="0.2">
      <c r="B165" s="281" t="s">
        <v>278</v>
      </c>
      <c r="C165" s="282"/>
      <c r="D165" s="232"/>
      <c r="E165" s="155">
        <v>71.959999999999994</v>
      </c>
      <c r="F165" s="155">
        <v>76.5</v>
      </c>
      <c r="G165" s="232"/>
      <c r="H165" s="157"/>
      <c r="I165" s="232"/>
      <c r="J165" s="232"/>
      <c r="K165" s="232"/>
      <c r="L165" s="232"/>
      <c r="M165" s="157"/>
      <c r="N165" s="232"/>
      <c r="O165" s="232"/>
      <c r="P165" s="232"/>
      <c r="Q165" s="232"/>
      <c r="R165" s="157"/>
      <c r="S165" s="232"/>
      <c r="T165" s="232"/>
      <c r="U165" s="232"/>
      <c r="V165" s="232"/>
      <c r="W165" s="157"/>
      <c r="X165" s="232"/>
      <c r="Y165" s="232"/>
      <c r="Z165" s="232"/>
      <c r="AA165" s="232"/>
      <c r="AB165" s="157"/>
      <c r="AC165" s="232"/>
      <c r="AD165" s="232"/>
      <c r="AE165" s="232"/>
      <c r="AF165" s="715"/>
      <c r="AG165" s="715"/>
      <c r="AH165" s="232"/>
      <c r="AI165" s="232"/>
      <c r="AJ165" s="232"/>
      <c r="AK165" s="715"/>
      <c r="AL165" s="715"/>
    </row>
    <row r="166" spans="1:38" s="137" customFormat="1" outlineLevel="1" x14ac:dyDescent="0.2">
      <c r="B166" s="281" t="s">
        <v>279</v>
      </c>
      <c r="C166" s="282"/>
      <c r="D166" s="232"/>
      <c r="E166" s="139">
        <v>1597.5119999999997</v>
      </c>
      <c r="F166" s="139">
        <v>298.35000000000002</v>
      </c>
      <c r="G166" s="232"/>
      <c r="H166" s="157"/>
      <c r="I166" s="232"/>
      <c r="J166" s="232"/>
      <c r="K166" s="232"/>
      <c r="L166" s="232"/>
      <c r="M166" s="157"/>
      <c r="N166" s="232"/>
      <c r="O166" s="232"/>
      <c r="P166" s="232"/>
      <c r="Q166" s="232"/>
      <c r="R166" s="157"/>
      <c r="S166" s="232"/>
      <c r="T166" s="232"/>
      <c r="U166" s="232"/>
      <c r="V166" s="232"/>
      <c r="W166" s="157"/>
      <c r="X166" s="232"/>
      <c r="Y166" s="232"/>
      <c r="Z166" s="232"/>
      <c r="AA166" s="232"/>
      <c r="AB166" s="157"/>
      <c r="AC166" s="232"/>
      <c r="AD166" s="232"/>
      <c r="AE166" s="232"/>
      <c r="AF166" s="715"/>
      <c r="AG166" s="715"/>
      <c r="AH166" s="232"/>
      <c r="AI166" s="232"/>
      <c r="AJ166" s="232"/>
      <c r="AK166" s="715"/>
      <c r="AL166" s="715"/>
    </row>
    <row r="167" spans="1:38" s="137" customFormat="1" outlineLevel="1" x14ac:dyDescent="0.2">
      <c r="B167" s="281" t="s">
        <v>280</v>
      </c>
      <c r="C167" s="282"/>
      <c r="D167" s="232"/>
      <c r="E167" s="232">
        <f>IF((E166)&gt;0,(E166/E165),0)</f>
        <v>22.2</v>
      </c>
      <c r="F167" s="232">
        <f>IF((F166)&gt;0,(F166/F165),0)</f>
        <v>3.9000000000000004</v>
      </c>
      <c r="G167" s="232"/>
      <c r="H167" s="157"/>
      <c r="I167" s="232"/>
      <c r="J167" s="232"/>
      <c r="K167" s="232"/>
      <c r="L167" s="232"/>
      <c r="M167" s="157"/>
      <c r="N167" s="232"/>
      <c r="O167" s="232"/>
      <c r="P167" s="232"/>
      <c r="Q167" s="232"/>
      <c r="R167" s="157"/>
      <c r="S167" s="232"/>
      <c r="T167" s="232"/>
      <c r="U167" s="232"/>
      <c r="V167" s="232"/>
      <c r="W167" s="157"/>
      <c r="X167" s="232"/>
      <c r="Y167" s="232"/>
      <c r="Z167" s="232"/>
      <c r="AA167" s="232"/>
      <c r="AB167" s="157"/>
      <c r="AC167" s="232"/>
      <c r="AD167" s="232"/>
      <c r="AE167" s="232"/>
      <c r="AF167" s="715"/>
      <c r="AG167" s="715"/>
      <c r="AH167" s="232"/>
      <c r="AI167" s="232"/>
      <c r="AJ167" s="232"/>
      <c r="AK167" s="715"/>
      <c r="AL167" s="715"/>
    </row>
    <row r="168" spans="1:38" ht="19" x14ac:dyDescent="0.35">
      <c r="A168" s="137"/>
      <c r="B168" s="314" t="s">
        <v>52</v>
      </c>
      <c r="C168" s="315"/>
      <c r="D168" s="22" t="s">
        <v>72</v>
      </c>
      <c r="E168" s="22" t="s">
        <v>211</v>
      </c>
      <c r="F168" s="22" t="s">
        <v>215</v>
      </c>
      <c r="G168" s="22" t="s">
        <v>225</v>
      </c>
      <c r="H168" s="67" t="s">
        <v>226</v>
      </c>
      <c r="I168" s="22" t="s">
        <v>227</v>
      </c>
      <c r="J168" s="22" t="s">
        <v>228</v>
      </c>
      <c r="K168" s="22" t="s">
        <v>229</v>
      </c>
      <c r="L168" s="20" t="s">
        <v>90</v>
      </c>
      <c r="M168" s="69" t="s">
        <v>91</v>
      </c>
      <c r="N168" s="20" t="s">
        <v>92</v>
      </c>
      <c r="O168" s="20" t="s">
        <v>93</v>
      </c>
      <c r="P168" s="20" t="s">
        <v>94</v>
      </c>
      <c r="Q168" s="20" t="s">
        <v>95</v>
      </c>
      <c r="R168" s="69" t="s">
        <v>96</v>
      </c>
      <c r="S168" s="20" t="s">
        <v>97</v>
      </c>
      <c r="T168" s="20" t="s">
        <v>98</v>
      </c>
      <c r="U168" s="20" t="s">
        <v>99</v>
      </c>
      <c r="V168" s="20" t="s">
        <v>100</v>
      </c>
      <c r="W168" s="69" t="s">
        <v>101</v>
      </c>
      <c r="X168" s="20" t="s">
        <v>102</v>
      </c>
      <c r="Y168" s="20" t="s">
        <v>103</v>
      </c>
      <c r="Z168" s="20" t="s">
        <v>104</v>
      </c>
      <c r="AA168" s="20" t="s">
        <v>105</v>
      </c>
      <c r="AB168" s="69" t="s">
        <v>106</v>
      </c>
      <c r="AC168" s="20" t="s">
        <v>220</v>
      </c>
      <c r="AD168" s="20" t="s">
        <v>221</v>
      </c>
      <c r="AE168" s="20" t="s">
        <v>222</v>
      </c>
      <c r="AF168" s="732" t="s">
        <v>223</v>
      </c>
      <c r="AG168" s="732" t="s">
        <v>224</v>
      </c>
      <c r="AH168" s="20" t="s">
        <v>253</v>
      </c>
      <c r="AI168" s="20" t="s">
        <v>254</v>
      </c>
      <c r="AJ168" s="20" t="s">
        <v>255</v>
      </c>
      <c r="AK168" s="732" t="s">
        <v>256</v>
      </c>
      <c r="AL168" s="732" t="s">
        <v>257</v>
      </c>
    </row>
    <row r="169" spans="1:38" s="137" customFormat="1" outlineLevel="1" x14ac:dyDescent="0.2">
      <c r="B169" s="312" t="s">
        <v>157</v>
      </c>
      <c r="C169" s="313"/>
      <c r="D169" s="141">
        <f>-(22+5.3+0.6+20.9)</f>
        <v>-48.8</v>
      </c>
      <c r="E169" s="141">
        <v>-45.1</v>
      </c>
      <c r="F169" s="141">
        <v>-39.6</v>
      </c>
      <c r="G169" s="141">
        <f>-146.2+133.5</f>
        <v>-12.699999999999989</v>
      </c>
      <c r="H169" s="255">
        <f>SUM(D169:G169)</f>
        <v>-146.19999999999999</v>
      </c>
      <c r="I169" s="141">
        <v>-7.1</v>
      </c>
      <c r="J169" s="141">
        <v>0.1</v>
      </c>
      <c r="K169" s="144">
        <f>-K22</f>
        <v>-78.099999999999994</v>
      </c>
      <c r="L169" s="139">
        <f>-0.11*1169</f>
        <v>-128.59</v>
      </c>
      <c r="M169" s="255">
        <f>SUM(I169:L169)</f>
        <v>-213.69</v>
      </c>
      <c r="N169" s="139">
        <f>-N22</f>
        <v>-148.85954904788088</v>
      </c>
      <c r="O169" s="139">
        <f t="shared" ref="O169:Q169" si="1041">-O22</f>
        <v>-141.76664018503541</v>
      </c>
      <c r="P169" s="139">
        <f t="shared" si="1041"/>
        <v>-101.73337222818327</v>
      </c>
      <c r="Q169" s="139">
        <f t="shared" si="1041"/>
        <v>-129.61443214375012</v>
      </c>
      <c r="R169" s="255">
        <f>SUM(N169:Q169)</f>
        <v>-521.97399360484974</v>
      </c>
      <c r="S169" s="139">
        <f>-S22</f>
        <v>-163.86663411197861</v>
      </c>
      <c r="T169" s="139">
        <f t="shared" ref="T169:V169" si="1042">-T22</f>
        <v>-154.59521984673972</v>
      </c>
      <c r="U169" s="139">
        <f t="shared" si="1042"/>
        <v>-109.38350608159035</v>
      </c>
      <c r="V169" s="139">
        <f t="shared" si="1042"/>
        <v>-140.90389515862992</v>
      </c>
      <c r="W169" s="255">
        <f>SUM(S169:V169)</f>
        <v>-568.74925519893861</v>
      </c>
      <c r="X169" s="139">
        <f>-X22</f>
        <v>-174.66213410250614</v>
      </c>
      <c r="Y169" s="139">
        <f t="shared" ref="Y169:AA169" si="1043">-Y22</f>
        <v>-164.43905881246454</v>
      </c>
      <c r="Z169" s="139">
        <f t="shared" si="1043"/>
        <v>-115.81466189032568</v>
      </c>
      <c r="AA169" s="139">
        <f t="shared" si="1043"/>
        <v>-149.94472695147763</v>
      </c>
      <c r="AB169" s="255">
        <f>SUM(X169:AA169)</f>
        <v>-604.86058175677397</v>
      </c>
      <c r="AC169" s="139">
        <f>-AC22</f>
        <v>-185.87709349584267</v>
      </c>
      <c r="AD169" s="139">
        <f t="shared" ref="AD169:AF169" si="1044">-AD22</f>
        <v>-174.84640741012592</v>
      </c>
      <c r="AE169" s="139">
        <f t="shared" si="1044"/>
        <v>-122.7082231823848</v>
      </c>
      <c r="AF169" s="708">
        <f t="shared" si="1044"/>
        <v>-159.33010069993301</v>
      </c>
      <c r="AG169" s="755">
        <f>SUM(AC169:AF169)</f>
        <v>-642.76182478828639</v>
      </c>
      <c r="AH169" s="139">
        <f>-AH22</f>
        <v>-197.63435925665922</v>
      </c>
      <c r="AI169" s="139">
        <f t="shared" ref="AI169:AK169" si="1045">-AI22</f>
        <v>-185.82711074830476</v>
      </c>
      <c r="AJ169" s="139">
        <f t="shared" si="1045"/>
        <v>-130.00434079407569</v>
      </c>
      <c r="AK169" s="708">
        <f t="shared" si="1045"/>
        <v>-169.24503287735109</v>
      </c>
      <c r="AL169" s="755">
        <f>SUM(AH169:AK169)</f>
        <v>-682.71084367639082</v>
      </c>
    </row>
    <row r="170" spans="1:38" s="137" customFormat="1" outlineLevel="1" x14ac:dyDescent="0.2">
      <c r="B170" s="281" t="s">
        <v>156</v>
      </c>
      <c r="C170" s="282"/>
      <c r="D170" s="141">
        <f>-(5.3+0.5)</f>
        <v>-5.8</v>
      </c>
      <c r="E170" s="141">
        <v>-4.3</v>
      </c>
      <c r="F170" s="141">
        <v>-2.2999999999999998</v>
      </c>
      <c r="G170" s="141">
        <v>-0.2</v>
      </c>
      <c r="H170" s="255">
        <f t="shared" ref="H170:H173" si="1046">SUM(D170:G170)</f>
        <v>-12.599999999999998</v>
      </c>
      <c r="I170" s="141">
        <v>-5.6</v>
      </c>
      <c r="J170" s="141">
        <v>-6.8</v>
      </c>
      <c r="K170" s="144">
        <v>-35.04</v>
      </c>
      <c r="L170" s="139">
        <v>0</v>
      </c>
      <c r="M170" s="255">
        <f t="shared" ref="M170:M173" si="1047">SUM(I170:L170)</f>
        <v>-47.44</v>
      </c>
      <c r="N170" s="139"/>
      <c r="O170" s="139"/>
      <c r="P170" s="139"/>
      <c r="Q170" s="139"/>
      <c r="R170" s="255">
        <f t="shared" ref="R170:R173" si="1048">SUM(N170:Q170)</f>
        <v>0</v>
      </c>
      <c r="S170" s="139"/>
      <c r="T170" s="139"/>
      <c r="U170" s="139"/>
      <c r="V170" s="139"/>
      <c r="W170" s="255">
        <f t="shared" ref="W170:W173" si="1049">SUM(S170:V170)</f>
        <v>0</v>
      </c>
      <c r="X170" s="139"/>
      <c r="Y170" s="139"/>
      <c r="Z170" s="139"/>
      <c r="AA170" s="139"/>
      <c r="AB170" s="255">
        <f t="shared" ref="AB170:AB173" si="1050">SUM(X170:AA170)</f>
        <v>0</v>
      </c>
      <c r="AC170" s="139"/>
      <c r="AD170" s="139"/>
      <c r="AE170" s="139"/>
      <c r="AF170" s="708"/>
      <c r="AG170" s="755">
        <f t="shared" ref="AG170:AG173" si="1051">SUM(AC170:AF170)</f>
        <v>0</v>
      </c>
      <c r="AH170" s="139"/>
      <c r="AI170" s="139"/>
      <c r="AJ170" s="139"/>
      <c r="AK170" s="708"/>
      <c r="AL170" s="755">
        <f t="shared" ref="AL170:AL173" si="1052">SUM(AH170:AK170)</f>
        <v>0</v>
      </c>
    </row>
    <row r="171" spans="1:38" s="137" customFormat="1" outlineLevel="1" x14ac:dyDescent="0.2">
      <c r="B171" s="312" t="s">
        <v>273</v>
      </c>
      <c r="C171" s="313"/>
      <c r="D171" s="141">
        <f>-(60.6-0.3)</f>
        <v>-60.300000000000004</v>
      </c>
      <c r="E171" s="141">
        <v>-68.2</v>
      </c>
      <c r="F171" s="141">
        <v>-69</v>
      </c>
      <c r="G171" s="141">
        <f>-262+197.5</f>
        <v>-64.5</v>
      </c>
      <c r="H171" s="255">
        <f>SUM(D171:G171)</f>
        <v>-262</v>
      </c>
      <c r="I171" s="141">
        <v>-58.9</v>
      </c>
      <c r="J171" s="141">
        <v>-60.1</v>
      </c>
      <c r="K171" s="144">
        <v>-60.54</v>
      </c>
      <c r="L171" s="139">
        <f>-0.05*1169</f>
        <v>-58.45</v>
      </c>
      <c r="M171" s="255">
        <f>SUM(I171:L171)</f>
        <v>-237.99</v>
      </c>
      <c r="N171" s="139"/>
      <c r="O171" s="139"/>
      <c r="P171" s="139"/>
      <c r="Q171" s="139"/>
      <c r="R171" s="255">
        <f>SUM(N171:Q171)</f>
        <v>0</v>
      </c>
      <c r="S171" s="139"/>
      <c r="T171" s="139"/>
      <c r="U171" s="139"/>
      <c r="V171" s="139"/>
      <c r="W171" s="255">
        <f>SUM(S171:V171)</f>
        <v>0</v>
      </c>
      <c r="X171" s="139"/>
      <c r="Y171" s="139"/>
      <c r="Z171" s="139"/>
      <c r="AA171" s="139"/>
      <c r="AB171" s="255">
        <f>SUM(X171:AA171)</f>
        <v>0</v>
      </c>
      <c r="AC171" s="139"/>
      <c r="AD171" s="139"/>
      <c r="AE171" s="139"/>
      <c r="AF171" s="708"/>
      <c r="AG171" s="755">
        <f>SUM(AC171:AF171)</f>
        <v>0</v>
      </c>
      <c r="AH171" s="139"/>
      <c r="AI171" s="139"/>
      <c r="AJ171" s="139"/>
      <c r="AK171" s="708"/>
      <c r="AL171" s="755">
        <f>SUM(AH171:AK171)</f>
        <v>0</v>
      </c>
    </row>
    <row r="172" spans="1:38" s="137" customFormat="1" outlineLevel="1" x14ac:dyDescent="0.2">
      <c r="B172" s="281" t="s">
        <v>158</v>
      </c>
      <c r="C172" s="282"/>
      <c r="D172" s="141">
        <v>-23.1</v>
      </c>
      <c r="E172" s="141">
        <v>-23.8</v>
      </c>
      <c r="F172" s="141">
        <v>-14.4</v>
      </c>
      <c r="G172" s="141">
        <v>0</v>
      </c>
      <c r="H172" s="255">
        <f t="shared" si="1046"/>
        <v>-61.300000000000004</v>
      </c>
      <c r="I172" s="141"/>
      <c r="J172" s="141"/>
      <c r="K172" s="139"/>
      <c r="L172" s="139"/>
      <c r="M172" s="255">
        <f t="shared" si="1047"/>
        <v>0</v>
      </c>
      <c r="N172" s="139"/>
      <c r="O172" s="139"/>
      <c r="P172" s="139"/>
      <c r="Q172" s="139"/>
      <c r="R172" s="255">
        <f t="shared" si="1048"/>
        <v>0</v>
      </c>
      <c r="S172" s="139"/>
      <c r="T172" s="139"/>
      <c r="U172" s="139"/>
      <c r="V172" s="139"/>
      <c r="W172" s="255">
        <f t="shared" si="1049"/>
        <v>0</v>
      </c>
      <c r="X172" s="139"/>
      <c r="Y172" s="139"/>
      <c r="Z172" s="139"/>
      <c r="AA172" s="139"/>
      <c r="AB172" s="255">
        <f t="shared" si="1050"/>
        <v>0</v>
      </c>
      <c r="AC172" s="139"/>
      <c r="AD172" s="139"/>
      <c r="AE172" s="139"/>
      <c r="AF172" s="708"/>
      <c r="AG172" s="755">
        <f t="shared" si="1051"/>
        <v>0</v>
      </c>
      <c r="AH172" s="139"/>
      <c r="AI172" s="139"/>
      <c r="AJ172" s="139"/>
      <c r="AK172" s="708"/>
      <c r="AL172" s="755">
        <f t="shared" si="1052"/>
        <v>0</v>
      </c>
    </row>
    <row r="173" spans="1:38" s="137" customFormat="1" ht="18" outlineLevel="1" x14ac:dyDescent="0.35">
      <c r="B173" s="281" t="s">
        <v>205</v>
      </c>
      <c r="C173" s="282"/>
      <c r="D173" s="227">
        <v>0</v>
      </c>
      <c r="E173" s="227">
        <v>0</v>
      </c>
      <c r="F173" s="227">
        <v>0</v>
      </c>
      <c r="G173" s="227">
        <v>0</v>
      </c>
      <c r="H173" s="256">
        <f t="shared" si="1046"/>
        <v>0</v>
      </c>
      <c r="I173" s="227">
        <v>0</v>
      </c>
      <c r="J173" s="227">
        <v>0</v>
      </c>
      <c r="K173" s="154">
        <v>0</v>
      </c>
      <c r="L173" s="154">
        <v>0</v>
      </c>
      <c r="M173" s="256">
        <f t="shared" si="1047"/>
        <v>0</v>
      </c>
      <c r="N173" s="154">
        <f>AVERAGE(D174,E174,F174,G174,I174,J174,K174,L174)-N169</f>
        <v>26.207049047880901</v>
      </c>
      <c r="O173" s="154">
        <f>AVERAGE(E174,F174,G174,I174,J174,K174,L174,N174)-O169</f>
        <v>21.03257768503542</v>
      </c>
      <c r="P173" s="154">
        <f>AVERAGE(F174,G174,I174,J174,K174,L174,N174,O174)-P169</f>
        <v>-16.417448084316703</v>
      </c>
      <c r="Q173" s="154">
        <f>AVERAGE(G174,I174,J174,K174,L174,N174,O174,P174)-Q169</f>
        <v>12.357259292187649</v>
      </c>
      <c r="R173" s="256">
        <f t="shared" si="1048"/>
        <v>43.179437940787267</v>
      </c>
      <c r="S173" s="154">
        <f>AVERAGE(I174,J174,K174,L174,N174,O174,P174,Q174)-S169</f>
        <v>41.627314653970814</v>
      </c>
      <c r="T173" s="154">
        <f>AVERAGE(J174,K174,L174,N174,O174,P174,Q174,S174)-T169</f>
        <v>26.025985456480953</v>
      </c>
      <c r="U173" s="154">
        <f>AVERAGE(K174,L174,N174,O174,P174,Q174,S174,T174)-U169</f>
        <v>-26.906882607450768</v>
      </c>
      <c r="V173" s="154">
        <f>AVERAGE(L174,N174,O174,P174,Q174,S174,T174,U174)-V169</f>
        <v>9.2872078834586489</v>
      </c>
      <c r="W173" s="256">
        <f t="shared" si="1049"/>
        <v>50.033625386459647</v>
      </c>
      <c r="X173" s="154">
        <f>AVERAGE(N174,O174,P174,Q174,S174,T174,U174,V174)-X169</f>
        <v>49.973360917938464</v>
      </c>
      <c r="Y173" s="154">
        <f>AVERAGE(O174,P174,Q174,S174,T174,U174,V174,X174)-Y169</f>
        <v>39.495751479825884</v>
      </c>
      <c r="Z173" s="154">
        <f>AVERAGE(P174,Q174,S174,T174,U174,V174,X174,Y174)-Z169</f>
        <v>-9.6548010463927767</v>
      </c>
      <c r="AA173" s="154">
        <f>AVERAGE(Q174,S174,T174,U174,V174,X174,Y174,Z174)-AA169</f>
        <v>23.560433686731869</v>
      </c>
      <c r="AB173" s="256">
        <f t="shared" si="1050"/>
        <v>103.37474503810344</v>
      </c>
      <c r="AC173" s="154">
        <f>AVERAGE(S174,T174,U174,V174,X174,Y174,Z174,AA174)-AC169</f>
        <v>58.351910179448993</v>
      </c>
      <c r="AD173" s="154">
        <f>AVERAGE(T174,U174,V174,X174,Y174,Z174,AA174,AC174)-AD169</f>
        <v>46.660491111433998</v>
      </c>
      <c r="AE173" s="154">
        <f>AVERAGE(U174,V174,X174,Y174,Z174,AA174,AC174,AD174)-AE169</f>
        <v>-5.4297783548612557</v>
      </c>
      <c r="AF173" s="710">
        <f>AVERAGE(V174,X174,Y174,Z174,AA174,AC174,AD174,AE174)-AF169</f>
        <v>32.211147556661317</v>
      </c>
      <c r="AG173" s="756">
        <f t="shared" si="1051"/>
        <v>131.79377049268305</v>
      </c>
      <c r="AH173" s="154">
        <f>AVERAGE(X174,Y174,Z174,AA174,AC174,AD174,AE174,AF174)-AH169</f>
        <v>71.077622879874966</v>
      </c>
      <c r="AI173" s="154">
        <f>AVERAGE(Y174,Z174,AA174,AC174,AD174,AE174,AF174,AH174)-AI169</f>
        <v>59.036878972493454</v>
      </c>
      <c r="AJ173" s="154">
        <f>AVERAGE(Z174,AA174,AC174,AD174,AE174,AF174,AH174,AI174)-AJ169</f>
        <v>2.9832434628677902</v>
      </c>
      <c r="AK173" s="710">
        <f>AVERAGE(AA174,AC174,AD174,AE174,AF174,AH174,AI174,AJ174)-AK169</f>
        <v>42.029981246832023</v>
      </c>
      <c r="AL173" s="756">
        <f t="shared" si="1052"/>
        <v>175.12772656206823</v>
      </c>
    </row>
    <row r="174" spans="1:38" s="152" customFormat="1" outlineLevel="1" x14ac:dyDescent="0.2">
      <c r="B174" s="285" t="s">
        <v>159</v>
      </c>
      <c r="C174" s="674"/>
      <c r="D174" s="142">
        <f t="shared" ref="D174:Q174" si="1053">SUM(D169:D173)</f>
        <v>-138</v>
      </c>
      <c r="E174" s="142">
        <f t="shared" si="1053"/>
        <v>-141.4</v>
      </c>
      <c r="F174" s="142">
        <f t="shared" si="1053"/>
        <v>-125.30000000000001</v>
      </c>
      <c r="G174" s="142">
        <f t="shared" si="1053"/>
        <v>-77.399999999999991</v>
      </c>
      <c r="H174" s="158">
        <f t="shared" si="1053"/>
        <v>-482.09999999999997</v>
      </c>
      <c r="I174" s="142">
        <f t="shared" si="1053"/>
        <v>-71.599999999999994</v>
      </c>
      <c r="J174" s="142">
        <f t="shared" si="1053"/>
        <v>-66.8</v>
      </c>
      <c r="K174" s="142">
        <f t="shared" si="1053"/>
        <v>-173.67999999999998</v>
      </c>
      <c r="L174" s="142">
        <f t="shared" si="1053"/>
        <v>-187.04000000000002</v>
      </c>
      <c r="M174" s="158">
        <f t="shared" ref="M174" si="1054">SUM(M169:M173)</f>
        <v>-499.12</v>
      </c>
      <c r="N174" s="142">
        <f t="shared" si="1053"/>
        <v>-122.65249999999997</v>
      </c>
      <c r="O174" s="142">
        <f t="shared" si="1053"/>
        <v>-120.73406249999999</v>
      </c>
      <c r="P174" s="142">
        <f t="shared" si="1053"/>
        <v>-118.15082031249997</v>
      </c>
      <c r="Q174" s="142">
        <f t="shared" si="1053"/>
        <v>-117.25717285156247</v>
      </c>
      <c r="R174" s="158">
        <f t="shared" ref="R174" si="1055">SUM(R169:R173)</f>
        <v>-478.7945556640625</v>
      </c>
      <c r="S174" s="142">
        <f t="shared" ref="S174:W174" si="1056">SUM(S169:S173)</f>
        <v>-122.2393194580078</v>
      </c>
      <c r="T174" s="142">
        <f t="shared" si="1056"/>
        <v>-128.56923439025877</v>
      </c>
      <c r="U174" s="142">
        <f t="shared" si="1056"/>
        <v>-136.29038868904112</v>
      </c>
      <c r="V174" s="142">
        <f t="shared" si="1056"/>
        <v>-131.61668727517127</v>
      </c>
      <c r="W174" s="158">
        <f t="shared" si="1056"/>
        <v>-518.71562981247894</v>
      </c>
      <c r="X174" s="142">
        <f t="shared" ref="X174:AB174" si="1057">SUM(X169:X173)</f>
        <v>-124.68877318456768</v>
      </c>
      <c r="Y174" s="142">
        <f t="shared" si="1057"/>
        <v>-124.94330733263865</v>
      </c>
      <c r="Z174" s="142">
        <f t="shared" si="1057"/>
        <v>-125.46946293671846</v>
      </c>
      <c r="AA174" s="142">
        <f t="shared" si="1057"/>
        <v>-126.38429326474576</v>
      </c>
      <c r="AB174" s="158">
        <f t="shared" si="1057"/>
        <v>-501.4858367186705</v>
      </c>
      <c r="AC174" s="142">
        <f t="shared" ref="AC174:AG174" si="1058">SUM(AC169:AC173)</f>
        <v>-127.52518331639368</v>
      </c>
      <c r="AD174" s="142">
        <f t="shared" si="1058"/>
        <v>-128.18591629869192</v>
      </c>
      <c r="AE174" s="142">
        <f t="shared" si="1058"/>
        <v>-128.13800153724605</v>
      </c>
      <c r="AF174" s="714">
        <f t="shared" si="1058"/>
        <v>-127.1189531432717</v>
      </c>
      <c r="AG174" s="714">
        <f t="shared" si="1058"/>
        <v>-510.96805429560334</v>
      </c>
      <c r="AH174" s="142">
        <f t="shared" ref="AH174:AL174" si="1059">SUM(AH169:AH173)</f>
        <v>-126.55673637678426</v>
      </c>
      <c r="AI174" s="142">
        <f t="shared" si="1059"/>
        <v>-126.79023177581131</v>
      </c>
      <c r="AJ174" s="142">
        <f t="shared" si="1059"/>
        <v>-127.0210973312079</v>
      </c>
      <c r="AK174" s="714">
        <f t="shared" si="1059"/>
        <v>-127.21505163051907</v>
      </c>
      <c r="AL174" s="714">
        <f t="shared" si="1059"/>
        <v>-507.58311711432259</v>
      </c>
    </row>
    <row r="175" spans="1:38" s="137" customFormat="1" ht="18" outlineLevel="1" x14ac:dyDescent="0.35">
      <c r="B175" s="281" t="s">
        <v>288</v>
      </c>
      <c r="C175" s="282"/>
      <c r="D175" s="143">
        <v>0</v>
      </c>
      <c r="E175" s="143">
        <v>0</v>
      </c>
      <c r="F175" s="143">
        <v>0</v>
      </c>
      <c r="G175" s="143">
        <v>0</v>
      </c>
      <c r="H175" s="140"/>
      <c r="I175" s="143">
        <v>0</v>
      </c>
      <c r="J175" s="143">
        <v>0</v>
      </c>
      <c r="K175" s="143">
        <v>0</v>
      </c>
      <c r="L175" s="143">
        <v>0</v>
      </c>
      <c r="M175" s="140"/>
      <c r="N175" s="143">
        <v>0</v>
      </c>
      <c r="O175" s="143">
        <v>0</v>
      </c>
      <c r="P175" s="143">
        <v>0</v>
      </c>
      <c r="Q175" s="143">
        <v>0</v>
      </c>
      <c r="R175" s="140"/>
      <c r="S175" s="143">
        <v>0</v>
      </c>
      <c r="T175" s="143">
        <v>0</v>
      </c>
      <c r="U175" s="143">
        <v>0</v>
      </c>
      <c r="V175" s="143">
        <v>0</v>
      </c>
      <c r="W175" s="140"/>
      <c r="X175" s="143">
        <v>0</v>
      </c>
      <c r="Y175" s="143">
        <v>0</v>
      </c>
      <c r="Z175" s="143">
        <v>0</v>
      </c>
      <c r="AA175" s="143">
        <f>-AA25/13</f>
        <v>-97.073628322297637</v>
      </c>
      <c r="AB175" s="140"/>
      <c r="AC175" s="143">
        <v>0</v>
      </c>
      <c r="AD175" s="143">
        <v>0</v>
      </c>
      <c r="AE175" s="143">
        <v>0</v>
      </c>
      <c r="AF175" s="764">
        <v>0</v>
      </c>
      <c r="AG175" s="708"/>
      <c r="AH175" s="143">
        <v>0</v>
      </c>
      <c r="AI175" s="143">
        <v>0</v>
      </c>
      <c r="AJ175" s="143">
        <v>0</v>
      </c>
      <c r="AK175" s="764">
        <v>0</v>
      </c>
      <c r="AL175" s="708"/>
    </row>
    <row r="176" spans="1:38" s="152" customFormat="1" outlineLevel="1" x14ac:dyDescent="0.2">
      <c r="B176" s="285" t="s">
        <v>160</v>
      </c>
      <c r="C176" s="674"/>
      <c r="D176" s="142">
        <f t="shared" ref="D176" si="1060">-D174+D175</f>
        <v>138</v>
      </c>
      <c r="E176" s="142">
        <f t="shared" ref="E176:G176" si="1061">-E174+E175</f>
        <v>141.4</v>
      </c>
      <c r="F176" s="142">
        <f t="shared" si="1061"/>
        <v>125.30000000000001</v>
      </c>
      <c r="G176" s="142">
        <f t="shared" si="1061"/>
        <v>77.399999999999991</v>
      </c>
      <c r="H176" s="244"/>
      <c r="I176" s="142">
        <f t="shared" ref="I176:J176" si="1062">-I174+I175</f>
        <v>71.599999999999994</v>
      </c>
      <c r="J176" s="142">
        <f t="shared" si="1062"/>
        <v>66.8</v>
      </c>
      <c r="K176" s="142">
        <f>-K174+K175</f>
        <v>173.67999999999998</v>
      </c>
      <c r="L176" s="142">
        <f t="shared" ref="L176:Q176" si="1063">-L174+L175</f>
        <v>187.04000000000002</v>
      </c>
      <c r="M176" s="244"/>
      <c r="N176" s="142">
        <f t="shared" si="1063"/>
        <v>122.65249999999997</v>
      </c>
      <c r="O176" s="142">
        <f t="shared" si="1063"/>
        <v>120.73406249999999</v>
      </c>
      <c r="P176" s="142">
        <f t="shared" si="1063"/>
        <v>118.15082031249997</v>
      </c>
      <c r="Q176" s="142">
        <f t="shared" si="1063"/>
        <v>117.25717285156247</v>
      </c>
      <c r="R176" s="244"/>
      <c r="S176" s="142">
        <f t="shared" ref="S176" si="1064">-S174+S175</f>
        <v>122.2393194580078</v>
      </c>
      <c r="T176" s="142">
        <f t="shared" ref="T176" si="1065">-T174+T175</f>
        <v>128.56923439025877</v>
      </c>
      <c r="U176" s="142">
        <f t="shared" ref="U176" si="1066">-U174+U175</f>
        <v>136.29038868904112</v>
      </c>
      <c r="V176" s="142">
        <f t="shared" ref="V176" si="1067">-V174+V175</f>
        <v>131.61668727517127</v>
      </c>
      <c r="W176" s="244"/>
      <c r="X176" s="142">
        <f t="shared" ref="X176" si="1068">-X174+X175</f>
        <v>124.68877318456768</v>
      </c>
      <c r="Y176" s="142">
        <f t="shared" ref="Y176" si="1069">-Y174+Y175</f>
        <v>124.94330733263865</v>
      </c>
      <c r="Z176" s="142">
        <f t="shared" ref="Z176" si="1070">-Z174+Z175</f>
        <v>125.46946293671846</v>
      </c>
      <c r="AA176" s="142">
        <f t="shared" ref="AA176" si="1071">-AA174+AA175</f>
        <v>29.310664942448128</v>
      </c>
      <c r="AB176" s="244"/>
      <c r="AC176" s="142">
        <f t="shared" ref="AC176" si="1072">-AC174+AC175</f>
        <v>127.52518331639368</v>
      </c>
      <c r="AD176" s="142">
        <f t="shared" ref="AD176" si="1073">-AD174+AD175</f>
        <v>128.18591629869192</v>
      </c>
      <c r="AE176" s="142">
        <f t="shared" ref="AE176" si="1074">-AE174+AE175</f>
        <v>128.13800153724605</v>
      </c>
      <c r="AF176" s="714">
        <f t="shared" ref="AF176" si="1075">-AF174+AF175</f>
        <v>127.1189531432717</v>
      </c>
      <c r="AG176" s="709"/>
      <c r="AH176" s="142">
        <f t="shared" ref="AH176" si="1076">-AH174+AH175</f>
        <v>126.55673637678426</v>
      </c>
      <c r="AI176" s="142">
        <f t="shared" ref="AI176" si="1077">-AI174+AI175</f>
        <v>126.79023177581131</v>
      </c>
      <c r="AJ176" s="142">
        <f t="shared" ref="AJ176" si="1078">-AJ174+AJ175</f>
        <v>127.0210973312079</v>
      </c>
      <c r="AK176" s="714">
        <f t="shared" ref="AK176" si="1079">-AK174+AK175</f>
        <v>127.21505163051907</v>
      </c>
      <c r="AL176" s="709"/>
    </row>
    <row r="177" spans="1:38" s="137" customFormat="1" outlineLevel="1" x14ac:dyDescent="0.2">
      <c r="B177" s="281" t="s">
        <v>161</v>
      </c>
      <c r="C177" s="282"/>
      <c r="D177" s="144">
        <v>0</v>
      </c>
      <c r="E177" s="139">
        <f>-0.02*E39</f>
        <v>-25.014000000000003</v>
      </c>
      <c r="F177" s="139">
        <f>0.49*F39</f>
        <v>599.27</v>
      </c>
      <c r="G177" s="139">
        <v>0</v>
      </c>
      <c r="H177" s="140"/>
      <c r="I177" s="139">
        <v>0</v>
      </c>
      <c r="J177" s="139">
        <v>0</v>
      </c>
      <c r="K177" s="139">
        <v>0</v>
      </c>
      <c r="L177" s="139">
        <v>0</v>
      </c>
      <c r="M177" s="140"/>
      <c r="N177" s="139">
        <v>0</v>
      </c>
      <c r="O177" s="139">
        <v>0</v>
      </c>
      <c r="P177" s="139">
        <v>0</v>
      </c>
      <c r="Q177" s="139">
        <v>0</v>
      </c>
      <c r="R177" s="140"/>
      <c r="S177" s="139">
        <v>0</v>
      </c>
      <c r="T177" s="139">
        <v>0</v>
      </c>
      <c r="U177" s="139">
        <v>0</v>
      </c>
      <c r="V177" s="139">
        <v>0</v>
      </c>
      <c r="W177" s="140"/>
      <c r="X177" s="139">
        <v>0</v>
      </c>
      <c r="Y177" s="139">
        <v>0</v>
      </c>
      <c r="Z177" s="139">
        <v>0</v>
      </c>
      <c r="AA177" s="139">
        <v>0</v>
      </c>
      <c r="AB177" s="140"/>
      <c r="AC177" s="139">
        <v>0</v>
      </c>
      <c r="AD177" s="139">
        <v>0</v>
      </c>
      <c r="AE177" s="139">
        <v>0</v>
      </c>
      <c r="AF177" s="708">
        <v>0</v>
      </c>
      <c r="AG177" s="708"/>
      <c r="AH177" s="139">
        <v>0</v>
      </c>
      <c r="AI177" s="139">
        <v>0</v>
      </c>
      <c r="AJ177" s="139">
        <v>0</v>
      </c>
      <c r="AK177" s="708">
        <v>0</v>
      </c>
      <c r="AL177" s="708"/>
    </row>
    <row r="178" spans="1:38" s="137" customFormat="1" outlineLevel="1" x14ac:dyDescent="0.2">
      <c r="B178" s="312" t="s">
        <v>167</v>
      </c>
      <c r="C178" s="313"/>
      <c r="D178" s="144">
        <v>-41.449999999998646</v>
      </c>
      <c r="E178" s="139">
        <v>79.193999999999548</v>
      </c>
      <c r="F178" s="139">
        <v>-55.109999999999197</v>
      </c>
      <c r="G178" s="139">
        <v>30</v>
      </c>
      <c r="H178" s="140"/>
      <c r="I178" s="139">
        <v>11</v>
      </c>
      <c r="J178" s="139">
        <v>23</v>
      </c>
      <c r="K178" s="139">
        <f>0.03*K39</f>
        <v>35.055</v>
      </c>
      <c r="L178" s="139">
        <v>47</v>
      </c>
      <c r="M178" s="140"/>
      <c r="N178" s="139">
        <f>N179*N176</f>
        <v>24.530499999999996</v>
      </c>
      <c r="O178" s="139">
        <f t="shared" ref="O178:Q178" si="1080">O179*O176</f>
        <v>24.146812499999999</v>
      </c>
      <c r="P178" s="139">
        <f t="shared" si="1080"/>
        <v>23.630164062499997</v>
      </c>
      <c r="Q178" s="139">
        <f>Q179*Q176</f>
        <v>23.451434570312497</v>
      </c>
      <c r="R178" s="140"/>
      <c r="S178" s="139">
        <f>S179*S176</f>
        <v>24.44786389160156</v>
      </c>
      <c r="T178" s="139">
        <f t="shared" ref="T178" si="1081">T179*T176</f>
        <v>25.713846878051754</v>
      </c>
      <c r="U178" s="139">
        <f t="shared" ref="U178" si="1082">U179*U176</f>
        <v>27.258077737808225</v>
      </c>
      <c r="V178" s="139">
        <f t="shared" ref="V178" si="1083">V179*V176</f>
        <v>26.323337455034256</v>
      </c>
      <c r="W178" s="140"/>
      <c r="X178" s="139">
        <f>X179*X176</f>
        <v>24.937754636913539</v>
      </c>
      <c r="Y178" s="139">
        <f t="shared" ref="Y178" si="1084">Y179*Y176</f>
        <v>24.988661466527731</v>
      </c>
      <c r="Z178" s="139">
        <f t="shared" ref="Z178" si="1085">Z179*Z176</f>
        <v>25.093892587343692</v>
      </c>
      <c r="AA178" s="139">
        <f t="shared" ref="AA178" si="1086">AA179*AA176</f>
        <v>5.8621329884896261</v>
      </c>
      <c r="AB178" s="140"/>
      <c r="AC178" s="139">
        <f>AC179*AC176</f>
        <v>25.505036663278737</v>
      </c>
      <c r="AD178" s="139">
        <f t="shared" ref="AD178" si="1087">AD179*AD176</f>
        <v>25.637183259738386</v>
      </c>
      <c r="AE178" s="139">
        <f t="shared" ref="AE178" si="1088">AE179*AE176</f>
        <v>25.627600307449214</v>
      </c>
      <c r="AF178" s="708">
        <f t="shared" ref="AF178" si="1089">AF179*AF176</f>
        <v>25.423790628654341</v>
      </c>
      <c r="AG178" s="708"/>
      <c r="AH178" s="139">
        <f>AH179*AH176</f>
        <v>25.311347275356852</v>
      </c>
      <c r="AI178" s="139">
        <f t="shared" ref="AI178" si="1090">AI179*AI176</f>
        <v>25.358046355162262</v>
      </c>
      <c r="AJ178" s="139">
        <f t="shared" ref="AJ178" si="1091">AJ179*AJ176</f>
        <v>25.404219466241582</v>
      </c>
      <c r="AK178" s="708">
        <f t="shared" ref="AK178" si="1092">AK179*AK176</f>
        <v>25.443010326103817</v>
      </c>
      <c r="AL178" s="708"/>
    </row>
    <row r="179" spans="1:38" s="137" customFormat="1" outlineLevel="1" x14ac:dyDescent="0.2">
      <c r="B179" s="283" t="s">
        <v>168</v>
      </c>
      <c r="C179" s="284"/>
      <c r="D179" s="669">
        <f t="shared" ref="D179:G179" si="1093">D178/D176</f>
        <v>-0.30036231884056991</v>
      </c>
      <c r="E179" s="669">
        <f t="shared" si="1093"/>
        <v>0.56007072135784686</v>
      </c>
      <c r="F179" s="669">
        <f t="shared" si="1093"/>
        <v>-0.43982442138866074</v>
      </c>
      <c r="G179" s="669">
        <f t="shared" si="1093"/>
        <v>0.38759689922480622</v>
      </c>
      <c r="H179" s="271"/>
      <c r="I179" s="669">
        <f t="shared" ref="I179:K179" si="1094">I178/I176</f>
        <v>0.15363128491620112</v>
      </c>
      <c r="J179" s="669">
        <f t="shared" si="1094"/>
        <v>0.34431137724550898</v>
      </c>
      <c r="K179" s="669">
        <f t="shared" si="1094"/>
        <v>0.20183671119299865</v>
      </c>
      <c r="L179" s="669">
        <v>0.25</v>
      </c>
      <c r="M179" s="140"/>
      <c r="N179" s="669">
        <v>0.2</v>
      </c>
      <c r="O179" s="669">
        <v>0.2</v>
      </c>
      <c r="P179" s="669">
        <v>0.2</v>
      </c>
      <c r="Q179" s="669">
        <v>0.2</v>
      </c>
      <c r="R179" s="271"/>
      <c r="S179" s="669">
        <v>0.2</v>
      </c>
      <c r="T179" s="669">
        <v>0.2</v>
      </c>
      <c r="U179" s="669">
        <v>0.2</v>
      </c>
      <c r="V179" s="669">
        <v>0.2</v>
      </c>
      <c r="W179" s="140"/>
      <c r="X179" s="669">
        <v>0.2</v>
      </c>
      <c r="Y179" s="669">
        <v>0.2</v>
      </c>
      <c r="Z179" s="669">
        <v>0.2</v>
      </c>
      <c r="AA179" s="669">
        <v>0.2</v>
      </c>
      <c r="AB179" s="271"/>
      <c r="AC179" s="669">
        <v>0.2</v>
      </c>
      <c r="AD179" s="669">
        <v>0.2</v>
      </c>
      <c r="AE179" s="669">
        <v>0.2</v>
      </c>
      <c r="AF179" s="771">
        <v>0.2</v>
      </c>
      <c r="AG179" s="757"/>
      <c r="AH179" s="669">
        <v>0.2</v>
      </c>
      <c r="AI179" s="669">
        <v>0.2</v>
      </c>
      <c r="AJ179" s="669">
        <v>0.2</v>
      </c>
      <c r="AK179" s="771">
        <v>0.2</v>
      </c>
      <c r="AL179" s="757"/>
    </row>
    <row r="180" spans="1:38" x14ac:dyDescent="0.2">
      <c r="A180" s="137"/>
      <c r="B180" s="12"/>
      <c r="C180" s="12"/>
      <c r="D180" s="122"/>
      <c r="E180" s="71"/>
      <c r="F180" s="71"/>
      <c r="G180" s="71"/>
      <c r="H180" s="71"/>
      <c r="I180" s="71"/>
      <c r="J180" s="71"/>
      <c r="K180" s="71"/>
      <c r="L180" s="71"/>
      <c r="M180" s="775"/>
      <c r="N180" s="16"/>
      <c r="P180" s="1"/>
      <c r="Q180" s="1"/>
      <c r="R180" s="71"/>
      <c r="U180" s="1"/>
      <c r="V180" s="1"/>
      <c r="W180" s="775"/>
      <c r="Z180" s="1"/>
      <c r="AA180" s="1"/>
      <c r="AB180" s="71"/>
      <c r="AE180" s="1"/>
      <c r="AF180" s="1"/>
      <c r="AG180" s="71"/>
      <c r="AJ180" s="1"/>
      <c r="AK180" s="1"/>
      <c r="AL180" s="71"/>
    </row>
    <row r="181" spans="1:38" ht="16" x14ac:dyDescent="0.2">
      <c r="A181" s="137"/>
      <c r="B181" s="314" t="s">
        <v>70</v>
      </c>
      <c r="C181" s="315"/>
      <c r="D181" s="21" t="s">
        <v>59</v>
      </c>
      <c r="E181" s="21" t="s">
        <v>212</v>
      </c>
      <c r="F181" s="21" t="s">
        <v>214</v>
      </c>
      <c r="G181" s="21" t="s">
        <v>73</v>
      </c>
      <c r="H181" s="66" t="s">
        <v>73</v>
      </c>
      <c r="I181" s="21" t="s">
        <v>74</v>
      </c>
      <c r="J181" s="21" t="s">
        <v>75</v>
      </c>
      <c r="K181" s="21" t="s">
        <v>76</v>
      </c>
      <c r="L181" s="23" t="s">
        <v>77</v>
      </c>
      <c r="M181" s="774" t="s">
        <v>77</v>
      </c>
      <c r="N181" s="23" t="s">
        <v>78</v>
      </c>
      <c r="O181" s="23" t="s">
        <v>79</v>
      </c>
      <c r="P181" s="23" t="s">
        <v>80</v>
      </c>
      <c r="Q181" s="23" t="s">
        <v>81</v>
      </c>
      <c r="R181" s="68" t="s">
        <v>81</v>
      </c>
      <c r="S181" s="23" t="s">
        <v>82</v>
      </c>
      <c r="T181" s="23" t="s">
        <v>83</v>
      </c>
      <c r="U181" s="23" t="s">
        <v>84</v>
      </c>
      <c r="V181" s="23" t="s">
        <v>85</v>
      </c>
      <c r="W181" s="774" t="s">
        <v>85</v>
      </c>
      <c r="X181" s="23" t="s">
        <v>86</v>
      </c>
      <c r="Y181" s="23" t="s">
        <v>87</v>
      </c>
      <c r="Z181" s="23" t="s">
        <v>88</v>
      </c>
      <c r="AA181" s="23" t="s">
        <v>89</v>
      </c>
      <c r="AB181" s="68" t="s">
        <v>89</v>
      </c>
      <c r="AC181" s="23" t="s">
        <v>216</v>
      </c>
      <c r="AD181" s="23" t="s">
        <v>217</v>
      </c>
      <c r="AE181" s="23" t="s">
        <v>218</v>
      </c>
      <c r="AF181" s="23" t="s">
        <v>219</v>
      </c>
      <c r="AG181" s="68" t="s">
        <v>219</v>
      </c>
      <c r="AH181" s="23" t="s">
        <v>249</v>
      </c>
      <c r="AI181" s="23" t="s">
        <v>250</v>
      </c>
      <c r="AJ181" s="23" t="s">
        <v>251</v>
      </c>
      <c r="AK181" s="23" t="s">
        <v>252</v>
      </c>
      <c r="AL181" s="68" t="s">
        <v>252</v>
      </c>
    </row>
    <row r="182" spans="1:38" ht="18" x14ac:dyDescent="0.35">
      <c r="A182" s="137"/>
      <c r="B182" s="53" t="s">
        <v>3</v>
      </c>
      <c r="C182" s="70"/>
      <c r="D182" s="22" t="s">
        <v>72</v>
      </c>
      <c r="E182" s="22" t="s">
        <v>211</v>
      </c>
      <c r="F182" s="22" t="s">
        <v>215</v>
      </c>
      <c r="G182" s="22" t="s">
        <v>225</v>
      </c>
      <c r="H182" s="67" t="s">
        <v>226</v>
      </c>
      <c r="I182" s="22" t="s">
        <v>227</v>
      </c>
      <c r="J182" s="22" t="s">
        <v>228</v>
      </c>
      <c r="K182" s="22" t="s">
        <v>229</v>
      </c>
      <c r="L182" s="20" t="s">
        <v>90</v>
      </c>
      <c r="M182" s="69" t="s">
        <v>91</v>
      </c>
      <c r="N182" s="20" t="s">
        <v>92</v>
      </c>
      <c r="O182" s="20" t="s">
        <v>93</v>
      </c>
      <c r="P182" s="20" t="s">
        <v>94</v>
      </c>
      <c r="Q182" s="20" t="s">
        <v>95</v>
      </c>
      <c r="R182" s="69" t="s">
        <v>96</v>
      </c>
      <c r="S182" s="20" t="s">
        <v>97</v>
      </c>
      <c r="T182" s="20" t="s">
        <v>98</v>
      </c>
      <c r="U182" s="20" t="s">
        <v>99</v>
      </c>
      <c r="V182" s="20" t="s">
        <v>100</v>
      </c>
      <c r="W182" s="69" t="s">
        <v>101</v>
      </c>
      <c r="X182" s="20" t="s">
        <v>102</v>
      </c>
      <c r="Y182" s="20" t="s">
        <v>103</v>
      </c>
      <c r="Z182" s="20" t="s">
        <v>104</v>
      </c>
      <c r="AA182" s="20" t="s">
        <v>105</v>
      </c>
      <c r="AB182" s="69" t="s">
        <v>106</v>
      </c>
      <c r="AC182" s="20" t="s">
        <v>220</v>
      </c>
      <c r="AD182" s="20" t="s">
        <v>221</v>
      </c>
      <c r="AE182" s="20" t="s">
        <v>222</v>
      </c>
      <c r="AF182" s="20" t="s">
        <v>223</v>
      </c>
      <c r="AG182" s="69" t="s">
        <v>224</v>
      </c>
      <c r="AH182" s="20" t="s">
        <v>253</v>
      </c>
      <c r="AI182" s="20" t="s">
        <v>254</v>
      </c>
      <c r="AJ182" s="20" t="s">
        <v>255</v>
      </c>
      <c r="AK182" s="20" t="s">
        <v>256</v>
      </c>
      <c r="AL182" s="69" t="s">
        <v>257</v>
      </c>
    </row>
    <row r="183" spans="1:38" ht="14.5" customHeight="1" x14ac:dyDescent="0.2">
      <c r="A183" s="137"/>
      <c r="B183" s="314" t="s">
        <v>6</v>
      </c>
      <c r="C183" s="315"/>
      <c r="D183" s="21"/>
      <c r="E183" s="21"/>
      <c r="F183" s="21"/>
      <c r="G183" s="186"/>
      <c r="H183" s="187"/>
      <c r="I183" s="186"/>
      <c r="J183" s="21"/>
      <c r="K183" s="21"/>
      <c r="L183" s="23"/>
      <c r="M183" s="68"/>
      <c r="N183" s="23"/>
      <c r="O183" s="23"/>
      <c r="P183" s="23"/>
      <c r="Q183" s="23"/>
      <c r="R183" s="68"/>
      <c r="S183" s="23"/>
      <c r="T183" s="23"/>
      <c r="U183" s="23"/>
      <c r="V183" s="23"/>
      <c r="W183" s="68"/>
      <c r="X183" s="23"/>
      <c r="Y183" s="23"/>
      <c r="Z183" s="23"/>
      <c r="AA183" s="23"/>
      <c r="AB183" s="68"/>
      <c r="AC183" s="23"/>
      <c r="AD183" s="23"/>
      <c r="AE183" s="23"/>
      <c r="AF183" s="23"/>
      <c r="AG183" s="68"/>
      <c r="AH183" s="23"/>
      <c r="AI183" s="23"/>
      <c r="AJ183" s="23"/>
      <c r="AK183" s="23"/>
      <c r="AL183" s="68"/>
    </row>
    <row r="184" spans="1:38" s="137" customFormat="1" ht="14.5" customHeight="1" outlineLevel="1" x14ac:dyDescent="0.2">
      <c r="B184" s="312" t="s">
        <v>26</v>
      </c>
      <c r="C184" s="313"/>
      <c r="D184" s="139">
        <f>D276</f>
        <v>4761.6000000000004</v>
      </c>
      <c r="E184" s="139">
        <f t="shared" ref="E184:G184" si="1095">E276</f>
        <v>2055.1000000000004</v>
      </c>
      <c r="F184" s="139">
        <f t="shared" si="1095"/>
        <v>4763.4000000000015</v>
      </c>
      <c r="G184" s="139">
        <f t="shared" si="1095"/>
        <v>2686.6000000000022</v>
      </c>
      <c r="H184" s="140">
        <f>G184</f>
        <v>2686.6000000000022</v>
      </c>
      <c r="I184" s="139">
        <f>I276</f>
        <v>3040.5000000000036</v>
      </c>
      <c r="J184" s="139">
        <f>J276</f>
        <v>2572.3000000000029</v>
      </c>
      <c r="K184" s="139">
        <f>K276</f>
        <v>3965.9000000000042</v>
      </c>
      <c r="L184" s="139">
        <f>L276</f>
        <v>3589.3155369287388</v>
      </c>
      <c r="M184" s="140">
        <f>L184</f>
        <v>3589.3155369287388</v>
      </c>
      <c r="N184" s="139">
        <f t="shared" ref="N184:AK184" si="1096">N276</f>
        <v>3713.4551433394099</v>
      </c>
      <c r="O184" s="139">
        <f t="shared" si="1096"/>
        <v>3265.0203911335352</v>
      </c>
      <c r="P184" s="139">
        <f t="shared" si="1096"/>
        <v>3138.8213237770406</v>
      </c>
      <c r="Q184" s="139">
        <f t="shared" si="1096"/>
        <v>2447.0563394253941</v>
      </c>
      <c r="R184" s="140">
        <f>Q184</f>
        <v>2447.0563394253941</v>
      </c>
      <c r="S184" s="139">
        <f t="shared" si="1096"/>
        <v>2686.3495661861598</v>
      </c>
      <c r="T184" s="139">
        <f t="shared" si="1096"/>
        <v>2362.5623286381365</v>
      </c>
      <c r="U184" s="139">
        <f t="shared" si="1096"/>
        <v>2299.3385387171766</v>
      </c>
      <c r="V184" s="139">
        <f t="shared" si="1096"/>
        <v>1869.0613060189787</v>
      </c>
      <c r="W184" s="140">
        <f>V184</f>
        <v>1869.0613060189787</v>
      </c>
      <c r="X184" s="139">
        <f t="shared" si="1096"/>
        <v>2527.9943041217389</v>
      </c>
      <c r="Y184" s="139">
        <f t="shared" si="1096"/>
        <v>2238.1402704652551</v>
      </c>
      <c r="Z184" s="139">
        <f t="shared" si="1096"/>
        <v>2225.4536328373506</v>
      </c>
      <c r="AA184" s="139">
        <f t="shared" si="1096"/>
        <v>1828.4112699516759</v>
      </c>
      <c r="AB184" s="140">
        <f>AA184</f>
        <v>1828.4112699516759</v>
      </c>
      <c r="AC184" s="139">
        <f t="shared" si="1096"/>
        <v>2248.3497137293916</v>
      </c>
      <c r="AD184" s="139">
        <f t="shared" si="1096"/>
        <v>1859.2915907221238</v>
      </c>
      <c r="AE184" s="139">
        <f t="shared" si="1096"/>
        <v>1769.5508397311053</v>
      </c>
      <c r="AF184" s="139">
        <f t="shared" si="1096"/>
        <v>1276.4947464202446</v>
      </c>
      <c r="AG184" s="140">
        <f>AF184</f>
        <v>1276.4947464202446</v>
      </c>
      <c r="AH184" s="139">
        <f t="shared" si="1096"/>
        <v>1446.7044427681453</v>
      </c>
      <c r="AI184" s="139">
        <f t="shared" si="1096"/>
        <v>744.2657145218609</v>
      </c>
      <c r="AJ184" s="139">
        <f t="shared" si="1096"/>
        <v>366.10423588843128</v>
      </c>
      <c r="AK184" s="139">
        <f t="shared" si="1096"/>
        <v>-435.28089981606695</v>
      </c>
      <c r="AL184" s="140">
        <f>AK184</f>
        <v>-435.28089981606695</v>
      </c>
    </row>
    <row r="185" spans="1:38" s="137" customFormat="1" ht="14.5" customHeight="1" outlineLevel="1" x14ac:dyDescent="0.2">
      <c r="B185" s="281" t="s">
        <v>169</v>
      </c>
      <c r="C185" s="282"/>
      <c r="D185" s="139">
        <v>230.2</v>
      </c>
      <c r="E185" s="139">
        <v>76.599999999999994</v>
      </c>
      <c r="F185" s="139">
        <v>72.099999999999994</v>
      </c>
      <c r="G185" s="139">
        <v>70.5</v>
      </c>
      <c r="H185" s="140">
        <f>+G185</f>
        <v>70.5</v>
      </c>
      <c r="I185" s="139">
        <v>68.400000000000006</v>
      </c>
      <c r="J185" s="139">
        <v>52.9</v>
      </c>
      <c r="K185" s="139">
        <v>229.9</v>
      </c>
      <c r="L185" s="139">
        <f>L231*L220*L232</f>
        <v>85.330848511219784</v>
      </c>
      <c r="M185" s="140">
        <f t="shared" ref="M185:M189" si="1097">L185</f>
        <v>85.330848511219784</v>
      </c>
      <c r="N185" s="139">
        <f t="shared" ref="N185:Q185" si="1098">N231*N220*N232</f>
        <v>85.895675894215969</v>
      </c>
      <c r="O185" s="139">
        <f t="shared" si="1098"/>
        <v>83.071317520393308</v>
      </c>
      <c r="P185" s="139">
        <f t="shared" si="1098"/>
        <v>80.155647708335366</v>
      </c>
      <c r="Q185" s="139">
        <f t="shared" si="1098"/>
        <v>79.815154407256301</v>
      </c>
      <c r="R185" s="140">
        <f t="shared" ref="R185:R189" si="1099">Q185</f>
        <v>79.815154407256301</v>
      </c>
      <c r="S185" s="139">
        <f t="shared" ref="S185:V185" si="1100">S231*S220*S232</f>
        <v>81.908997129185892</v>
      </c>
      <c r="T185" s="139">
        <f t="shared" si="1100"/>
        <v>79.743446278100691</v>
      </c>
      <c r="U185" s="139">
        <f t="shared" si="1100"/>
        <v>77.241940569251298</v>
      </c>
      <c r="V185" s="139">
        <f t="shared" si="1100"/>
        <v>78.238533426052811</v>
      </c>
      <c r="W185" s="140">
        <f t="shared" ref="W185:W189" si="1101">V185</f>
        <v>78.238533426052811</v>
      </c>
      <c r="X185" s="139">
        <f t="shared" ref="X185:AA185" si="1102">X231*X220*X232</f>
        <v>81.113408052690701</v>
      </c>
      <c r="Y185" s="139">
        <f t="shared" si="1102"/>
        <v>79.027413810155451</v>
      </c>
      <c r="Z185" s="139">
        <f t="shared" si="1102"/>
        <v>76.621228224301362</v>
      </c>
      <c r="AA185" s="139">
        <f t="shared" si="1102"/>
        <v>77.98579812673789</v>
      </c>
      <c r="AB185" s="140">
        <f t="shared" ref="AB185:AB189" si="1103">AA185</f>
        <v>77.98579812673789</v>
      </c>
      <c r="AC185" s="139">
        <f t="shared" ref="AC185:AF185" si="1104">AC231*AC220*AC232</f>
        <v>80.861824814757952</v>
      </c>
      <c r="AD185" s="139">
        <f t="shared" si="1104"/>
        <v>78.431070425892671</v>
      </c>
      <c r="AE185" s="139">
        <f t="shared" si="1104"/>
        <v>75.696997507437189</v>
      </c>
      <c r="AF185" s="139">
        <f t="shared" si="1104"/>
        <v>77.035442193750981</v>
      </c>
      <c r="AG185" s="140">
        <f t="shared" ref="AG185:AG189" si="1105">AF185</f>
        <v>77.035442193750981</v>
      </c>
      <c r="AH185" s="139">
        <f t="shared" ref="AH185:AK185" si="1106">AH231*AH220*AH232</f>
        <v>79.331307844284055</v>
      </c>
      <c r="AI185" s="139">
        <f t="shared" si="1106"/>
        <v>75.884242108338796</v>
      </c>
      <c r="AJ185" s="139">
        <f t="shared" si="1106"/>
        <v>72.158441888076169</v>
      </c>
      <c r="AK185" s="139">
        <f t="shared" si="1106"/>
        <v>72.824472327012955</v>
      </c>
      <c r="AL185" s="140">
        <f t="shared" ref="AL185:AL189" si="1107">AK185</f>
        <v>72.824472327012955</v>
      </c>
    </row>
    <row r="186" spans="1:38" s="196" customFormat="1" ht="14.5" customHeight="1" outlineLevel="1" x14ac:dyDescent="0.2">
      <c r="B186" s="312" t="s">
        <v>170</v>
      </c>
      <c r="C186" s="313"/>
      <c r="D186" s="139">
        <v>721.4</v>
      </c>
      <c r="E186" s="139">
        <v>703.6</v>
      </c>
      <c r="F186" s="139">
        <v>790.6</v>
      </c>
      <c r="G186" s="139">
        <v>879</v>
      </c>
      <c r="H186" s="140">
        <f>G186</f>
        <v>879</v>
      </c>
      <c r="I186" s="139">
        <v>908.1</v>
      </c>
      <c r="J186" s="139">
        <v>941</v>
      </c>
      <c r="K186" s="139">
        <v>881.1</v>
      </c>
      <c r="L186" s="139">
        <f>L16/L225</f>
        <v>898.68531828239952</v>
      </c>
      <c r="M186" s="140">
        <f t="shared" si="1097"/>
        <v>898.68531828239952</v>
      </c>
      <c r="N186" s="139">
        <f t="shared" ref="N186:Q186" si="1108">N16/N225</f>
        <v>980.51225047735784</v>
      </c>
      <c r="O186" s="139">
        <f t="shared" si="1108"/>
        <v>897.45779231036374</v>
      </c>
      <c r="P186" s="139">
        <f t="shared" si="1108"/>
        <v>651.98171988879142</v>
      </c>
      <c r="Q186" s="139">
        <f t="shared" si="1108"/>
        <v>877.08117600845048</v>
      </c>
      <c r="R186" s="140">
        <f t="shared" si="1099"/>
        <v>877.08117600845048</v>
      </c>
      <c r="S186" s="139">
        <f t="shared" ref="S186:V186" si="1109">S16/S225</f>
        <v>1074.4746526800707</v>
      </c>
      <c r="T186" s="139">
        <f t="shared" si="1109"/>
        <v>981.0656037362462</v>
      </c>
      <c r="U186" s="139">
        <f t="shared" si="1109"/>
        <v>718.61886955552404</v>
      </c>
      <c r="V186" s="139">
        <f t="shared" si="1109"/>
        <v>962.3589544509332</v>
      </c>
      <c r="W186" s="140">
        <f t="shared" si="1101"/>
        <v>962.3589544509332</v>
      </c>
      <c r="X186" s="139">
        <f t="shared" ref="X186:AA186" si="1110">X16/X225</f>
        <v>1157.2096855125696</v>
      </c>
      <c r="Y186" s="139">
        <f t="shared" si="1110"/>
        <v>1051.5786595012094</v>
      </c>
      <c r="Z186" s="139">
        <f t="shared" si="1110"/>
        <v>769.42791174221463</v>
      </c>
      <c r="AA186" s="139">
        <f t="shared" si="1110"/>
        <v>1032.712814414253</v>
      </c>
      <c r="AB186" s="140">
        <f t="shared" si="1103"/>
        <v>1032.712814414253</v>
      </c>
      <c r="AC186" s="139">
        <f t="shared" ref="AC186:AF186" si="1111">AC16/AC225</f>
        <v>1239.651722727325</v>
      </c>
      <c r="AD186" s="139">
        <f t="shared" si="1111"/>
        <v>1123.3844390746526</v>
      </c>
      <c r="AE186" s="139">
        <f t="shared" si="1111"/>
        <v>821.33228738401635</v>
      </c>
      <c r="AF186" s="139">
        <f t="shared" si="1111"/>
        <v>1105.0745752766986</v>
      </c>
      <c r="AG186" s="140">
        <f t="shared" si="1105"/>
        <v>1105.0745752766986</v>
      </c>
      <c r="AH186" s="139">
        <f t="shared" ref="AH186:AK186" si="1112">AH16/AH225</f>
        <v>1326.2498852685026</v>
      </c>
      <c r="AI186" s="139">
        <f t="shared" si="1112"/>
        <v>1198.8749338430457</v>
      </c>
      <c r="AJ186" s="139">
        <f t="shared" si="1112"/>
        <v>876.00311320120898</v>
      </c>
      <c r="AK186" s="708">
        <f t="shared" si="1112"/>
        <v>1181.4884348236922</v>
      </c>
      <c r="AL186" s="708">
        <f t="shared" si="1107"/>
        <v>1181.4884348236922</v>
      </c>
    </row>
    <row r="187" spans="1:38" s="196" customFormat="1" ht="14.5" customHeight="1" outlineLevel="1" x14ac:dyDescent="0.2">
      <c r="B187" s="281" t="s">
        <v>171</v>
      </c>
      <c r="C187" s="282"/>
      <c r="D187" s="139">
        <v>1354.6</v>
      </c>
      <c r="E187" s="139">
        <v>1443</v>
      </c>
      <c r="F187" s="139">
        <v>1517.2</v>
      </c>
      <c r="G187" s="139">
        <v>1529.4</v>
      </c>
      <c r="H187" s="140">
        <f>G187</f>
        <v>1529.4</v>
      </c>
      <c r="I187" s="139">
        <v>1408.7</v>
      </c>
      <c r="J187" s="139">
        <v>1492.2</v>
      </c>
      <c r="K187" s="139">
        <v>1583.8</v>
      </c>
      <c r="L187" s="139">
        <f>L17/L227</f>
        <v>1705.9696729110906</v>
      </c>
      <c r="M187" s="140">
        <f t="shared" si="1097"/>
        <v>1705.9696729110906</v>
      </c>
      <c r="N187" s="139">
        <f t="shared" ref="N187:Q187" si="1113">N17/N227</f>
        <v>1720.9613467698002</v>
      </c>
      <c r="O187" s="139">
        <f t="shared" si="1113"/>
        <v>1566.3538559199619</v>
      </c>
      <c r="P187" s="139">
        <f t="shared" si="1113"/>
        <v>1246.068498662218</v>
      </c>
      <c r="Q187" s="139">
        <f t="shared" si="1113"/>
        <v>1745.0494172405827</v>
      </c>
      <c r="R187" s="140">
        <f t="shared" si="1099"/>
        <v>1745.0494172405827</v>
      </c>
      <c r="S187" s="139">
        <f t="shared" ref="S187:V187" si="1114">S17/S227</f>
        <v>1877.8586894595478</v>
      </c>
      <c r="T187" s="139">
        <f t="shared" si="1114"/>
        <v>1704.2843463426625</v>
      </c>
      <c r="U187" s="139">
        <f t="shared" si="1114"/>
        <v>1364.0926143227775</v>
      </c>
      <c r="V187" s="139">
        <f t="shared" si="1114"/>
        <v>1907.9778311467787</v>
      </c>
      <c r="W187" s="140">
        <f t="shared" si="1101"/>
        <v>1907.9778311467787</v>
      </c>
      <c r="X187" s="139">
        <f t="shared" ref="X187:AA187" si="1115">X17/X227</f>
        <v>2020.8962145460255</v>
      </c>
      <c r="Y187" s="139">
        <f t="shared" si="1115"/>
        <v>1823.2336797036401</v>
      </c>
      <c r="Z187" s="139">
        <f t="shared" si="1115"/>
        <v>1457.7552740142735</v>
      </c>
      <c r="AA187" s="139">
        <f t="shared" si="1115"/>
        <v>2044.0096982590235</v>
      </c>
      <c r="AB187" s="140">
        <f t="shared" si="1103"/>
        <v>2044.0096982590235</v>
      </c>
      <c r="AC187" s="139">
        <f t="shared" ref="AC187:AF187" si="1116">AC17/AC227</f>
        <v>2161.931255226998</v>
      </c>
      <c r="AD187" s="139">
        <f t="shared" si="1116"/>
        <v>1943.7885718496643</v>
      </c>
      <c r="AE187" s="139">
        <f t="shared" si="1116"/>
        <v>1553.3508763780535</v>
      </c>
      <c r="AF187" s="139">
        <f t="shared" si="1116"/>
        <v>2183.490297258305</v>
      </c>
      <c r="AG187" s="140">
        <f t="shared" si="1105"/>
        <v>2183.490297258305</v>
      </c>
      <c r="AH187" s="139">
        <f t="shared" ref="AH187:AK187" si="1117">AH17/AH227</f>
        <v>2310.0672108580102</v>
      </c>
      <c r="AI187" s="139">
        <f t="shared" si="1117"/>
        <v>2070.4930447605325</v>
      </c>
      <c r="AJ187" s="139">
        <f t="shared" si="1117"/>
        <v>1653.9873699387629</v>
      </c>
      <c r="AK187" s="708">
        <f t="shared" si="1117"/>
        <v>2330.6288980523295</v>
      </c>
      <c r="AL187" s="708">
        <f t="shared" si="1107"/>
        <v>2330.6288980523295</v>
      </c>
    </row>
    <row r="188" spans="1:38" s="137" customFormat="1" ht="16.25" customHeight="1" outlineLevel="1" x14ac:dyDescent="0.35">
      <c r="B188" s="312" t="s">
        <v>48</v>
      </c>
      <c r="C188" s="313"/>
      <c r="D188" s="154">
        <v>608.5</v>
      </c>
      <c r="E188" s="154">
        <v>674</v>
      </c>
      <c r="F188" s="154">
        <v>591.6</v>
      </c>
      <c r="G188" s="154">
        <v>488.2</v>
      </c>
      <c r="H188" s="243">
        <f>G188</f>
        <v>488.2</v>
      </c>
      <c r="I188" s="154">
        <v>474</v>
      </c>
      <c r="J188" s="154">
        <v>691.5</v>
      </c>
      <c r="K188" s="154">
        <v>920.3</v>
      </c>
      <c r="L188" s="154">
        <f>K188*0.85</f>
        <v>782.255</v>
      </c>
      <c r="M188" s="243">
        <f t="shared" si="1097"/>
        <v>782.255</v>
      </c>
      <c r="N188" s="154">
        <f>L188*0.9</f>
        <v>704.02949999999998</v>
      </c>
      <c r="O188" s="154">
        <f>N188*0.9</f>
        <v>633.62654999999995</v>
      </c>
      <c r="P188" s="154">
        <f>O188*0.9</f>
        <v>570.26389499999993</v>
      </c>
      <c r="Q188" s="154">
        <f>P188*0.9</f>
        <v>513.2375055</v>
      </c>
      <c r="R188" s="243">
        <f t="shared" si="1099"/>
        <v>513.2375055</v>
      </c>
      <c r="S188" s="154">
        <f>Q188*1.02</f>
        <v>523.50225561000002</v>
      </c>
      <c r="T188" s="154">
        <f>S188*1.02</f>
        <v>533.97230072219998</v>
      </c>
      <c r="U188" s="154">
        <f t="shared" ref="U188:V188" si="1118">T188*1.02</f>
        <v>544.65174673664399</v>
      </c>
      <c r="V188" s="154">
        <f t="shared" si="1118"/>
        <v>555.54478167137688</v>
      </c>
      <c r="W188" s="243">
        <f t="shared" si="1101"/>
        <v>555.54478167137688</v>
      </c>
      <c r="X188" s="154">
        <f>V188*1.02</f>
        <v>566.65567730480439</v>
      </c>
      <c r="Y188" s="154">
        <f>X188*1.02</f>
        <v>577.9887908509005</v>
      </c>
      <c r="Z188" s="154">
        <f t="shared" ref="Z188:AA188" si="1119">Y188*1.02</f>
        <v>589.54856666791852</v>
      </c>
      <c r="AA188" s="154">
        <f t="shared" si="1119"/>
        <v>601.33953800127688</v>
      </c>
      <c r="AB188" s="243">
        <f t="shared" si="1103"/>
        <v>601.33953800127688</v>
      </c>
      <c r="AC188" s="154">
        <f>AA188*1.02</f>
        <v>613.36632876130238</v>
      </c>
      <c r="AD188" s="154">
        <f>AC188*1.02</f>
        <v>625.63365533652848</v>
      </c>
      <c r="AE188" s="154">
        <f t="shared" ref="AE188:AF188" si="1120">AD188*1.02</f>
        <v>638.14632844325911</v>
      </c>
      <c r="AF188" s="154">
        <f t="shared" si="1120"/>
        <v>650.90925501212428</v>
      </c>
      <c r="AG188" s="243">
        <f t="shared" si="1105"/>
        <v>650.90925501212428</v>
      </c>
      <c r="AH188" s="154">
        <f>AF188*1.02</f>
        <v>663.92744011236675</v>
      </c>
      <c r="AI188" s="154">
        <f>AH188*1.02</f>
        <v>677.20598891461407</v>
      </c>
      <c r="AJ188" s="154">
        <f t="shared" ref="AJ188:AK188" si="1121">AI188*1.02</f>
        <v>690.75010869290634</v>
      </c>
      <c r="AK188" s="710">
        <f t="shared" si="1121"/>
        <v>704.56511086676448</v>
      </c>
      <c r="AL188" s="710">
        <f t="shared" si="1107"/>
        <v>704.56511086676448</v>
      </c>
    </row>
    <row r="189" spans="1:38" s="152" customFormat="1" ht="14.5" customHeight="1" outlineLevel="1" x14ac:dyDescent="0.2">
      <c r="B189" s="285" t="s">
        <v>4</v>
      </c>
      <c r="C189" s="286"/>
      <c r="D189" s="169">
        <f t="shared" ref="D189:AK189" si="1122">SUM(D184:D188)</f>
        <v>7676.2999999999993</v>
      </c>
      <c r="E189" s="169">
        <f t="shared" si="1122"/>
        <v>4952.3</v>
      </c>
      <c r="F189" s="169">
        <f t="shared" si="1122"/>
        <v>7734.9000000000024</v>
      </c>
      <c r="G189" s="169">
        <f t="shared" si="1122"/>
        <v>5653.7000000000016</v>
      </c>
      <c r="H189" s="244">
        <f t="shared" si="1122"/>
        <v>5653.7000000000016</v>
      </c>
      <c r="I189" s="169">
        <f t="shared" si="1122"/>
        <v>5899.7000000000035</v>
      </c>
      <c r="J189" s="169">
        <f t="shared" si="1122"/>
        <v>5749.9000000000033</v>
      </c>
      <c r="K189" s="169">
        <f t="shared" si="1122"/>
        <v>7581.0000000000045</v>
      </c>
      <c r="L189" s="169">
        <f t="shared" si="1122"/>
        <v>7061.5563766334481</v>
      </c>
      <c r="M189" s="244">
        <f t="shared" si="1097"/>
        <v>7061.5563766334481</v>
      </c>
      <c r="N189" s="169">
        <f t="shared" si="1122"/>
        <v>7204.8539164807835</v>
      </c>
      <c r="O189" s="169">
        <f t="shared" si="1122"/>
        <v>6445.5299068842533</v>
      </c>
      <c r="P189" s="169">
        <f t="shared" si="1122"/>
        <v>5687.2910850363851</v>
      </c>
      <c r="Q189" s="169">
        <f t="shared" si="1122"/>
        <v>5662.2395925816836</v>
      </c>
      <c r="R189" s="244">
        <f t="shared" si="1099"/>
        <v>5662.2395925816836</v>
      </c>
      <c r="S189" s="169">
        <f t="shared" si="1122"/>
        <v>6244.0941610649652</v>
      </c>
      <c r="T189" s="169">
        <f t="shared" si="1122"/>
        <v>5661.6280257173457</v>
      </c>
      <c r="U189" s="169">
        <f t="shared" si="1122"/>
        <v>5003.943709901373</v>
      </c>
      <c r="V189" s="169">
        <f t="shared" si="1122"/>
        <v>5373.1814067141204</v>
      </c>
      <c r="W189" s="244">
        <f t="shared" si="1101"/>
        <v>5373.1814067141204</v>
      </c>
      <c r="X189" s="169">
        <f t="shared" si="1122"/>
        <v>6353.869289537829</v>
      </c>
      <c r="Y189" s="169">
        <f t="shared" si="1122"/>
        <v>5769.9688143311614</v>
      </c>
      <c r="Z189" s="169">
        <f t="shared" si="1122"/>
        <v>5118.8066134860592</v>
      </c>
      <c r="AA189" s="169">
        <f t="shared" si="1122"/>
        <v>5584.4591187529677</v>
      </c>
      <c r="AB189" s="244">
        <f t="shared" si="1103"/>
        <v>5584.4591187529677</v>
      </c>
      <c r="AC189" s="169">
        <f t="shared" si="1122"/>
        <v>6344.1608452597748</v>
      </c>
      <c r="AD189" s="169">
        <f t="shared" si="1122"/>
        <v>5630.5293274088617</v>
      </c>
      <c r="AE189" s="169">
        <f t="shared" si="1122"/>
        <v>4858.0773294438713</v>
      </c>
      <c r="AF189" s="169">
        <f t="shared" si="1122"/>
        <v>5293.0043161611229</v>
      </c>
      <c r="AG189" s="244">
        <f t="shared" si="1105"/>
        <v>5293.0043161611229</v>
      </c>
      <c r="AH189" s="169">
        <f t="shared" si="1122"/>
        <v>5826.280286851309</v>
      </c>
      <c r="AI189" s="169">
        <f t="shared" si="1122"/>
        <v>4766.7239241483921</v>
      </c>
      <c r="AJ189" s="169">
        <f t="shared" si="1122"/>
        <v>3659.0032696093854</v>
      </c>
      <c r="AK189" s="709">
        <f t="shared" si="1122"/>
        <v>3854.2260162537323</v>
      </c>
      <c r="AL189" s="709">
        <f t="shared" si="1107"/>
        <v>3854.2260162537323</v>
      </c>
    </row>
    <row r="190" spans="1:38" s="137" customFormat="1" ht="14.5" customHeight="1" outlineLevel="1" x14ac:dyDescent="0.2">
      <c r="B190" s="281" t="s">
        <v>172</v>
      </c>
      <c r="C190" s="656"/>
      <c r="D190" s="139">
        <v>265</v>
      </c>
      <c r="E190" s="139">
        <v>251.9</v>
      </c>
      <c r="F190" s="139">
        <v>222.6</v>
      </c>
      <c r="G190" s="139">
        <v>220</v>
      </c>
      <c r="H190" s="140">
        <f t="shared" ref="H190:H191" si="1123">+G190</f>
        <v>220</v>
      </c>
      <c r="I190" s="139">
        <v>199.8</v>
      </c>
      <c r="J190" s="139">
        <v>198.8</v>
      </c>
      <c r="K190" s="139">
        <v>223.4</v>
      </c>
      <c r="L190" s="139">
        <f>L231*L220*(1-L232)</f>
        <v>199.10531319284615</v>
      </c>
      <c r="M190" s="140">
        <f>+L190</f>
        <v>199.10531319284615</v>
      </c>
      <c r="N190" s="139">
        <f t="shared" ref="N190:V190" si="1124">N231*N220*(1-N232)</f>
        <v>200.4232437531706</v>
      </c>
      <c r="O190" s="139">
        <f t="shared" si="1124"/>
        <v>193.83307421425104</v>
      </c>
      <c r="P190" s="139">
        <f t="shared" si="1124"/>
        <v>187.02984465278251</v>
      </c>
      <c r="Q190" s="139">
        <f t="shared" si="1124"/>
        <v>186.23536028359803</v>
      </c>
      <c r="R190" s="140">
        <f>+Q190</f>
        <v>186.23536028359803</v>
      </c>
      <c r="S190" s="139">
        <f t="shared" si="1124"/>
        <v>191.12099330143374</v>
      </c>
      <c r="T190" s="139">
        <f t="shared" si="1124"/>
        <v>186.06804131556828</v>
      </c>
      <c r="U190" s="139">
        <f t="shared" si="1124"/>
        <v>180.23119466158636</v>
      </c>
      <c r="V190" s="139">
        <f t="shared" si="1124"/>
        <v>182.55657799412322</v>
      </c>
      <c r="W190" s="140">
        <f>+V190</f>
        <v>182.55657799412322</v>
      </c>
      <c r="X190" s="139"/>
      <c r="Y190" s="139"/>
      <c r="Z190" s="139"/>
      <c r="AA190" s="139"/>
      <c r="AB190" s="140"/>
      <c r="AC190" s="139"/>
      <c r="AD190" s="139"/>
      <c r="AE190" s="139"/>
      <c r="AF190" s="139"/>
      <c r="AG190" s="140"/>
      <c r="AH190" s="139"/>
      <c r="AI190" s="139"/>
      <c r="AJ190" s="139"/>
      <c r="AK190" s="708"/>
      <c r="AL190" s="708"/>
    </row>
    <row r="191" spans="1:38" s="137" customFormat="1" ht="14.5" customHeight="1" outlineLevel="1" x14ac:dyDescent="0.2">
      <c r="B191" s="281" t="s">
        <v>243</v>
      </c>
      <c r="C191" s="656"/>
      <c r="D191" s="139">
        <v>336.1</v>
      </c>
      <c r="E191" s="139">
        <v>309.3</v>
      </c>
      <c r="F191" s="139">
        <v>340.3</v>
      </c>
      <c r="G191" s="139">
        <v>396</v>
      </c>
      <c r="H191" s="140">
        <f t="shared" si="1123"/>
        <v>396</v>
      </c>
      <c r="I191" s="139">
        <v>411.3</v>
      </c>
      <c r="J191" s="139">
        <v>420.9</v>
      </c>
      <c r="K191" s="139">
        <v>426.1</v>
      </c>
      <c r="L191" s="139">
        <f>K191</f>
        <v>426.1</v>
      </c>
      <c r="M191" s="140">
        <f>+L191</f>
        <v>426.1</v>
      </c>
      <c r="N191" s="139">
        <f>L191</f>
        <v>426.1</v>
      </c>
      <c r="O191" s="139">
        <f>N191</f>
        <v>426.1</v>
      </c>
      <c r="P191" s="139">
        <f t="shared" ref="P191:Q191" si="1125">O191</f>
        <v>426.1</v>
      </c>
      <c r="Q191" s="139">
        <f t="shared" si="1125"/>
        <v>426.1</v>
      </c>
      <c r="R191" s="140">
        <f t="shared" ref="R191" si="1126">P191</f>
        <v>426.1</v>
      </c>
      <c r="S191" s="139">
        <f t="shared" ref="S191:AK191" si="1127">R191</f>
        <v>426.1</v>
      </c>
      <c r="T191" s="139">
        <f t="shared" si="1127"/>
        <v>426.1</v>
      </c>
      <c r="U191" s="139">
        <f t="shared" si="1127"/>
        <v>426.1</v>
      </c>
      <c r="V191" s="139">
        <f t="shared" ref="V191" si="1128">T191</f>
        <v>426.1</v>
      </c>
      <c r="W191" s="140">
        <f t="shared" ref="W191" si="1129">V191</f>
        <v>426.1</v>
      </c>
      <c r="X191" s="139">
        <f t="shared" si="1127"/>
        <v>426.1</v>
      </c>
      <c r="Y191" s="139">
        <f t="shared" si="1127"/>
        <v>426.1</v>
      </c>
      <c r="Z191" s="139">
        <f t="shared" ref="Z191" si="1130">X191</f>
        <v>426.1</v>
      </c>
      <c r="AA191" s="139">
        <f t="shared" ref="AA191" si="1131">Z191</f>
        <v>426.1</v>
      </c>
      <c r="AB191" s="139">
        <f t="shared" si="1127"/>
        <v>426.1</v>
      </c>
      <c r="AC191" s="139">
        <f t="shared" si="1127"/>
        <v>426.1</v>
      </c>
      <c r="AD191" s="139">
        <f t="shared" ref="AD191" si="1132">AB191</f>
        <v>426.1</v>
      </c>
      <c r="AE191" s="139">
        <f t="shared" ref="AE191" si="1133">AD191</f>
        <v>426.1</v>
      </c>
      <c r="AF191" s="139">
        <f t="shared" si="1127"/>
        <v>426.1</v>
      </c>
      <c r="AG191" s="708">
        <f t="shared" si="1127"/>
        <v>426.1</v>
      </c>
      <c r="AH191" s="139">
        <f t="shared" ref="AH191" si="1134">AF191</f>
        <v>426.1</v>
      </c>
      <c r="AI191" s="139">
        <f t="shared" ref="AI191" si="1135">AH191</f>
        <v>426.1</v>
      </c>
      <c r="AJ191" s="139">
        <f t="shared" si="1127"/>
        <v>426.1</v>
      </c>
      <c r="AK191" s="708">
        <f t="shared" si="1127"/>
        <v>426.1</v>
      </c>
      <c r="AL191" s="708">
        <f t="shared" ref="AL191" si="1136">AJ191</f>
        <v>426.1</v>
      </c>
    </row>
    <row r="192" spans="1:38" s="152" customFormat="1" outlineLevel="1" x14ac:dyDescent="0.2">
      <c r="B192" s="281" t="s">
        <v>173</v>
      </c>
      <c r="C192" s="286"/>
      <c r="D192" s="139">
        <v>6039.3</v>
      </c>
      <c r="E192" s="139">
        <v>6135.5</v>
      </c>
      <c r="F192" s="139">
        <v>6187.8</v>
      </c>
      <c r="G192" s="139">
        <v>6431.7</v>
      </c>
      <c r="H192" s="140">
        <f>+G192</f>
        <v>6431.7</v>
      </c>
      <c r="I192" s="139">
        <v>6390.9</v>
      </c>
      <c r="J192" s="139">
        <v>6387</v>
      </c>
      <c r="K192" s="139">
        <v>6295.6</v>
      </c>
      <c r="L192" s="139">
        <f>K192-L260-L242</f>
        <v>6282.4891536352679</v>
      </c>
      <c r="M192" s="140">
        <f t="shared" ref="M192:M197" si="1137">L192</f>
        <v>6282.4891536352679</v>
      </c>
      <c r="N192" s="139">
        <f>L192-N260-N242</f>
        <v>6350.1169886915768</v>
      </c>
      <c r="O192" s="139">
        <f t="shared" ref="O192:Q192" si="1138">N192-O260-O242</f>
        <v>6370.9639259511468</v>
      </c>
      <c r="P192" s="139">
        <f t="shared" si="1138"/>
        <v>6301.1392275455546</v>
      </c>
      <c r="Q192" s="139">
        <f t="shared" si="1138"/>
        <v>6331.6389836318012</v>
      </c>
      <c r="R192" s="140">
        <f t="shared" ref="R192:R197" si="1139">Q192</f>
        <v>6331.6389836318012</v>
      </c>
      <c r="S192" s="139">
        <f>Q192-S260-S242</f>
        <v>6438.6270919125182</v>
      </c>
      <c r="T192" s="139">
        <f t="shared" ref="T192:V192" si="1140">S192-T260-T242</f>
        <v>6491.3324404372133</v>
      </c>
      <c r="U192" s="139">
        <f t="shared" si="1140"/>
        <v>6445.9357602126574</v>
      </c>
      <c r="V192" s="139">
        <f t="shared" si="1140"/>
        <v>6507.2231908522726</v>
      </c>
      <c r="W192" s="140">
        <f t="shared" ref="W192:W197" si="1141">V192</f>
        <v>6507.2231908522726</v>
      </c>
      <c r="X192" s="139">
        <f>V192-X260-X242</f>
        <v>6641.0005448905604</v>
      </c>
      <c r="Y192" s="139">
        <f t="shared" ref="Y192:AA192" si="1142">X192-Y260-Y242</f>
        <v>6712.9790869992066</v>
      </c>
      <c r="Z192" s="139">
        <f t="shared" si="1142"/>
        <v>6678.4851647786918</v>
      </c>
      <c r="AA192" s="139">
        <f t="shared" si="1142"/>
        <v>6758.4469931297854</v>
      </c>
      <c r="AB192" s="140">
        <f t="shared" ref="AB192:AB197" si="1143">AA192</f>
        <v>6758.4469931297854</v>
      </c>
      <c r="AC192" s="139">
        <f>AA192-AC260-AC242</f>
        <v>6914.3836622811605</v>
      </c>
      <c r="AD192" s="139">
        <f t="shared" ref="AD192:AF192" si="1144">AC192-AD260-AD242</f>
        <v>7001.9866142105111</v>
      </c>
      <c r="AE192" s="139">
        <f t="shared" si="1144"/>
        <v>6974.9088682422789</v>
      </c>
      <c r="AF192" s="139">
        <f t="shared" si="1144"/>
        <v>7070.6743123195538</v>
      </c>
      <c r="AG192" s="140">
        <f t="shared" ref="AG192:AG197" si="1145">AF192</f>
        <v>7070.6743123195538</v>
      </c>
      <c r="AH192" s="139">
        <f>AF192-AH260-AH242</f>
        <v>7247.0128384385225</v>
      </c>
      <c r="AI192" s="139">
        <f t="shared" ref="AI192:AK192" si="1146">AH192-AI260-AI242</f>
        <v>7348.3530104864421</v>
      </c>
      <c r="AJ192" s="139">
        <f t="shared" si="1146"/>
        <v>7326.5917609842363</v>
      </c>
      <c r="AK192" s="708">
        <f t="shared" si="1146"/>
        <v>7436.7467755017924</v>
      </c>
      <c r="AL192" s="708">
        <f t="shared" ref="AL192:AL197" si="1147">AK192</f>
        <v>7436.7467755017924</v>
      </c>
    </row>
    <row r="193" spans="1:38" s="152" customFormat="1" outlineLevel="1" x14ac:dyDescent="0.2">
      <c r="B193" s="281" t="s">
        <v>244</v>
      </c>
      <c r="C193" s="286"/>
      <c r="D193" s="139">
        <v>0</v>
      </c>
      <c r="E193" s="139">
        <v>0</v>
      </c>
      <c r="F193" s="139">
        <v>0</v>
      </c>
      <c r="G193" s="139">
        <v>0</v>
      </c>
      <c r="H193" s="140">
        <f>+G193</f>
        <v>0</v>
      </c>
      <c r="I193" s="139">
        <v>8358.5</v>
      </c>
      <c r="J193" s="139">
        <v>8260.7999999999993</v>
      </c>
      <c r="K193" s="139">
        <v>8214</v>
      </c>
      <c r="L193" s="139">
        <f>K193*0.99</f>
        <v>8131.86</v>
      </c>
      <c r="M193" s="140">
        <f t="shared" si="1137"/>
        <v>8131.86</v>
      </c>
      <c r="N193" s="139">
        <f>L193*0.99</f>
        <v>8050.5413999999992</v>
      </c>
      <c r="O193" s="139">
        <f t="shared" ref="O193:Q193" si="1148">N193*0.99</f>
        <v>7970.035985999999</v>
      </c>
      <c r="P193" s="139">
        <f t="shared" si="1148"/>
        <v>7890.3356261399986</v>
      </c>
      <c r="Q193" s="139">
        <f t="shared" si="1148"/>
        <v>7811.4322698785982</v>
      </c>
      <c r="R193" s="140">
        <f t="shared" si="1139"/>
        <v>7811.4322698785982</v>
      </c>
      <c r="S193" s="139">
        <f>Q193*0.99</f>
        <v>7733.3179471798121</v>
      </c>
      <c r="T193" s="139">
        <f t="shared" ref="T193:V193" si="1149">S193*0.99</f>
        <v>7655.9847677080143</v>
      </c>
      <c r="U193" s="139">
        <f t="shared" si="1149"/>
        <v>7579.4249200309341</v>
      </c>
      <c r="V193" s="139">
        <f t="shared" si="1149"/>
        <v>7503.6306708306247</v>
      </c>
      <c r="W193" s="140">
        <f t="shared" si="1141"/>
        <v>7503.6306708306247</v>
      </c>
      <c r="X193" s="139">
        <f>V193*0.99</f>
        <v>7428.5943641223184</v>
      </c>
      <c r="Y193" s="139">
        <f t="shared" ref="Y193:AA193" si="1150">X193*0.99</f>
        <v>7354.3084204810948</v>
      </c>
      <c r="Z193" s="139">
        <f t="shared" si="1150"/>
        <v>7280.765336276284</v>
      </c>
      <c r="AA193" s="139">
        <f t="shared" si="1150"/>
        <v>7207.9576829135212</v>
      </c>
      <c r="AB193" s="140">
        <f t="shared" si="1143"/>
        <v>7207.9576829135212</v>
      </c>
      <c r="AC193" s="139">
        <f>AA193*0.99</f>
        <v>7135.8781060843858</v>
      </c>
      <c r="AD193" s="139">
        <f t="shared" ref="AD193:AF193" si="1151">AC193*0.99</f>
        <v>7064.5193250235416</v>
      </c>
      <c r="AE193" s="139">
        <f t="shared" si="1151"/>
        <v>6993.8741317733065</v>
      </c>
      <c r="AF193" s="139">
        <f t="shared" si="1151"/>
        <v>6923.9353904555737</v>
      </c>
      <c r="AG193" s="140">
        <f t="shared" si="1145"/>
        <v>6923.9353904555737</v>
      </c>
      <c r="AH193" s="139">
        <f>AF193*0.99</f>
        <v>6854.6960365510176</v>
      </c>
      <c r="AI193" s="139">
        <f t="shared" ref="AI193:AK193" si="1152">AH193*0.99</f>
        <v>6786.1490761855075</v>
      </c>
      <c r="AJ193" s="139">
        <f t="shared" si="1152"/>
        <v>6718.2875854236527</v>
      </c>
      <c r="AK193" s="708">
        <f t="shared" si="1152"/>
        <v>6651.1047095694157</v>
      </c>
      <c r="AL193" s="708">
        <f t="shared" si="1147"/>
        <v>6651.1047095694157</v>
      </c>
    </row>
    <row r="194" spans="1:38" s="152" customFormat="1" outlineLevel="1" x14ac:dyDescent="0.2">
      <c r="B194" s="281" t="s">
        <v>182</v>
      </c>
      <c r="C194" s="286"/>
      <c r="D194" s="139">
        <v>650</v>
      </c>
      <c r="E194" s="139">
        <v>1006.6</v>
      </c>
      <c r="F194" s="139">
        <v>1533</v>
      </c>
      <c r="G194" s="139">
        <v>1765.8</v>
      </c>
      <c r="H194" s="140">
        <f t="shared" ref="H194:H195" si="1153">+G194</f>
        <v>1765.8</v>
      </c>
      <c r="I194" s="139">
        <v>1731.4</v>
      </c>
      <c r="J194" s="139">
        <v>1709.7</v>
      </c>
      <c r="K194" s="139">
        <v>1740</v>
      </c>
      <c r="L194" s="139">
        <f>L235*(L205+L211)</f>
        <v>1731.1553416647134</v>
      </c>
      <c r="M194" s="140">
        <f t="shared" si="1137"/>
        <v>1731.1553416647134</v>
      </c>
      <c r="N194" s="139">
        <f t="shared" ref="N194:P194" si="1154">N235*(N205+N211)</f>
        <v>1818.7651823960323</v>
      </c>
      <c r="O194" s="139">
        <f t="shared" si="1154"/>
        <v>1752.4682765802766</v>
      </c>
      <c r="P194" s="139">
        <f t="shared" si="1154"/>
        <v>1743.3966814880687</v>
      </c>
      <c r="Q194" s="139">
        <f>Q235*(Q205+Q211)</f>
        <v>1734.3819899960884</v>
      </c>
      <c r="R194" s="140">
        <f t="shared" si="1139"/>
        <v>1734.3819899960884</v>
      </c>
      <c r="S194" s="139">
        <f t="shared" ref="S194:U194" si="1155">S235*(S205+S211)</f>
        <v>1829.8262771000659</v>
      </c>
      <c r="T194" s="139">
        <f t="shared" si="1155"/>
        <v>1758.5856940339684</v>
      </c>
      <c r="U194" s="139">
        <f t="shared" si="1155"/>
        <v>1749.3184846990364</v>
      </c>
      <c r="V194" s="139">
        <f>V235*(V205+V211)</f>
        <v>1740.1106728670318</v>
      </c>
      <c r="W194" s="140">
        <f t="shared" si="1141"/>
        <v>1740.1106728670318</v>
      </c>
      <c r="X194" s="139">
        <f t="shared" ref="X194:Z194" si="1156">X235*(X205+X211)</f>
        <v>1844.0308108988929</v>
      </c>
      <c r="Y194" s="139">
        <f t="shared" si="1156"/>
        <v>1767.427272453692</v>
      </c>
      <c r="Z194" s="139">
        <f t="shared" si="1156"/>
        <v>1757.9393454356025</v>
      </c>
      <c r="AA194" s="139">
        <f>AA235*(AA205+AA211)</f>
        <v>1748.5135523048675</v>
      </c>
      <c r="AB194" s="140">
        <f t="shared" si="1143"/>
        <v>1748.5135523048675</v>
      </c>
      <c r="AC194" s="139">
        <f t="shared" ref="AC194:AE194" si="1157">AC235*(AC205+AC211)</f>
        <v>1861.6043312651113</v>
      </c>
      <c r="AD194" s="139">
        <f t="shared" si="1157"/>
        <v>1779.1838963888531</v>
      </c>
      <c r="AE194" s="139">
        <f t="shared" si="1157"/>
        <v>1769.448205395687</v>
      </c>
      <c r="AF194" s="139">
        <f>AF235*(AF205+AF211)</f>
        <v>1759.7776467205701</v>
      </c>
      <c r="AG194" s="140">
        <f t="shared" si="1145"/>
        <v>1759.7776467205701</v>
      </c>
      <c r="AH194" s="139">
        <f t="shared" ref="AH194:AJ194" si="1158">AH235*(AH205+AH211)</f>
        <v>1882.7916713469647</v>
      </c>
      <c r="AI194" s="139">
        <f t="shared" si="1158"/>
        <v>1794.0628564264453</v>
      </c>
      <c r="AJ194" s="139">
        <f t="shared" si="1158"/>
        <v>1784.050248795266</v>
      </c>
      <c r="AK194" s="708">
        <f>AK235*(AK205+AK211)</f>
        <v>1774.1060551566659</v>
      </c>
      <c r="AL194" s="708">
        <f t="shared" si="1147"/>
        <v>1774.1060551566659</v>
      </c>
    </row>
    <row r="195" spans="1:38" s="152" customFormat="1" outlineLevel="1" x14ac:dyDescent="0.2">
      <c r="B195" s="281" t="s">
        <v>245</v>
      </c>
      <c r="C195" s="286"/>
      <c r="D195" s="139">
        <v>472.7</v>
      </c>
      <c r="E195" s="139">
        <v>464.5</v>
      </c>
      <c r="F195" s="139">
        <v>458</v>
      </c>
      <c r="G195" s="139">
        <v>479.6</v>
      </c>
      <c r="H195" s="140">
        <f t="shared" si="1153"/>
        <v>479.6</v>
      </c>
      <c r="I195" s="139">
        <v>484.7</v>
      </c>
      <c r="J195" s="139">
        <v>580.1</v>
      </c>
      <c r="K195" s="139">
        <v>550.79999999999995</v>
      </c>
      <c r="L195" s="139">
        <f>K195*(L220/K220)</f>
        <v>537.62598528032902</v>
      </c>
      <c r="M195" s="140">
        <f t="shared" si="1137"/>
        <v>537.62598528032902</v>
      </c>
      <c r="N195" s="139">
        <f>L195*(N220/L220)</f>
        <v>541.18467341709004</v>
      </c>
      <c r="O195" s="139">
        <f t="shared" ref="O195:Q195" si="1159">N195*(O220/N220)</f>
        <v>523.38983743451456</v>
      </c>
      <c r="P195" s="139">
        <f t="shared" si="1159"/>
        <v>505.01969483299501</v>
      </c>
      <c r="Q195" s="139">
        <f t="shared" si="1159"/>
        <v>502.87442088262628</v>
      </c>
      <c r="R195" s="140">
        <f t="shared" si="1139"/>
        <v>502.87442088262628</v>
      </c>
      <c r="S195" s="139">
        <f>Q195*(S220/Q220)</f>
        <v>516.06665178199944</v>
      </c>
      <c r="T195" s="139">
        <f t="shared" ref="T195:V195" si="1160">S195*(T220/S220)</f>
        <v>502.42262467688687</v>
      </c>
      <c r="U195" s="139">
        <f t="shared" si="1160"/>
        <v>486.66191802895412</v>
      </c>
      <c r="V195" s="139">
        <f t="shared" si="1160"/>
        <v>492.94093934316032</v>
      </c>
      <c r="W195" s="140">
        <f t="shared" si="1141"/>
        <v>492.94093934316032</v>
      </c>
      <c r="X195" s="139">
        <f>V195*(X220/V220)</f>
        <v>511.05405236934087</v>
      </c>
      <c r="Y195" s="139">
        <f t="shared" ref="Y195:AA195" si="1161">X195*(Y220/X220)</f>
        <v>497.91127072004497</v>
      </c>
      <c r="Z195" s="139">
        <f t="shared" si="1161"/>
        <v>482.7511273611982</v>
      </c>
      <c r="AA195" s="139">
        <f t="shared" si="1161"/>
        <v>491.34858362796513</v>
      </c>
      <c r="AB195" s="140">
        <f t="shared" si="1143"/>
        <v>491.34858362796513</v>
      </c>
      <c r="AC195" s="139">
        <f>AA195*(AC220/AA220)</f>
        <v>509.46895520303502</v>
      </c>
      <c r="AD195" s="139">
        <f t="shared" ref="AD195:AF195" si="1162">AC195*(AD220/AC220)</f>
        <v>494.15401639615851</v>
      </c>
      <c r="AE195" s="139">
        <f t="shared" si="1162"/>
        <v>476.92802283979972</v>
      </c>
      <c r="AF195" s="139">
        <f t="shared" si="1162"/>
        <v>485.36087749643735</v>
      </c>
      <c r="AG195" s="140">
        <f t="shared" si="1145"/>
        <v>485.36087749643735</v>
      </c>
      <c r="AH195" s="139">
        <f>AF195*(AH220/AF220)</f>
        <v>499.8259514289532</v>
      </c>
      <c r="AI195" s="139">
        <f t="shared" ref="AI195:AK195" si="1163">AH195*(AI220/AH220)</f>
        <v>478.10775519690759</v>
      </c>
      <c r="AJ195" s="139">
        <f t="shared" si="1163"/>
        <v>454.63339569709564</v>
      </c>
      <c r="AK195" s="708">
        <f t="shared" si="1163"/>
        <v>458.82971247124556</v>
      </c>
      <c r="AL195" s="708">
        <f t="shared" si="1147"/>
        <v>458.82971247124556</v>
      </c>
    </row>
    <row r="196" spans="1:38" s="152" customFormat="1" outlineLevel="1" x14ac:dyDescent="0.2">
      <c r="B196" s="281" t="s">
        <v>174</v>
      </c>
      <c r="C196" s="286"/>
      <c r="D196" s="139">
        <v>981.6</v>
      </c>
      <c r="E196" s="139">
        <v>918.3</v>
      </c>
      <c r="F196" s="139">
        <v>853.2</v>
      </c>
      <c r="G196" s="139">
        <v>781.8</v>
      </c>
      <c r="H196" s="140">
        <f>+G196</f>
        <v>781.8</v>
      </c>
      <c r="I196" s="139">
        <v>739.1</v>
      </c>
      <c r="J196" s="139">
        <v>678.7</v>
      </c>
      <c r="K196" s="139">
        <v>599.6</v>
      </c>
      <c r="L196" s="139">
        <f>K196*0.94</f>
        <v>563.62400000000002</v>
      </c>
      <c r="M196" s="140">
        <f t="shared" si="1137"/>
        <v>563.62400000000002</v>
      </c>
      <c r="N196" s="139">
        <f>L196*0.94</f>
        <v>529.80655999999999</v>
      </c>
      <c r="O196" s="139">
        <f t="shared" ref="O196:Q196" si="1164">N196*0.94</f>
        <v>498.01816639999998</v>
      </c>
      <c r="P196" s="139">
        <f t="shared" si="1164"/>
        <v>468.13707641599996</v>
      </c>
      <c r="Q196" s="139">
        <f t="shared" si="1164"/>
        <v>440.04885183103994</v>
      </c>
      <c r="R196" s="140">
        <f t="shared" si="1139"/>
        <v>440.04885183103994</v>
      </c>
      <c r="S196" s="139">
        <f>Q196*0.94</f>
        <v>413.6459207211775</v>
      </c>
      <c r="T196" s="139">
        <f t="shared" ref="T196:V196" si="1165">S196*0.94</f>
        <v>388.82716547790682</v>
      </c>
      <c r="U196" s="139">
        <f t="shared" si="1165"/>
        <v>365.4975355492324</v>
      </c>
      <c r="V196" s="139">
        <f t="shared" si="1165"/>
        <v>343.56768341627844</v>
      </c>
      <c r="W196" s="140">
        <f t="shared" si="1141"/>
        <v>343.56768341627844</v>
      </c>
      <c r="X196" s="139">
        <f>V196*0.94</f>
        <v>322.95362241130169</v>
      </c>
      <c r="Y196" s="139">
        <f t="shared" ref="Y196:AA196" si="1166">X196*0.94</f>
        <v>303.57640506662358</v>
      </c>
      <c r="Z196" s="139">
        <f t="shared" si="1166"/>
        <v>285.36182076262617</v>
      </c>
      <c r="AA196" s="139">
        <f t="shared" si="1166"/>
        <v>268.24011151686858</v>
      </c>
      <c r="AB196" s="140">
        <f t="shared" si="1143"/>
        <v>268.24011151686858</v>
      </c>
      <c r="AC196" s="139">
        <f>AA196*0.94</f>
        <v>252.14570482585646</v>
      </c>
      <c r="AD196" s="139">
        <f t="shared" ref="AD196:AF196" si="1167">AC196*0.94</f>
        <v>237.01696253630504</v>
      </c>
      <c r="AE196" s="139">
        <f t="shared" si="1167"/>
        <v>222.79594478412673</v>
      </c>
      <c r="AF196" s="139">
        <f t="shared" si="1167"/>
        <v>209.42818809707913</v>
      </c>
      <c r="AG196" s="140">
        <f t="shared" si="1145"/>
        <v>209.42818809707913</v>
      </c>
      <c r="AH196" s="139">
        <f>AF196*0.94</f>
        <v>196.86249681125437</v>
      </c>
      <c r="AI196" s="139">
        <f t="shared" ref="AI196:AK196" si="1168">AH196*0.94</f>
        <v>185.0507470025791</v>
      </c>
      <c r="AJ196" s="139">
        <f t="shared" si="1168"/>
        <v>173.94770218242434</v>
      </c>
      <c r="AK196" s="708">
        <f t="shared" si="1168"/>
        <v>163.51084005147888</v>
      </c>
      <c r="AL196" s="708">
        <f t="shared" si="1147"/>
        <v>163.51084005147888</v>
      </c>
    </row>
    <row r="197" spans="1:38" s="137" customFormat="1" ht="18" outlineLevel="1" x14ac:dyDescent="0.35">
      <c r="B197" s="312" t="s">
        <v>27</v>
      </c>
      <c r="C197" s="313"/>
      <c r="D197" s="154">
        <v>3560.3</v>
      </c>
      <c r="E197" s="154">
        <v>3603.5</v>
      </c>
      <c r="F197" s="154">
        <v>3564.7</v>
      </c>
      <c r="G197" s="154">
        <v>3490.8</v>
      </c>
      <c r="H197" s="243">
        <f>G197</f>
        <v>3490.8</v>
      </c>
      <c r="I197" s="154">
        <v>3515.9</v>
      </c>
      <c r="J197" s="154">
        <v>3493</v>
      </c>
      <c r="K197" s="154">
        <v>3510.1</v>
      </c>
      <c r="L197" s="154">
        <f>K197</f>
        <v>3510.1</v>
      </c>
      <c r="M197" s="243">
        <f t="shared" si="1137"/>
        <v>3510.1</v>
      </c>
      <c r="N197" s="154">
        <f>L197</f>
        <v>3510.1</v>
      </c>
      <c r="O197" s="154">
        <f>N197</f>
        <v>3510.1</v>
      </c>
      <c r="P197" s="154">
        <f>O197</f>
        <v>3510.1</v>
      </c>
      <c r="Q197" s="154">
        <f>P197</f>
        <v>3510.1</v>
      </c>
      <c r="R197" s="243">
        <f t="shared" si="1139"/>
        <v>3510.1</v>
      </c>
      <c r="S197" s="154">
        <f>Q197</f>
        <v>3510.1</v>
      </c>
      <c r="T197" s="154">
        <f>S197</f>
        <v>3510.1</v>
      </c>
      <c r="U197" s="154">
        <f>T197</f>
        <v>3510.1</v>
      </c>
      <c r="V197" s="154">
        <f>U197</f>
        <v>3510.1</v>
      </c>
      <c r="W197" s="243">
        <f t="shared" si="1141"/>
        <v>3510.1</v>
      </c>
      <c r="X197" s="154">
        <f>V197</f>
        <v>3510.1</v>
      </c>
      <c r="Y197" s="154">
        <f>X197</f>
        <v>3510.1</v>
      </c>
      <c r="Z197" s="154">
        <f>Y197</f>
        <v>3510.1</v>
      </c>
      <c r="AA197" s="154">
        <f>Z197</f>
        <v>3510.1</v>
      </c>
      <c r="AB197" s="243">
        <f t="shared" si="1143"/>
        <v>3510.1</v>
      </c>
      <c r="AC197" s="154">
        <f>AA197</f>
        <v>3510.1</v>
      </c>
      <c r="AD197" s="154">
        <f>AC197</f>
        <v>3510.1</v>
      </c>
      <c r="AE197" s="154">
        <f>AD197</f>
        <v>3510.1</v>
      </c>
      <c r="AF197" s="154">
        <f>AE197</f>
        <v>3510.1</v>
      </c>
      <c r="AG197" s="243">
        <f t="shared" si="1145"/>
        <v>3510.1</v>
      </c>
      <c r="AH197" s="154">
        <f>AF197</f>
        <v>3510.1</v>
      </c>
      <c r="AI197" s="154">
        <f>AH197</f>
        <v>3510.1</v>
      </c>
      <c r="AJ197" s="154">
        <f>AI197</f>
        <v>3510.1</v>
      </c>
      <c r="AK197" s="710">
        <f>AJ197</f>
        <v>3510.1</v>
      </c>
      <c r="AL197" s="710">
        <f t="shared" si="1147"/>
        <v>3510.1</v>
      </c>
    </row>
    <row r="198" spans="1:38" s="137" customFormat="1" outlineLevel="1" x14ac:dyDescent="0.2">
      <c r="B198" s="672" t="s">
        <v>5</v>
      </c>
      <c r="C198" s="673"/>
      <c r="D198" s="169">
        <f t="shared" ref="D198:Q198" si="1169">+SUM(D189:D197)</f>
        <v>19981.3</v>
      </c>
      <c r="E198" s="169">
        <f t="shared" si="1169"/>
        <v>17641.900000000001</v>
      </c>
      <c r="F198" s="169">
        <f t="shared" si="1169"/>
        <v>20894.500000000004</v>
      </c>
      <c r="G198" s="169">
        <f t="shared" si="1169"/>
        <v>19219.400000000001</v>
      </c>
      <c r="H198" s="244">
        <f t="shared" si="1169"/>
        <v>19219.400000000001</v>
      </c>
      <c r="I198" s="169">
        <f t="shared" si="1169"/>
        <v>27731.300000000007</v>
      </c>
      <c r="J198" s="169">
        <f t="shared" si="1169"/>
        <v>27478.9</v>
      </c>
      <c r="K198" s="169">
        <f t="shared" si="1169"/>
        <v>29140.600000000002</v>
      </c>
      <c r="L198" s="169">
        <f t="shared" si="1169"/>
        <v>28443.616170406607</v>
      </c>
      <c r="M198" s="244">
        <f t="shared" si="1169"/>
        <v>28443.616170406607</v>
      </c>
      <c r="N198" s="169">
        <f t="shared" si="1169"/>
        <v>28631.891964738654</v>
      </c>
      <c r="O198" s="169">
        <f t="shared" si="1169"/>
        <v>27690.439173464441</v>
      </c>
      <c r="P198" s="169">
        <f t="shared" si="1169"/>
        <v>26718.549236111779</v>
      </c>
      <c r="Q198" s="169">
        <f t="shared" si="1169"/>
        <v>26605.051469085432</v>
      </c>
      <c r="R198" s="244">
        <f t="shared" ref="R198:V198" si="1170">+SUM(R189:R197)</f>
        <v>26605.051469085432</v>
      </c>
      <c r="S198" s="169">
        <f t="shared" si="1170"/>
        <v>27302.899043061971</v>
      </c>
      <c r="T198" s="169">
        <f t="shared" si="1170"/>
        <v>26581.048759366902</v>
      </c>
      <c r="U198" s="169">
        <f t="shared" si="1170"/>
        <v>25747.21352308377</v>
      </c>
      <c r="V198" s="169">
        <f t="shared" si="1170"/>
        <v>26079.411142017609</v>
      </c>
      <c r="W198" s="244">
        <f t="shared" ref="W198:AL198" si="1171">+SUM(W189:W197)</f>
        <v>26079.411142017609</v>
      </c>
      <c r="X198" s="169">
        <f t="shared" si="1171"/>
        <v>27037.702684230244</v>
      </c>
      <c r="Y198" s="169">
        <f t="shared" si="1171"/>
        <v>26342.371270051823</v>
      </c>
      <c r="Z198" s="169">
        <f t="shared" si="1171"/>
        <v>25540.309408100464</v>
      </c>
      <c r="AA198" s="169">
        <f t="shared" si="1171"/>
        <v>25995.166042245975</v>
      </c>
      <c r="AB198" s="169">
        <f t="shared" si="1171"/>
        <v>25995.166042245975</v>
      </c>
      <c r="AC198" s="169">
        <f t="shared" si="1171"/>
        <v>26953.841604919326</v>
      </c>
      <c r="AD198" s="169">
        <f t="shared" si="1171"/>
        <v>26143.590141964229</v>
      </c>
      <c r="AE198" s="169">
        <f t="shared" si="1171"/>
        <v>25232.232502479066</v>
      </c>
      <c r="AF198" s="169">
        <f t="shared" si="1171"/>
        <v>25678.380731250334</v>
      </c>
      <c r="AG198" s="709">
        <f t="shared" si="1171"/>
        <v>25678.380731250334</v>
      </c>
      <c r="AH198" s="169">
        <f t="shared" si="1171"/>
        <v>26443.669281428018</v>
      </c>
      <c r="AI198" s="169">
        <f t="shared" si="1171"/>
        <v>25294.647369446269</v>
      </c>
      <c r="AJ198" s="169">
        <f t="shared" si="1171"/>
        <v>24052.713962692058</v>
      </c>
      <c r="AK198" s="709">
        <f t="shared" si="1171"/>
        <v>24274.724109004332</v>
      </c>
      <c r="AL198" s="709">
        <f t="shared" si="1171"/>
        <v>24274.724109004332</v>
      </c>
    </row>
    <row r="199" spans="1:38" ht="19" x14ac:dyDescent="0.35">
      <c r="A199" s="137"/>
      <c r="B199" s="314" t="s">
        <v>7</v>
      </c>
      <c r="C199" s="315"/>
      <c r="D199" s="22" t="s">
        <v>72</v>
      </c>
      <c r="E199" s="22" t="s">
        <v>211</v>
      </c>
      <c r="F199" s="22" t="s">
        <v>215</v>
      </c>
      <c r="G199" s="22" t="s">
        <v>225</v>
      </c>
      <c r="H199" s="67" t="s">
        <v>226</v>
      </c>
      <c r="I199" s="22" t="s">
        <v>227</v>
      </c>
      <c r="J199" s="22" t="s">
        <v>228</v>
      </c>
      <c r="K199" s="22" t="s">
        <v>229</v>
      </c>
      <c r="L199" s="20" t="s">
        <v>90</v>
      </c>
      <c r="M199" s="69" t="s">
        <v>91</v>
      </c>
      <c r="N199" s="20" t="s">
        <v>92</v>
      </c>
      <c r="O199" s="20" t="s">
        <v>93</v>
      </c>
      <c r="P199" s="20" t="s">
        <v>94</v>
      </c>
      <c r="Q199" s="20" t="s">
        <v>95</v>
      </c>
      <c r="R199" s="69" t="s">
        <v>96</v>
      </c>
      <c r="S199" s="20" t="s">
        <v>97</v>
      </c>
      <c r="T199" s="20" t="s">
        <v>98</v>
      </c>
      <c r="U199" s="20" t="s">
        <v>99</v>
      </c>
      <c r="V199" s="20" t="s">
        <v>100</v>
      </c>
      <c r="W199" s="69" t="s">
        <v>101</v>
      </c>
      <c r="X199" s="20" t="s">
        <v>102</v>
      </c>
      <c r="Y199" s="20" t="s">
        <v>103</v>
      </c>
      <c r="Z199" s="20" t="s">
        <v>104</v>
      </c>
      <c r="AA199" s="20" t="s">
        <v>105</v>
      </c>
      <c r="AB199" s="69" t="s">
        <v>106</v>
      </c>
      <c r="AC199" s="20" t="s">
        <v>220</v>
      </c>
      <c r="AD199" s="20" t="s">
        <v>221</v>
      </c>
      <c r="AE199" s="20" t="s">
        <v>222</v>
      </c>
      <c r="AF199" s="20" t="s">
        <v>223</v>
      </c>
      <c r="AG199" s="69" t="s">
        <v>224</v>
      </c>
      <c r="AH199" s="20" t="s">
        <v>253</v>
      </c>
      <c r="AI199" s="20" t="s">
        <v>254</v>
      </c>
      <c r="AJ199" s="20" t="s">
        <v>255</v>
      </c>
      <c r="AK199" s="732" t="s">
        <v>256</v>
      </c>
      <c r="AL199" s="732" t="s">
        <v>257</v>
      </c>
    </row>
    <row r="200" spans="1:38" s="196" customFormat="1" outlineLevel="1" x14ac:dyDescent="0.2">
      <c r="B200" s="312" t="s">
        <v>28</v>
      </c>
      <c r="C200" s="313"/>
      <c r="D200" s="139">
        <v>1100.5</v>
      </c>
      <c r="E200" s="139">
        <v>1096.7</v>
      </c>
      <c r="F200" s="139">
        <v>1145.4000000000001</v>
      </c>
      <c r="G200" s="139">
        <v>1189.7</v>
      </c>
      <c r="H200" s="140">
        <f>G200</f>
        <v>1189.7</v>
      </c>
      <c r="I200" s="139">
        <v>1085.5999999999999</v>
      </c>
      <c r="J200" s="139">
        <v>997.7</v>
      </c>
      <c r="K200" s="139">
        <v>860.8</v>
      </c>
      <c r="L200" s="139">
        <f>(L21/L229)</f>
        <v>1091.4359835212776</v>
      </c>
      <c r="M200" s="140">
        <f t="shared" ref="M200:M206" si="1172">L200</f>
        <v>1091.4359835212776</v>
      </c>
      <c r="N200" s="139">
        <f t="shared" ref="N200:Q200" si="1173">(N21/N229)</f>
        <v>1135.6847696588347</v>
      </c>
      <c r="O200" s="139">
        <f t="shared" si="1173"/>
        <v>1056.2401502499704</v>
      </c>
      <c r="P200" s="139">
        <f t="shared" si="1173"/>
        <v>1007.3587333900127</v>
      </c>
      <c r="Q200" s="139">
        <f t="shared" si="1173"/>
        <v>1098.6011760229439</v>
      </c>
      <c r="R200" s="140">
        <f t="shared" ref="R200:R206" si="1174">Q200</f>
        <v>1098.6011760229439</v>
      </c>
      <c r="S200" s="139">
        <f t="shared" ref="S200:V200" si="1175">(S21/S229)</f>
        <v>1176.2217407102837</v>
      </c>
      <c r="T200" s="139">
        <f t="shared" si="1175"/>
        <v>1095.9136588611445</v>
      </c>
      <c r="U200" s="139">
        <f t="shared" si="1175"/>
        <v>1044.9260670476217</v>
      </c>
      <c r="V200" s="139">
        <f t="shared" si="1175"/>
        <v>1145.5729202551001</v>
      </c>
      <c r="W200" s="140">
        <f t="shared" ref="W200:W206" si="1176">V200</f>
        <v>1145.5729202551001</v>
      </c>
      <c r="X200" s="139">
        <f t="shared" ref="X200:AA200" si="1177">(X21/X229)</f>
        <v>1220.4447449155298</v>
      </c>
      <c r="Y200" s="139">
        <f t="shared" si="1177"/>
        <v>1129.4811888420197</v>
      </c>
      <c r="Z200" s="139">
        <f t="shared" si="1177"/>
        <v>1073.50488033335</v>
      </c>
      <c r="AA200" s="139">
        <f t="shared" si="1177"/>
        <v>1183.4596597555824</v>
      </c>
      <c r="AB200" s="140">
        <f t="shared" ref="AB200:AB206" si="1178">AA200</f>
        <v>1183.4596597555824</v>
      </c>
      <c r="AC200" s="139">
        <f t="shared" ref="AC200:AF200" si="1179">(AC21/AC229)</f>
        <v>1262.4489190068989</v>
      </c>
      <c r="AD200" s="139">
        <f t="shared" si="1179"/>
        <v>1161.9700531405549</v>
      </c>
      <c r="AE200" s="139">
        <f t="shared" si="1179"/>
        <v>1101.9797337401208</v>
      </c>
      <c r="AF200" s="139">
        <f t="shared" si="1179"/>
        <v>1221.7306951935332</v>
      </c>
      <c r="AG200" s="140">
        <f t="shared" ref="AG200:AG206" si="1180">AF200</f>
        <v>1221.7306951935332</v>
      </c>
      <c r="AH200" s="139">
        <f t="shared" ref="AH200:AK200" si="1181">(AH21/AH229)</f>
        <v>1306.6442975555997</v>
      </c>
      <c r="AI200" s="139">
        <f t="shared" si="1181"/>
        <v>1196.004899347585</v>
      </c>
      <c r="AJ200" s="139">
        <f t="shared" si="1181"/>
        <v>1131.9238850378033</v>
      </c>
      <c r="AK200" s="708">
        <f t="shared" si="1181"/>
        <v>1262.0927616305523</v>
      </c>
      <c r="AL200" s="708">
        <f t="shared" ref="AL200:AL206" si="1182">AK200</f>
        <v>1262.0927616305523</v>
      </c>
    </row>
    <row r="201" spans="1:38" s="137" customFormat="1" outlineLevel="1" x14ac:dyDescent="0.2">
      <c r="B201" s="312" t="s">
        <v>175</v>
      </c>
      <c r="C201" s="313"/>
      <c r="D201" s="139">
        <v>2564</v>
      </c>
      <c r="E201" s="139">
        <v>2569.3000000000002</v>
      </c>
      <c r="F201" s="139">
        <v>3238.7</v>
      </c>
      <c r="G201" s="139">
        <v>1753.7</v>
      </c>
      <c r="H201" s="140">
        <f>G201</f>
        <v>1753.7</v>
      </c>
      <c r="I201" s="139">
        <v>1637.8</v>
      </c>
      <c r="J201" s="139">
        <v>1539</v>
      </c>
      <c r="K201" s="139">
        <v>1511.7</v>
      </c>
      <c r="L201" s="139">
        <f>((G23-G22-G20)/(F23-F22-F20)*K201)</f>
        <v>1512.3442420648898</v>
      </c>
      <c r="M201" s="140">
        <f t="shared" si="1172"/>
        <v>1512.3442420648898</v>
      </c>
      <c r="N201" s="139">
        <f>((I23-I22-I20)/(G23-G22-G20)*L201)</f>
        <v>1566.8807333839802</v>
      </c>
      <c r="O201" s="139">
        <f t="shared" ref="O201:Q201" si="1183">((J23-J22-J20)/(I23-I22-I20)*N201)</f>
        <v>1462.3174452000228</v>
      </c>
      <c r="P201" s="139">
        <f t="shared" si="1183"/>
        <v>1275.9634252997093</v>
      </c>
      <c r="Q201" s="139">
        <f t="shared" si="1183"/>
        <v>1465.4279375404969</v>
      </c>
      <c r="R201" s="140">
        <f t="shared" si="1174"/>
        <v>1465.4279375404969</v>
      </c>
      <c r="S201" s="139">
        <f>((N23-N22-N20)/(L23-L22-L20)*Q201)</f>
        <v>1646.5246210031653</v>
      </c>
      <c r="T201" s="139">
        <f t="shared" ref="T201" si="1184">((O23-O22-O20)/(N23-N22-N20)*S201)</f>
        <v>1492.2458162774381</v>
      </c>
      <c r="U201" s="139">
        <f t="shared" ref="U201" si="1185">((P23-P22-P20)/(O23-O22-O20)*T201)</f>
        <v>1168.1349101992876</v>
      </c>
      <c r="V201" s="139">
        <f t="shared" ref="V201" si="1186">((Q23-Q22-Q20)/(P23-P22-P20)*U201)</f>
        <v>1489.9614446030082</v>
      </c>
      <c r="W201" s="140">
        <f t="shared" si="1176"/>
        <v>1489.9614446030082</v>
      </c>
      <c r="X201" s="139">
        <f>((S23-S22-S20)/(Q23-Q22-Q20)*V201)</f>
        <v>1796.4225224141774</v>
      </c>
      <c r="Y201" s="139">
        <f t="shared" ref="Y201" si="1187">((T23-T22-T20)/(S23-S22-S20)*X201)</f>
        <v>1624.4904593536294</v>
      </c>
      <c r="Z201" s="139">
        <f t="shared" ref="Z201" si="1188">((U23-U22-U20)/(T23-T22-T20)*Y201)</f>
        <v>1279.6138843050267</v>
      </c>
      <c r="AA201" s="139">
        <f t="shared" ref="AA201" si="1189">((V23-V22-V20)/(U23-U22-U20)*Z201)</f>
        <v>1627.4077722144625</v>
      </c>
      <c r="AB201" s="140">
        <f t="shared" si="1178"/>
        <v>1627.4077722144625</v>
      </c>
      <c r="AC201" s="139">
        <f>((X23-X22-X20)/(V23-V22-V20)*AA201)</f>
        <v>1929.4092000226074</v>
      </c>
      <c r="AD201" s="139">
        <f t="shared" ref="AD201" si="1190">((Y23-Y22-Y20)/(X23-X22-X20)*AC201)</f>
        <v>1735.7522941681034</v>
      </c>
      <c r="AE201" s="139">
        <f t="shared" ref="AE201" si="1191">((Z23-Z22-Z20)/(Y23-Y22-Y20)*AD201)</f>
        <v>1364.7461957530372</v>
      </c>
      <c r="AF201" s="139">
        <f t="shared" ref="AF201" si="1192">((AA23-AA22-AA20)/(Z23-Z22-Z20)*AE201)</f>
        <v>1740.72653354057</v>
      </c>
      <c r="AG201" s="140">
        <f t="shared" si="1180"/>
        <v>1740.72653354057</v>
      </c>
      <c r="AH201" s="139">
        <f>((AC23-AC22-AC20)/(AA23-AA22-AA20)*AF201)</f>
        <v>2061.6115837631246</v>
      </c>
      <c r="AI201" s="139">
        <f t="shared" ref="AI201" si="1193">((AD23-AD22-AD20)/(AC23-AC22-AC20)*AH201)</f>
        <v>1848.8949479373539</v>
      </c>
      <c r="AJ201" s="139">
        <f t="shared" ref="AJ201" si="1194">((AE23-AE22-AE20)/(AD23-AD22-AD20)*AI201)</f>
        <v>1451.6269004221003</v>
      </c>
      <c r="AK201" s="708">
        <f t="shared" ref="AK201" si="1195">((AF23-AF22-AF20)/(AE23-AE22-AE20)*AJ201)</f>
        <v>1857.2128954532827</v>
      </c>
      <c r="AL201" s="708">
        <f t="shared" si="1182"/>
        <v>1857.2128954532827</v>
      </c>
    </row>
    <row r="202" spans="1:38" s="137" customFormat="1" outlineLevel="1" x14ac:dyDescent="0.2">
      <c r="B202" s="281" t="s">
        <v>240</v>
      </c>
      <c r="C202" s="282"/>
      <c r="D202" s="139">
        <v>0</v>
      </c>
      <c r="E202" s="139">
        <v>0</v>
      </c>
      <c r="F202" s="139">
        <v>0</v>
      </c>
      <c r="G202" s="139">
        <v>664.6</v>
      </c>
      <c r="H202" s="140">
        <f t="shared" ref="H202:H212" si="1196">G202</f>
        <v>664.6</v>
      </c>
      <c r="I202" s="139">
        <v>578.5</v>
      </c>
      <c r="J202" s="139">
        <v>596.1</v>
      </c>
      <c r="K202" s="139">
        <v>652.1</v>
      </c>
      <c r="L202" s="139">
        <f>K202</f>
        <v>652.1</v>
      </c>
      <c r="M202" s="140">
        <f t="shared" si="1172"/>
        <v>652.1</v>
      </c>
      <c r="N202" s="139">
        <f>L202</f>
        <v>652.1</v>
      </c>
      <c r="O202" s="139">
        <f t="shared" ref="O202:Q203" si="1197">N202</f>
        <v>652.1</v>
      </c>
      <c r="P202" s="139">
        <f t="shared" si="1197"/>
        <v>652.1</v>
      </c>
      <c r="Q202" s="139">
        <f t="shared" si="1197"/>
        <v>652.1</v>
      </c>
      <c r="R202" s="140">
        <f t="shared" si="1174"/>
        <v>652.1</v>
      </c>
      <c r="S202" s="139">
        <f>Q202</f>
        <v>652.1</v>
      </c>
      <c r="T202" s="139">
        <f t="shared" ref="T202:V203" si="1198">S202</f>
        <v>652.1</v>
      </c>
      <c r="U202" s="139">
        <f t="shared" si="1198"/>
        <v>652.1</v>
      </c>
      <c r="V202" s="139">
        <f t="shared" si="1198"/>
        <v>652.1</v>
      </c>
      <c r="W202" s="140">
        <f t="shared" si="1176"/>
        <v>652.1</v>
      </c>
      <c r="X202" s="139">
        <f>V202</f>
        <v>652.1</v>
      </c>
      <c r="Y202" s="139">
        <f t="shared" ref="Y202:AA203" si="1199">X202</f>
        <v>652.1</v>
      </c>
      <c r="Z202" s="139">
        <f t="shared" si="1199"/>
        <v>652.1</v>
      </c>
      <c r="AA202" s="139">
        <f t="shared" si="1199"/>
        <v>652.1</v>
      </c>
      <c r="AB202" s="140">
        <f t="shared" si="1178"/>
        <v>652.1</v>
      </c>
      <c r="AC202" s="139">
        <f>AA202</f>
        <v>652.1</v>
      </c>
      <c r="AD202" s="139">
        <f t="shared" ref="AD202:AF203" si="1200">AC202</f>
        <v>652.1</v>
      </c>
      <c r="AE202" s="139">
        <f t="shared" si="1200"/>
        <v>652.1</v>
      </c>
      <c r="AF202" s="139">
        <f t="shared" si="1200"/>
        <v>652.1</v>
      </c>
      <c r="AG202" s="140">
        <f t="shared" si="1180"/>
        <v>652.1</v>
      </c>
      <c r="AH202" s="139">
        <f>AF202</f>
        <v>652.1</v>
      </c>
      <c r="AI202" s="139">
        <f t="shared" ref="AI202:AK203" si="1201">AH202</f>
        <v>652.1</v>
      </c>
      <c r="AJ202" s="139">
        <f t="shared" si="1201"/>
        <v>652.1</v>
      </c>
      <c r="AK202" s="708">
        <f t="shared" si="1201"/>
        <v>652.1</v>
      </c>
      <c r="AL202" s="708">
        <f t="shared" si="1182"/>
        <v>652.1</v>
      </c>
    </row>
    <row r="203" spans="1:38" s="137" customFormat="1" outlineLevel="1" x14ac:dyDescent="0.2">
      <c r="B203" s="281" t="s">
        <v>241</v>
      </c>
      <c r="C203" s="282"/>
      <c r="D203" s="139">
        <v>0</v>
      </c>
      <c r="E203" s="139">
        <v>0</v>
      </c>
      <c r="F203" s="139">
        <v>0</v>
      </c>
      <c r="G203" s="139">
        <v>1291.7</v>
      </c>
      <c r="H203" s="140">
        <f t="shared" si="1196"/>
        <v>1291.7</v>
      </c>
      <c r="I203" s="139">
        <v>1414</v>
      </c>
      <c r="J203" s="139">
        <v>86.7</v>
      </c>
      <c r="K203" s="139">
        <v>90.9</v>
      </c>
      <c r="L203" s="139">
        <f>K203</f>
        <v>90.9</v>
      </c>
      <c r="M203" s="140">
        <f t="shared" si="1172"/>
        <v>90.9</v>
      </c>
      <c r="N203" s="139">
        <f>L203</f>
        <v>90.9</v>
      </c>
      <c r="O203" s="139">
        <f t="shared" si="1197"/>
        <v>90.9</v>
      </c>
      <c r="P203" s="139">
        <f t="shared" si="1197"/>
        <v>90.9</v>
      </c>
      <c r="Q203" s="139">
        <f t="shared" si="1197"/>
        <v>90.9</v>
      </c>
      <c r="R203" s="140">
        <f t="shared" si="1174"/>
        <v>90.9</v>
      </c>
      <c r="S203" s="139">
        <f>Q203</f>
        <v>90.9</v>
      </c>
      <c r="T203" s="139">
        <f t="shared" si="1198"/>
        <v>90.9</v>
      </c>
      <c r="U203" s="139">
        <f t="shared" si="1198"/>
        <v>90.9</v>
      </c>
      <c r="V203" s="139">
        <f t="shared" si="1198"/>
        <v>90.9</v>
      </c>
      <c r="W203" s="140">
        <f t="shared" si="1176"/>
        <v>90.9</v>
      </c>
      <c r="X203" s="139">
        <f>V203</f>
        <v>90.9</v>
      </c>
      <c r="Y203" s="139">
        <f t="shared" si="1199"/>
        <v>90.9</v>
      </c>
      <c r="Z203" s="139">
        <f t="shared" si="1199"/>
        <v>90.9</v>
      </c>
      <c r="AA203" s="139">
        <f t="shared" si="1199"/>
        <v>90.9</v>
      </c>
      <c r="AB203" s="140">
        <f t="shared" si="1178"/>
        <v>90.9</v>
      </c>
      <c r="AC203" s="139">
        <f>AA203</f>
        <v>90.9</v>
      </c>
      <c r="AD203" s="139">
        <f t="shared" si="1200"/>
        <v>90.9</v>
      </c>
      <c r="AE203" s="139">
        <f t="shared" si="1200"/>
        <v>90.9</v>
      </c>
      <c r="AF203" s="139">
        <f t="shared" si="1200"/>
        <v>90.9</v>
      </c>
      <c r="AG203" s="140">
        <f t="shared" si="1180"/>
        <v>90.9</v>
      </c>
      <c r="AH203" s="139">
        <f>AF203</f>
        <v>90.9</v>
      </c>
      <c r="AI203" s="139">
        <f t="shared" si="1201"/>
        <v>90.9</v>
      </c>
      <c r="AJ203" s="139">
        <f t="shared" si="1201"/>
        <v>90.9</v>
      </c>
      <c r="AK203" s="708">
        <f t="shared" si="1201"/>
        <v>90.9</v>
      </c>
      <c r="AL203" s="708">
        <f t="shared" si="1182"/>
        <v>90.9</v>
      </c>
    </row>
    <row r="204" spans="1:38" s="137" customFormat="1" outlineLevel="1" x14ac:dyDescent="0.2">
      <c r="B204" s="281" t="s">
        <v>242</v>
      </c>
      <c r="C204" s="282"/>
      <c r="D204" s="139">
        <v>0</v>
      </c>
      <c r="E204" s="139">
        <v>0</v>
      </c>
      <c r="F204" s="139">
        <v>0</v>
      </c>
      <c r="G204" s="139">
        <v>0</v>
      </c>
      <c r="H204" s="140">
        <f t="shared" si="1196"/>
        <v>0</v>
      </c>
      <c r="I204" s="139">
        <v>1268.9000000000001</v>
      </c>
      <c r="J204" s="139">
        <v>1253.5</v>
      </c>
      <c r="K204" s="139">
        <v>1237.0999999999999</v>
      </c>
      <c r="L204" s="139">
        <f>K204*0.99</f>
        <v>1224.7289999999998</v>
      </c>
      <c r="M204" s="140">
        <f t="shared" si="1172"/>
        <v>1224.7289999999998</v>
      </c>
      <c r="N204" s="139">
        <f>L204*0.99</f>
        <v>1212.4817099999998</v>
      </c>
      <c r="O204" s="139">
        <f t="shared" ref="O204:Q204" si="1202">N204*0.99</f>
        <v>1200.3568928999998</v>
      </c>
      <c r="P204" s="139">
        <f t="shared" si="1202"/>
        <v>1188.3533239709998</v>
      </c>
      <c r="Q204" s="139">
        <f t="shared" si="1202"/>
        <v>1176.4697907312898</v>
      </c>
      <c r="R204" s="140">
        <f t="shared" si="1174"/>
        <v>1176.4697907312898</v>
      </c>
      <c r="S204" s="139">
        <f>Q204*0.99</f>
        <v>1164.7050928239769</v>
      </c>
      <c r="T204" s="139">
        <f t="shared" ref="T204:V204" si="1203">S204*0.99</f>
        <v>1153.058041895737</v>
      </c>
      <c r="U204" s="139">
        <f t="shared" si="1203"/>
        <v>1141.5274614767795</v>
      </c>
      <c r="V204" s="139">
        <f t="shared" si="1203"/>
        <v>1130.1121868620116</v>
      </c>
      <c r="W204" s="140">
        <f t="shared" si="1176"/>
        <v>1130.1121868620116</v>
      </c>
      <c r="X204" s="139">
        <f>V204*0.99</f>
        <v>1118.8110649933915</v>
      </c>
      <c r="Y204" s="139">
        <f t="shared" ref="Y204:AA204" si="1204">X204*0.99</f>
        <v>1107.6229543434576</v>
      </c>
      <c r="Z204" s="139">
        <f t="shared" si="1204"/>
        <v>1096.546724800023</v>
      </c>
      <c r="AA204" s="139">
        <f t="shared" si="1204"/>
        <v>1085.5812575520226</v>
      </c>
      <c r="AB204" s="140">
        <f t="shared" si="1178"/>
        <v>1085.5812575520226</v>
      </c>
      <c r="AC204" s="139">
        <f>AA204*0.99</f>
        <v>1074.7254449765023</v>
      </c>
      <c r="AD204" s="139">
        <f t="shared" ref="AD204:AF204" si="1205">AC204*0.99</f>
        <v>1063.9781905267373</v>
      </c>
      <c r="AE204" s="139">
        <f t="shared" si="1205"/>
        <v>1053.3384086214699</v>
      </c>
      <c r="AF204" s="139">
        <f t="shared" si="1205"/>
        <v>1042.8050245352551</v>
      </c>
      <c r="AG204" s="140">
        <f t="shared" si="1180"/>
        <v>1042.8050245352551</v>
      </c>
      <c r="AH204" s="139">
        <f>AF204*0.99</f>
        <v>1032.3769742899026</v>
      </c>
      <c r="AI204" s="139">
        <f t="shared" ref="AI204:AK204" si="1206">AH204*0.99</f>
        <v>1022.0532045470036</v>
      </c>
      <c r="AJ204" s="139">
        <f t="shared" si="1206"/>
        <v>1011.8326725015336</v>
      </c>
      <c r="AK204" s="708">
        <f t="shared" si="1206"/>
        <v>1001.7143457765183</v>
      </c>
      <c r="AL204" s="708">
        <f t="shared" si="1182"/>
        <v>1001.7143457765183</v>
      </c>
    </row>
    <row r="205" spans="1:38" s="137" customFormat="1" outlineLevel="1" x14ac:dyDescent="0.2">
      <c r="B205" s="281" t="s">
        <v>176</v>
      </c>
      <c r="C205" s="282"/>
      <c r="D205" s="139">
        <v>1554.2</v>
      </c>
      <c r="E205" s="139">
        <v>1311.4</v>
      </c>
      <c r="F205" s="139">
        <v>1300.2</v>
      </c>
      <c r="G205" s="139">
        <v>1269</v>
      </c>
      <c r="H205" s="140">
        <f t="shared" si="1196"/>
        <v>1269</v>
      </c>
      <c r="I205" s="139">
        <v>1694.1</v>
      </c>
      <c r="J205" s="139">
        <v>1436.3</v>
      </c>
      <c r="K205" s="139">
        <v>1463.3</v>
      </c>
      <c r="L205" s="139">
        <f>K205*0.99</f>
        <v>1448.6669999999999</v>
      </c>
      <c r="M205" s="140">
        <f t="shared" si="1172"/>
        <v>1448.6669999999999</v>
      </c>
      <c r="N205" s="139">
        <f>L205*1.3</f>
        <v>1883.2671</v>
      </c>
      <c r="O205" s="139">
        <f>N205*0.85</f>
        <v>1600.7770350000001</v>
      </c>
      <c r="P205" s="139">
        <f>O205*0.99</f>
        <v>1584.76926465</v>
      </c>
      <c r="Q205" s="139">
        <f>P205*0.99</f>
        <v>1568.9215720034999</v>
      </c>
      <c r="R205" s="140">
        <f t="shared" si="1174"/>
        <v>1568.9215720034999</v>
      </c>
      <c r="S205" s="139">
        <f>Q205*1.3</f>
        <v>2039.59804360455</v>
      </c>
      <c r="T205" s="139">
        <f>S205*0.85</f>
        <v>1733.6583370638675</v>
      </c>
      <c r="U205" s="139">
        <f>T205*0.99</f>
        <v>1716.3217536932289</v>
      </c>
      <c r="V205" s="139">
        <f>U205*0.99</f>
        <v>1699.1585361562966</v>
      </c>
      <c r="W205" s="140">
        <f t="shared" si="1176"/>
        <v>1699.1585361562966</v>
      </c>
      <c r="X205" s="139">
        <f>V205*1.3</f>
        <v>2208.9060970031856</v>
      </c>
      <c r="Y205" s="139">
        <f>X205*0.85</f>
        <v>1877.5701824527077</v>
      </c>
      <c r="Z205" s="139">
        <f>Y205*0.99</f>
        <v>1858.7944806281807</v>
      </c>
      <c r="AA205" s="139">
        <f>Z205*0.99</f>
        <v>1840.206535821899</v>
      </c>
      <c r="AB205" s="140">
        <f t="shared" si="1178"/>
        <v>1840.206535821899</v>
      </c>
      <c r="AC205" s="139">
        <f>AA205*1.3</f>
        <v>2392.2684965684689</v>
      </c>
      <c r="AD205" s="139">
        <f>AC205*0.85</f>
        <v>2033.4282220831985</v>
      </c>
      <c r="AE205" s="139">
        <f>AD205*0.99</f>
        <v>2013.0939398623666</v>
      </c>
      <c r="AF205" s="139">
        <f>AE205*0.99</f>
        <v>1992.9630004637429</v>
      </c>
      <c r="AG205" s="140">
        <f t="shared" si="1180"/>
        <v>1992.9630004637429</v>
      </c>
      <c r="AH205" s="139">
        <f>AF205*1.3</f>
        <v>2590.851900602866</v>
      </c>
      <c r="AI205" s="139">
        <f>AH205*0.85</f>
        <v>2202.2241155124361</v>
      </c>
      <c r="AJ205" s="139">
        <f>AI205*0.99</f>
        <v>2180.2018743573117</v>
      </c>
      <c r="AK205" s="708">
        <f>AJ205*0.99</f>
        <v>2158.3998556137385</v>
      </c>
      <c r="AL205" s="708">
        <f t="shared" si="1182"/>
        <v>2158.3998556137385</v>
      </c>
    </row>
    <row r="206" spans="1:38" s="137" customFormat="1" ht="19" customHeight="1" outlineLevel="1" x14ac:dyDescent="0.2">
      <c r="B206" s="281" t="s">
        <v>246</v>
      </c>
      <c r="C206" s="670"/>
      <c r="D206" s="139">
        <v>0</v>
      </c>
      <c r="E206" s="139">
        <f>75+0</f>
        <v>75</v>
      </c>
      <c r="F206" s="139">
        <v>0</v>
      </c>
      <c r="G206" s="139">
        <v>0</v>
      </c>
      <c r="H206" s="140">
        <f t="shared" si="1196"/>
        <v>0</v>
      </c>
      <c r="I206" s="139">
        <f>497.9+498.7</f>
        <v>996.59999999999991</v>
      </c>
      <c r="J206" s="139">
        <f>1107.1+1249.4</f>
        <v>2356.5</v>
      </c>
      <c r="K206" s="139">
        <f>936.5+1249.6</f>
        <v>2186.1</v>
      </c>
      <c r="L206" s="139">
        <f>K206-437</f>
        <v>1749.1</v>
      </c>
      <c r="M206" s="140">
        <f t="shared" si="1172"/>
        <v>1749.1</v>
      </c>
      <c r="N206" s="139">
        <f>L206-437</f>
        <v>1312.1</v>
      </c>
      <c r="O206" s="139">
        <f>N206-437</f>
        <v>875.09999999999991</v>
      </c>
      <c r="P206" s="139">
        <f>O206-437</f>
        <v>438.09999999999991</v>
      </c>
      <c r="Q206" s="139">
        <v>1000</v>
      </c>
      <c r="R206" s="140">
        <f t="shared" si="1174"/>
        <v>1000</v>
      </c>
      <c r="S206" s="139">
        <v>750</v>
      </c>
      <c r="T206" s="139">
        <v>500</v>
      </c>
      <c r="U206" s="139">
        <v>250</v>
      </c>
      <c r="V206" s="139">
        <v>1000</v>
      </c>
      <c r="W206" s="140">
        <f t="shared" si="1176"/>
        <v>1000</v>
      </c>
      <c r="X206" s="139">
        <v>750</v>
      </c>
      <c r="Y206" s="139">
        <v>500</v>
      </c>
      <c r="Z206" s="139">
        <v>250</v>
      </c>
      <c r="AA206" s="139">
        <v>1543</v>
      </c>
      <c r="AB206" s="140">
        <f t="shared" si="1178"/>
        <v>1543</v>
      </c>
      <c r="AC206" s="139">
        <v>1157</v>
      </c>
      <c r="AD206" s="139">
        <v>772</v>
      </c>
      <c r="AE206" s="139">
        <v>386</v>
      </c>
      <c r="AF206" s="139">
        <v>3000</v>
      </c>
      <c r="AG206" s="140">
        <f t="shared" si="1180"/>
        <v>3000</v>
      </c>
      <c r="AH206" s="139">
        <v>2250</v>
      </c>
      <c r="AI206" s="139">
        <v>1500</v>
      </c>
      <c r="AJ206" s="139">
        <v>750</v>
      </c>
      <c r="AK206" s="708">
        <v>2000</v>
      </c>
      <c r="AL206" s="708">
        <f t="shared" si="1182"/>
        <v>2000</v>
      </c>
    </row>
    <row r="207" spans="1:38" s="137" customFormat="1" ht="19" customHeight="1" outlineLevel="1" x14ac:dyDescent="0.35">
      <c r="B207" s="281" t="s">
        <v>239</v>
      </c>
      <c r="C207" s="670"/>
      <c r="D207" s="154">
        <v>208.8</v>
      </c>
      <c r="E207" s="154">
        <v>221</v>
      </c>
      <c r="F207" s="154">
        <v>211.5</v>
      </c>
      <c r="G207" s="154">
        <v>0</v>
      </c>
      <c r="H207" s="243">
        <f t="shared" si="1196"/>
        <v>0</v>
      </c>
      <c r="I207" s="154">
        <v>0</v>
      </c>
      <c r="J207" s="154">
        <v>0</v>
      </c>
      <c r="K207" s="154">
        <v>0</v>
      </c>
      <c r="L207" s="154">
        <v>0</v>
      </c>
      <c r="M207" s="243">
        <v>0</v>
      </c>
      <c r="N207" s="154">
        <v>0</v>
      </c>
      <c r="O207" s="154">
        <v>0</v>
      </c>
      <c r="P207" s="154">
        <v>0</v>
      </c>
      <c r="Q207" s="154">
        <v>0</v>
      </c>
      <c r="R207" s="243">
        <v>0</v>
      </c>
      <c r="S207" s="154">
        <v>0</v>
      </c>
      <c r="T207" s="154">
        <v>0</v>
      </c>
      <c r="U207" s="154">
        <v>0</v>
      </c>
      <c r="V207" s="154">
        <v>0</v>
      </c>
      <c r="W207" s="243">
        <v>0</v>
      </c>
      <c r="X207" s="154">
        <v>0</v>
      </c>
      <c r="Y207" s="154">
        <v>0</v>
      </c>
      <c r="Z207" s="154">
        <v>0</v>
      </c>
      <c r="AA207" s="154">
        <v>0</v>
      </c>
      <c r="AB207" s="243">
        <v>0</v>
      </c>
      <c r="AC207" s="154">
        <v>0</v>
      </c>
      <c r="AD207" s="154">
        <v>0</v>
      </c>
      <c r="AE207" s="154">
        <v>0</v>
      </c>
      <c r="AF207" s="154">
        <v>0</v>
      </c>
      <c r="AG207" s="243">
        <v>0</v>
      </c>
      <c r="AH207" s="154">
        <v>0</v>
      </c>
      <c r="AI207" s="154">
        <v>0</v>
      </c>
      <c r="AJ207" s="154">
        <v>0</v>
      </c>
      <c r="AK207" s="710">
        <v>0</v>
      </c>
      <c r="AL207" s="710">
        <v>0</v>
      </c>
    </row>
    <row r="208" spans="1:38" s="152" customFormat="1" ht="19" customHeight="1" outlineLevel="1" x14ac:dyDescent="0.2">
      <c r="B208" s="260" t="s">
        <v>8</v>
      </c>
      <c r="C208" s="671"/>
      <c r="D208" s="169">
        <f t="shared" ref="D208:L208" si="1207">SUM(D200:D207)</f>
        <v>5427.5</v>
      </c>
      <c r="E208" s="169">
        <f t="shared" si="1207"/>
        <v>5273.4</v>
      </c>
      <c r="F208" s="169">
        <f t="shared" si="1207"/>
        <v>5895.8</v>
      </c>
      <c r="G208" s="169">
        <f t="shared" si="1207"/>
        <v>6168.7</v>
      </c>
      <c r="H208" s="244">
        <f t="shared" si="1207"/>
        <v>6168.7</v>
      </c>
      <c r="I208" s="169">
        <f t="shared" si="1207"/>
        <v>8675.5</v>
      </c>
      <c r="J208" s="169">
        <f t="shared" si="1207"/>
        <v>8265.7999999999993</v>
      </c>
      <c r="K208" s="169">
        <f t="shared" si="1207"/>
        <v>8002</v>
      </c>
      <c r="L208" s="169">
        <f t="shared" si="1207"/>
        <v>7769.2762255861671</v>
      </c>
      <c r="M208" s="244">
        <f>SUM(M200:M207)</f>
        <v>7769.2762255861671</v>
      </c>
      <c r="N208" s="169">
        <f>SUM(N200:N207)</f>
        <v>7853.4143130428147</v>
      </c>
      <c r="O208" s="169">
        <f t="shared" ref="O208:Q208" si="1208">SUM(O200:O207)</f>
        <v>6937.7915233499934</v>
      </c>
      <c r="P208" s="169">
        <f t="shared" si="1208"/>
        <v>6237.5447473107215</v>
      </c>
      <c r="Q208" s="169">
        <f t="shared" si="1208"/>
        <v>7052.4204762982308</v>
      </c>
      <c r="R208" s="244">
        <f>SUM(R200:R207)</f>
        <v>7052.4204762982308</v>
      </c>
      <c r="S208" s="169">
        <f>SUM(S200:S207)</f>
        <v>7520.0494981419761</v>
      </c>
      <c r="T208" s="169">
        <f t="shared" ref="T208" si="1209">SUM(T200:T207)</f>
        <v>6717.8758540981871</v>
      </c>
      <c r="U208" s="169">
        <f t="shared" ref="U208" si="1210">SUM(U200:U207)</f>
        <v>6063.9101924169181</v>
      </c>
      <c r="V208" s="169">
        <f t="shared" ref="V208" si="1211">SUM(V200:V207)</f>
        <v>7207.8050878764161</v>
      </c>
      <c r="W208" s="244">
        <f>SUM(W200:W207)</f>
        <v>7207.8050878764161</v>
      </c>
      <c r="X208" s="169">
        <f>SUM(X200:X207)</f>
        <v>7837.5844293262835</v>
      </c>
      <c r="Y208" s="169">
        <f t="shared" ref="Y208" si="1212">SUM(Y200:Y207)</f>
        <v>6982.1647849918145</v>
      </c>
      <c r="Z208" s="169">
        <f t="shared" ref="Z208" si="1213">SUM(Z200:Z207)</f>
        <v>6301.4599700665804</v>
      </c>
      <c r="AA208" s="169">
        <f t="shared" ref="AA208" si="1214">SUM(AA200:AA207)</f>
        <v>8022.6552253439659</v>
      </c>
      <c r="AB208" s="244">
        <f>SUM(AB200:AB207)</f>
        <v>8022.6552253439659</v>
      </c>
      <c r="AC208" s="169">
        <f>SUM(AC200:AC207)</f>
        <v>8558.8520605744779</v>
      </c>
      <c r="AD208" s="169">
        <f t="shared" ref="AD208" si="1215">SUM(AD200:AD207)</f>
        <v>7510.1287599185935</v>
      </c>
      <c r="AE208" s="169">
        <f t="shared" ref="AE208" si="1216">SUM(AE200:AE207)</f>
        <v>6662.1582779769951</v>
      </c>
      <c r="AF208" s="169">
        <f t="shared" ref="AF208" si="1217">SUM(AF200:AF207)</f>
        <v>9741.2252537331005</v>
      </c>
      <c r="AG208" s="244">
        <f>SUM(AG200:AG207)</f>
        <v>9741.2252537331005</v>
      </c>
      <c r="AH208" s="169">
        <f>SUM(AH200:AH207)</f>
        <v>9984.4847562114919</v>
      </c>
      <c r="AI208" s="169">
        <f t="shared" ref="AI208" si="1218">SUM(AI200:AI207)</f>
        <v>8512.1771673443782</v>
      </c>
      <c r="AJ208" s="169">
        <f t="shared" ref="AJ208" si="1219">SUM(AJ200:AJ207)</f>
        <v>7268.5853323187494</v>
      </c>
      <c r="AK208" s="709">
        <f t="shared" ref="AK208" si="1220">SUM(AK200:AK207)</f>
        <v>9022.4198584740916</v>
      </c>
      <c r="AL208" s="709">
        <f>SUM(AL200:AL207)</f>
        <v>9022.4198584740916</v>
      </c>
    </row>
    <row r="209" spans="1:38" s="137" customFormat="1" ht="19" customHeight="1" outlineLevel="1" x14ac:dyDescent="0.2">
      <c r="B209" s="281" t="s">
        <v>177</v>
      </c>
      <c r="C209" s="670"/>
      <c r="D209" s="139">
        <v>9130.7000000000007</v>
      </c>
      <c r="E209" s="139">
        <v>9141.5</v>
      </c>
      <c r="F209" s="139">
        <v>11159.1</v>
      </c>
      <c r="G209" s="139">
        <v>11167</v>
      </c>
      <c r="H209" s="140">
        <f t="shared" si="1196"/>
        <v>11167</v>
      </c>
      <c r="I209" s="139">
        <v>10653.2</v>
      </c>
      <c r="J209" s="139">
        <v>11658.7</v>
      </c>
      <c r="K209" s="139">
        <v>14645.6</v>
      </c>
      <c r="L209" s="139">
        <f>K209</f>
        <v>14645.6</v>
      </c>
      <c r="M209" s="140">
        <f>L209</f>
        <v>14645.6</v>
      </c>
      <c r="N209" s="139">
        <f>L209</f>
        <v>14645.6</v>
      </c>
      <c r="O209" s="139">
        <f>N209</f>
        <v>14645.6</v>
      </c>
      <c r="P209" s="139">
        <f>O209</f>
        <v>14645.6</v>
      </c>
      <c r="Q209" s="139">
        <f>P209-1000</f>
        <v>13645.6</v>
      </c>
      <c r="R209" s="140">
        <f>Q209</f>
        <v>13645.6</v>
      </c>
      <c r="S209" s="139">
        <f>Q209</f>
        <v>13645.6</v>
      </c>
      <c r="T209" s="139">
        <f>S209</f>
        <v>13645.6</v>
      </c>
      <c r="U209" s="139">
        <f>T209</f>
        <v>13645.6</v>
      </c>
      <c r="V209" s="139">
        <f>U209-1000</f>
        <v>12645.6</v>
      </c>
      <c r="W209" s="140">
        <f>V209</f>
        <v>12645.6</v>
      </c>
      <c r="X209" s="139">
        <f>V209</f>
        <v>12645.6</v>
      </c>
      <c r="Y209" s="139">
        <f>X209</f>
        <v>12645.6</v>
      </c>
      <c r="Z209" s="139">
        <f>Y209</f>
        <v>12645.6</v>
      </c>
      <c r="AA209" s="139">
        <f>Z209-1543</f>
        <v>11102.6</v>
      </c>
      <c r="AB209" s="140">
        <f>AA209</f>
        <v>11102.6</v>
      </c>
      <c r="AC209" s="139">
        <f>AA209</f>
        <v>11102.6</v>
      </c>
      <c r="AD209" s="139">
        <f>AC209</f>
        <v>11102.6</v>
      </c>
      <c r="AE209" s="139">
        <f>AD209</f>
        <v>11102.6</v>
      </c>
      <c r="AF209" s="139">
        <f>AE209-3000</f>
        <v>8102.6</v>
      </c>
      <c r="AG209" s="140">
        <f>AF209</f>
        <v>8102.6</v>
      </c>
      <c r="AH209" s="139">
        <f>AF209</f>
        <v>8102.6</v>
      </c>
      <c r="AI209" s="139">
        <f>AH209</f>
        <v>8102.6</v>
      </c>
      <c r="AJ209" s="139">
        <f>AI209</f>
        <v>8102.6</v>
      </c>
      <c r="AK209" s="708">
        <f>AJ209-2000</f>
        <v>6102.6</v>
      </c>
      <c r="AL209" s="708">
        <f>AK209</f>
        <v>6102.6</v>
      </c>
    </row>
    <row r="210" spans="1:38" s="137" customFormat="1" ht="19" customHeight="1" outlineLevel="1" x14ac:dyDescent="0.2">
      <c r="B210" s="281" t="s">
        <v>247</v>
      </c>
      <c r="C210" s="656"/>
      <c r="D210" s="139">
        <v>0</v>
      </c>
      <c r="E210" s="139">
        <v>0</v>
      </c>
      <c r="F210" s="139">
        <v>0</v>
      </c>
      <c r="G210" s="139">
        <v>0</v>
      </c>
      <c r="H210" s="140">
        <f t="shared" si="1196"/>
        <v>0</v>
      </c>
      <c r="I210" s="139">
        <v>7711.7</v>
      </c>
      <c r="J210" s="139">
        <v>7650.4</v>
      </c>
      <c r="K210" s="139">
        <v>7653.6</v>
      </c>
      <c r="L210" s="139">
        <f>K210*0.99</f>
        <v>7577.0640000000003</v>
      </c>
      <c r="M210" s="140">
        <f>L210</f>
        <v>7577.0640000000003</v>
      </c>
      <c r="N210" s="139">
        <f>L210*0.99</f>
        <v>7501.2933600000006</v>
      </c>
      <c r="O210" s="139">
        <f t="shared" ref="O210:Q210" si="1221">N210*0.99</f>
        <v>7426.2804264000006</v>
      </c>
      <c r="P210" s="139">
        <f t="shared" si="1221"/>
        <v>7352.0176221360007</v>
      </c>
      <c r="Q210" s="139">
        <f t="shared" si="1221"/>
        <v>7278.4974459146406</v>
      </c>
      <c r="R210" s="140">
        <f>Q210</f>
        <v>7278.4974459146406</v>
      </c>
      <c r="S210" s="139">
        <f>Q210*0.99</f>
        <v>7205.7124714554939</v>
      </c>
      <c r="T210" s="139">
        <f t="shared" ref="T210:V210" si="1222">S210*0.99</f>
        <v>7133.6553467409385</v>
      </c>
      <c r="U210" s="139">
        <f t="shared" si="1222"/>
        <v>7062.3187932735291</v>
      </c>
      <c r="V210" s="139">
        <f t="shared" si="1222"/>
        <v>6991.6956053407939</v>
      </c>
      <c r="W210" s="140">
        <f>V210</f>
        <v>6991.6956053407939</v>
      </c>
      <c r="X210" s="139">
        <f>V210*0.99</f>
        <v>6921.7786492873856</v>
      </c>
      <c r="Y210" s="139">
        <f t="shared" ref="Y210:AA210" si="1223">X210*0.99</f>
        <v>6852.5608627945121</v>
      </c>
      <c r="Z210" s="139">
        <f t="shared" si="1223"/>
        <v>6784.035254166567</v>
      </c>
      <c r="AA210" s="139">
        <f t="shared" si="1223"/>
        <v>6716.1949016249009</v>
      </c>
      <c r="AB210" s="140">
        <f>AA210</f>
        <v>6716.1949016249009</v>
      </c>
      <c r="AC210" s="139">
        <f>AA210*0.99</f>
        <v>6649.0329526086516</v>
      </c>
      <c r="AD210" s="139">
        <f t="shared" ref="AD210:AF210" si="1224">AC210*0.99</f>
        <v>6582.5426230825651</v>
      </c>
      <c r="AE210" s="139">
        <f t="shared" si="1224"/>
        <v>6516.7171968517396</v>
      </c>
      <c r="AF210" s="139">
        <f t="shared" si="1224"/>
        <v>6451.5500248832222</v>
      </c>
      <c r="AG210" s="140">
        <f>AF210</f>
        <v>6451.5500248832222</v>
      </c>
      <c r="AH210" s="139">
        <f>AF210*0.99</f>
        <v>6387.0345246343895</v>
      </c>
      <c r="AI210" s="139">
        <f t="shared" ref="AI210:AK210" si="1225">AH210*0.99</f>
        <v>6323.1641793880453</v>
      </c>
      <c r="AJ210" s="139">
        <f t="shared" si="1225"/>
        <v>6259.9325375941644</v>
      </c>
      <c r="AK210" s="708">
        <f t="shared" si="1225"/>
        <v>6197.3332122182228</v>
      </c>
      <c r="AL210" s="708">
        <f>AK210</f>
        <v>6197.3332122182228</v>
      </c>
    </row>
    <row r="211" spans="1:38" s="137" customFormat="1" ht="19" customHeight="1" outlineLevel="1" x14ac:dyDescent="0.2">
      <c r="B211" s="281" t="s">
        <v>186</v>
      </c>
      <c r="C211" s="656"/>
      <c r="D211" s="139">
        <v>6823.7</v>
      </c>
      <c r="E211" s="139">
        <v>6761.9</v>
      </c>
      <c r="F211" s="139">
        <v>6717.9</v>
      </c>
      <c r="G211" s="139">
        <v>6744.4</v>
      </c>
      <c r="H211" s="140">
        <f>G211</f>
        <v>6744.4</v>
      </c>
      <c r="I211" s="139">
        <v>6748.8</v>
      </c>
      <c r="J211" s="139">
        <v>6685.5</v>
      </c>
      <c r="K211" s="139">
        <v>6642.6</v>
      </c>
      <c r="L211" s="139">
        <f>K211*0.996</f>
        <v>6616.0296000000008</v>
      </c>
      <c r="M211" s="140">
        <f>L211</f>
        <v>6616.0296000000008</v>
      </c>
      <c r="N211" s="139">
        <f>L211*0.996</f>
        <v>6589.5654816000006</v>
      </c>
      <c r="O211" s="139">
        <f t="shared" ref="O211:AK211" si="1226">N211*0.996</f>
        <v>6563.2072196736008</v>
      </c>
      <c r="P211" s="139">
        <f t="shared" si="1226"/>
        <v>6536.9543907949064</v>
      </c>
      <c r="Q211" s="139">
        <f t="shared" si="1226"/>
        <v>6510.8065732317264</v>
      </c>
      <c r="R211" s="140">
        <f>Q211</f>
        <v>6510.8065732317264</v>
      </c>
      <c r="S211" s="139">
        <f t="shared" si="1226"/>
        <v>6484.7633469387993</v>
      </c>
      <c r="T211" s="139">
        <f t="shared" si="1226"/>
        <v>6458.8242935510443</v>
      </c>
      <c r="U211" s="139">
        <f t="shared" si="1226"/>
        <v>6432.9889963768401</v>
      </c>
      <c r="V211" s="139">
        <f t="shared" si="1226"/>
        <v>6407.2570403913323</v>
      </c>
      <c r="W211" s="140">
        <f>V211</f>
        <v>6407.2570403913323</v>
      </c>
      <c r="X211" s="139">
        <f t="shared" si="1226"/>
        <v>6381.6280122297667</v>
      </c>
      <c r="Y211" s="139">
        <f t="shared" si="1226"/>
        <v>6356.1015001808473</v>
      </c>
      <c r="Z211" s="139">
        <f t="shared" si="1226"/>
        <v>6330.6770941801242</v>
      </c>
      <c r="AA211" s="139">
        <f t="shared" si="1226"/>
        <v>6305.3543858034036</v>
      </c>
      <c r="AB211" s="140">
        <f>AA211</f>
        <v>6305.3543858034036</v>
      </c>
      <c r="AC211" s="139">
        <f t="shared" si="1226"/>
        <v>6280.13296826019</v>
      </c>
      <c r="AD211" s="139">
        <f t="shared" si="1226"/>
        <v>6255.0124363871491</v>
      </c>
      <c r="AE211" s="139">
        <f t="shared" si="1226"/>
        <v>6229.9923866416002</v>
      </c>
      <c r="AF211" s="139">
        <f t="shared" si="1226"/>
        <v>6205.0724170950334</v>
      </c>
      <c r="AG211" s="140">
        <f>AF211</f>
        <v>6205.0724170950334</v>
      </c>
      <c r="AH211" s="139">
        <f t="shared" si="1226"/>
        <v>6180.2521274266528</v>
      </c>
      <c r="AI211" s="139">
        <f t="shared" si="1226"/>
        <v>6155.5311189169461</v>
      </c>
      <c r="AJ211" s="139">
        <f t="shared" si="1226"/>
        <v>6130.9089944412781</v>
      </c>
      <c r="AK211" s="708">
        <f t="shared" si="1226"/>
        <v>6106.3853584635126</v>
      </c>
      <c r="AL211" s="708">
        <f>AK211</f>
        <v>6106.3853584635126</v>
      </c>
    </row>
    <row r="212" spans="1:38" s="137" customFormat="1" ht="19" customHeight="1" outlineLevel="1" x14ac:dyDescent="0.35">
      <c r="B212" s="312" t="s">
        <v>178</v>
      </c>
      <c r="C212" s="313"/>
      <c r="D212" s="154">
        <v>1478.2</v>
      </c>
      <c r="E212" s="154">
        <v>1500.3</v>
      </c>
      <c r="F212" s="154">
        <v>1440.6</v>
      </c>
      <c r="G212" s="154">
        <v>1370.5</v>
      </c>
      <c r="H212" s="243">
        <f t="shared" si="1196"/>
        <v>1370.5</v>
      </c>
      <c r="I212" s="154">
        <v>701.2</v>
      </c>
      <c r="J212" s="154">
        <v>751.4</v>
      </c>
      <c r="K212" s="154">
        <v>821.1</v>
      </c>
      <c r="L212" s="154">
        <f>K212*1.015</f>
        <v>833.41649999999993</v>
      </c>
      <c r="M212" s="243">
        <f>L212</f>
        <v>833.41649999999993</v>
      </c>
      <c r="N212" s="154">
        <f>L212*1.015</f>
        <v>845.91774749999979</v>
      </c>
      <c r="O212" s="154">
        <f t="shared" ref="O212:Q212" si="1227">N212*1.015</f>
        <v>858.60651371249969</v>
      </c>
      <c r="P212" s="154">
        <f t="shared" si="1227"/>
        <v>871.48561141818709</v>
      </c>
      <c r="Q212" s="154">
        <f t="shared" si="1227"/>
        <v>884.5578955894598</v>
      </c>
      <c r="R212" s="243">
        <f>Q212</f>
        <v>884.5578955894598</v>
      </c>
      <c r="S212" s="154">
        <f>Q212*1.015</f>
        <v>897.82626402330163</v>
      </c>
      <c r="T212" s="154">
        <f t="shared" ref="T212:V212" si="1228">S212*1.015</f>
        <v>911.29365798365109</v>
      </c>
      <c r="U212" s="154">
        <f t="shared" si="1228"/>
        <v>924.96306285340575</v>
      </c>
      <c r="V212" s="154">
        <f t="shared" si="1228"/>
        <v>938.83750879620675</v>
      </c>
      <c r="W212" s="243">
        <f>V212</f>
        <v>938.83750879620675</v>
      </c>
      <c r="X212" s="154">
        <f>V212*1.015</f>
        <v>952.92007142814975</v>
      </c>
      <c r="Y212" s="154">
        <f t="shared" ref="Y212:AA212" si="1229">X212*1.015</f>
        <v>967.21387249957195</v>
      </c>
      <c r="Z212" s="154">
        <f t="shared" si="1229"/>
        <v>981.72208058706542</v>
      </c>
      <c r="AA212" s="154">
        <f t="shared" si="1229"/>
        <v>996.44791179587128</v>
      </c>
      <c r="AB212" s="154">
        <f>AA212</f>
        <v>996.44791179587128</v>
      </c>
      <c r="AC212" s="154">
        <f>AA212*1.015</f>
        <v>1011.3946304728092</v>
      </c>
      <c r="AD212" s="154">
        <f t="shared" ref="AD212:AF212" si="1230">AC212*1.015</f>
        <v>1026.5655499299012</v>
      </c>
      <c r="AE212" s="154">
        <f t="shared" si="1230"/>
        <v>1041.9640331788496</v>
      </c>
      <c r="AF212" s="154">
        <f t="shared" si="1230"/>
        <v>1057.5934936765323</v>
      </c>
      <c r="AG212" s="710">
        <f>AF212</f>
        <v>1057.5934936765323</v>
      </c>
      <c r="AH212" s="154">
        <f>AF212*1.015</f>
        <v>1073.4573960816801</v>
      </c>
      <c r="AI212" s="154">
        <f t="shared" ref="AI212:AK212" si="1231">AH212*1.015</f>
        <v>1089.5592570229053</v>
      </c>
      <c r="AJ212" s="154">
        <f t="shared" si="1231"/>
        <v>1105.9026458782487</v>
      </c>
      <c r="AK212" s="710">
        <f t="shared" si="1231"/>
        <v>1122.4911855664222</v>
      </c>
      <c r="AL212" s="710">
        <f>AK212</f>
        <v>1122.4911855664222</v>
      </c>
    </row>
    <row r="213" spans="1:38" s="137" customFormat="1" ht="19" customHeight="1" outlineLevel="1" x14ac:dyDescent="0.2">
      <c r="B213" s="672" t="s">
        <v>9</v>
      </c>
      <c r="C213" s="673"/>
      <c r="D213" s="169">
        <f t="shared" ref="D213" si="1232">SUM(D208:D212)</f>
        <v>22860.100000000002</v>
      </c>
      <c r="E213" s="169">
        <f>SUM(E208:E212)</f>
        <v>22677.1</v>
      </c>
      <c r="F213" s="169">
        <f>SUM(F208:F212)</f>
        <v>25213.4</v>
      </c>
      <c r="G213" s="169">
        <f>SUM(G208:G212)</f>
        <v>25450.6</v>
      </c>
      <c r="H213" s="244">
        <f t="shared" ref="H213" si="1233">SUM(H208:H212)</f>
        <v>25450.6</v>
      </c>
      <c r="I213" s="169">
        <f>SUM(I208:I212)</f>
        <v>34490.400000000001</v>
      </c>
      <c r="J213" s="169">
        <f>SUM(J208:J212)</f>
        <v>35011.800000000003</v>
      </c>
      <c r="K213" s="169">
        <f>SUM(K208:K212)</f>
        <v>37764.899999999994</v>
      </c>
      <c r="L213" s="169">
        <f>SUM(L208:L212)</f>
        <v>37441.386325586165</v>
      </c>
      <c r="M213" s="244">
        <f t="shared" ref="M213:R213" si="1234">SUM(M208:M212)</f>
        <v>37441.386325586165</v>
      </c>
      <c r="N213" s="169">
        <f t="shared" si="1234"/>
        <v>37435.79090214282</v>
      </c>
      <c r="O213" s="169">
        <f t="shared" si="1234"/>
        <v>36431.485683136096</v>
      </c>
      <c r="P213" s="169">
        <f t="shared" si="1234"/>
        <v>35643.602371659821</v>
      </c>
      <c r="Q213" s="169">
        <f t="shared" si="1234"/>
        <v>35371.882391034058</v>
      </c>
      <c r="R213" s="244">
        <f t="shared" si="1234"/>
        <v>35371.882391034058</v>
      </c>
      <c r="S213" s="169">
        <f t="shared" ref="S213" si="1235">SUM(S208:S212)</f>
        <v>35753.951580559573</v>
      </c>
      <c r="T213" s="169">
        <f t="shared" ref="T213" si="1236">SUM(T208:T212)</f>
        <v>34867.249152373821</v>
      </c>
      <c r="U213" s="169">
        <f t="shared" ref="U213" si="1237">SUM(U208:U212)</f>
        <v>34129.781044920688</v>
      </c>
      <c r="V213" s="169">
        <f t="shared" ref="V213" si="1238">SUM(V208:V212)</f>
        <v>34191.195242404749</v>
      </c>
      <c r="W213" s="244">
        <f t="shared" ref="W213" si="1239">SUM(W208:W212)</f>
        <v>34191.195242404749</v>
      </c>
      <c r="X213" s="169">
        <f t="shared" ref="X213" si="1240">SUM(X208:X212)</f>
        <v>34739.511162271585</v>
      </c>
      <c r="Y213" s="169">
        <f t="shared" ref="Y213" si="1241">SUM(Y208:Y212)</f>
        <v>33803.641020466748</v>
      </c>
      <c r="Z213" s="169">
        <f t="shared" ref="Z213" si="1242">SUM(Z208:Z212)</f>
        <v>33043.494399000338</v>
      </c>
      <c r="AA213" s="169">
        <f t="shared" ref="AA213" si="1243">SUM(AA208:AA212)</f>
        <v>33143.252424568142</v>
      </c>
      <c r="AB213" s="169">
        <f t="shared" ref="AB213" si="1244">SUM(AB208:AB212)</f>
        <v>33143.252424568142</v>
      </c>
      <c r="AC213" s="169">
        <f t="shared" ref="AC213" si="1245">SUM(AC208:AC212)</f>
        <v>33602.012611916129</v>
      </c>
      <c r="AD213" s="169">
        <f t="shared" ref="AD213" si="1246">SUM(AD208:AD212)</f>
        <v>32476.84936931821</v>
      </c>
      <c r="AE213" s="169">
        <f t="shared" ref="AE213" si="1247">SUM(AE208:AE212)</f>
        <v>31553.431894649184</v>
      </c>
      <c r="AF213" s="169">
        <f t="shared" ref="AF213" si="1248">SUM(AF208:AF212)</f>
        <v>31558.041189387888</v>
      </c>
      <c r="AG213" s="709">
        <f t="shared" ref="AG213" si="1249">SUM(AG208:AG212)</f>
        <v>31558.041189387888</v>
      </c>
      <c r="AH213" s="169">
        <f t="shared" ref="AH213" si="1250">SUM(AH208:AH212)</f>
        <v>31727.828804354216</v>
      </c>
      <c r="AI213" s="169">
        <f t="shared" ref="AI213" si="1251">SUM(AI208:AI212)</f>
        <v>30183.031722672276</v>
      </c>
      <c r="AJ213" s="169">
        <f t="shared" ref="AJ213" si="1252">SUM(AJ208:AJ212)</f>
        <v>28867.929510232443</v>
      </c>
      <c r="AK213" s="709">
        <f t="shared" ref="AK213" si="1253">SUM(AK208:AK212)</f>
        <v>28551.229614722248</v>
      </c>
      <c r="AL213" s="709">
        <f t="shared" ref="AL213" si="1254">SUM(AL208:AL212)</f>
        <v>28551.229614722248</v>
      </c>
    </row>
    <row r="214" spans="1:38" ht="19" customHeight="1" x14ac:dyDescent="0.35">
      <c r="A214" s="137"/>
      <c r="B214" s="314" t="s">
        <v>55</v>
      </c>
      <c r="C214" s="315"/>
      <c r="D214" s="22" t="s">
        <v>72</v>
      </c>
      <c r="E214" s="22" t="s">
        <v>211</v>
      </c>
      <c r="F214" s="22" t="s">
        <v>215</v>
      </c>
      <c r="G214" s="22" t="s">
        <v>225</v>
      </c>
      <c r="H214" s="67" t="s">
        <v>226</v>
      </c>
      <c r="I214" s="22" t="s">
        <v>227</v>
      </c>
      <c r="J214" s="22" t="s">
        <v>228</v>
      </c>
      <c r="K214" s="22" t="s">
        <v>229</v>
      </c>
      <c r="L214" s="128" t="s">
        <v>90</v>
      </c>
      <c r="M214" s="129" t="s">
        <v>91</v>
      </c>
      <c r="N214" s="128" t="s">
        <v>92</v>
      </c>
      <c r="O214" s="128" t="s">
        <v>93</v>
      </c>
      <c r="P214" s="128" t="s">
        <v>94</v>
      </c>
      <c r="Q214" s="128" t="s">
        <v>95</v>
      </c>
      <c r="R214" s="129" t="s">
        <v>96</v>
      </c>
      <c r="S214" s="128" t="s">
        <v>97</v>
      </c>
      <c r="T214" s="128" t="s">
        <v>98</v>
      </c>
      <c r="U214" s="128" t="s">
        <v>99</v>
      </c>
      <c r="V214" s="128" t="s">
        <v>100</v>
      </c>
      <c r="W214" s="129" t="s">
        <v>101</v>
      </c>
      <c r="X214" s="128" t="s">
        <v>102</v>
      </c>
      <c r="Y214" s="128" t="s">
        <v>103</v>
      </c>
      <c r="Z214" s="128" t="s">
        <v>104</v>
      </c>
      <c r="AA214" s="128" t="s">
        <v>105</v>
      </c>
      <c r="AB214" s="129" t="s">
        <v>106</v>
      </c>
      <c r="AC214" s="20" t="s">
        <v>220</v>
      </c>
      <c r="AD214" s="20" t="s">
        <v>221</v>
      </c>
      <c r="AE214" s="20" t="s">
        <v>222</v>
      </c>
      <c r="AF214" s="20" t="s">
        <v>223</v>
      </c>
      <c r="AG214" s="69" t="s">
        <v>224</v>
      </c>
      <c r="AH214" s="20" t="s">
        <v>253</v>
      </c>
      <c r="AI214" s="20" t="s">
        <v>254</v>
      </c>
      <c r="AJ214" s="20" t="s">
        <v>255</v>
      </c>
      <c r="AK214" s="732" t="s">
        <v>256</v>
      </c>
      <c r="AL214" s="732" t="s">
        <v>257</v>
      </c>
    </row>
    <row r="215" spans="1:38" ht="19" customHeight="1" outlineLevel="1" x14ac:dyDescent="0.2">
      <c r="A215" s="137"/>
      <c r="B215" s="310" t="s">
        <v>179</v>
      </c>
      <c r="C215" s="311"/>
      <c r="D215" s="24">
        <f>1.2+41.1</f>
        <v>42.300000000000004</v>
      </c>
      <c r="E215" s="24">
        <f>1.2+41.1</f>
        <v>42.300000000000004</v>
      </c>
      <c r="F215" s="24">
        <f>1.2+41.1</f>
        <v>42.300000000000004</v>
      </c>
      <c r="G215" s="24">
        <f>1.2+41.1</f>
        <v>42.300000000000004</v>
      </c>
      <c r="H215" s="25">
        <f>G215</f>
        <v>42.300000000000004</v>
      </c>
      <c r="I215" s="24">
        <f>1.2+41.1</f>
        <v>42.300000000000004</v>
      </c>
      <c r="J215" s="24">
        <f>1.2+41.1</f>
        <v>42.300000000000004</v>
      </c>
      <c r="K215" s="24">
        <f>1.2+115.4</f>
        <v>116.60000000000001</v>
      </c>
      <c r="L215" s="139">
        <f>K215+L247+L270</f>
        <v>173.50190808754738</v>
      </c>
      <c r="M215" s="140">
        <f>L215</f>
        <v>173.50190808754738</v>
      </c>
      <c r="N215" s="139">
        <f>L215+N247+N270</f>
        <v>242.99772556116224</v>
      </c>
      <c r="O215" s="139">
        <f t="shared" ref="O215:Q215" si="1255">N215+O247+O270</f>
        <v>305.75876574437865</v>
      </c>
      <c r="P215" s="139">
        <f t="shared" si="1255"/>
        <v>354.43387005885387</v>
      </c>
      <c r="Q215" s="139">
        <f t="shared" si="1255"/>
        <v>418.25652932914028</v>
      </c>
      <c r="R215" s="140">
        <f>Q215</f>
        <v>418.25652932914028</v>
      </c>
      <c r="S215" s="139">
        <f>Q215+S247+S270</f>
        <v>494.4121248419209</v>
      </c>
      <c r="T215" s="139">
        <f t="shared" ref="T215:V215" si="1256">S215+T247+T270</f>
        <v>563.02002852946123</v>
      </c>
      <c r="U215" s="139">
        <f t="shared" si="1256"/>
        <v>616.6700732637396</v>
      </c>
      <c r="V215" s="139">
        <f t="shared" si="1256"/>
        <v>686.69814971289054</v>
      </c>
      <c r="W215" s="140">
        <f>V215</f>
        <v>686.69814971289054</v>
      </c>
      <c r="X215" s="139">
        <f>V215+X247+X270</f>
        <v>768.71776042548299</v>
      </c>
      <c r="Y215" s="139">
        <f t="shared" ref="Y215:AA215" si="1257">X215+Y247+Y270</f>
        <v>842.25678484563571</v>
      </c>
      <c r="Z215" s="139">
        <f t="shared" si="1257"/>
        <v>899.70008842922289</v>
      </c>
      <c r="AA215" s="139">
        <f t="shared" si="1257"/>
        <v>974.84761169311776</v>
      </c>
      <c r="AB215" s="140">
        <f>AA215</f>
        <v>974.84761169311776</v>
      </c>
      <c r="AC215" s="139">
        <f>AA215+AC247+AC270</f>
        <v>1062.7104709399739</v>
      </c>
      <c r="AD215" s="139">
        <f t="shared" ref="AD215:AF215" si="1258">AC215+AD247+AD270</f>
        <v>1141.271018885589</v>
      </c>
      <c r="AE215" s="139">
        <f t="shared" si="1258"/>
        <v>1202.5893558047323</v>
      </c>
      <c r="AF215" s="139">
        <f t="shared" si="1258"/>
        <v>1283.0024350217714</v>
      </c>
      <c r="AG215" s="140">
        <f>AF215</f>
        <v>1283.0024350217714</v>
      </c>
      <c r="AH215" s="139">
        <f>AF215+AH247+AH270</f>
        <v>1377.0031167125412</v>
      </c>
      <c r="AI215" s="139">
        <f t="shared" ref="AI215:AK215" si="1259">AH215+AI247+AI270</f>
        <v>1460.8428677763477</v>
      </c>
      <c r="AJ215" s="139">
        <f t="shared" si="1259"/>
        <v>1526.2427733475452</v>
      </c>
      <c r="AK215" s="708">
        <f t="shared" si="1259"/>
        <v>1612.2162680139159</v>
      </c>
      <c r="AL215" s="708">
        <f>AK215</f>
        <v>1612.2162680139159</v>
      </c>
    </row>
    <row r="216" spans="1:38" ht="19" customHeight="1" outlineLevel="1" x14ac:dyDescent="0.2">
      <c r="A216" s="137"/>
      <c r="B216" s="351" t="s">
        <v>29</v>
      </c>
      <c r="C216" s="352"/>
      <c r="D216" s="24">
        <v>-2584</v>
      </c>
      <c r="E216" s="139">
        <v>-4807.7</v>
      </c>
      <c r="F216" s="139">
        <v>-4013.9</v>
      </c>
      <c r="G216" s="139">
        <v>-5771.2</v>
      </c>
      <c r="H216" s="140">
        <f>G216</f>
        <v>-5771.2</v>
      </c>
      <c r="I216" s="139">
        <v>-6414.8</v>
      </c>
      <c r="J216" s="139">
        <v>-7050.6</v>
      </c>
      <c r="K216" s="139">
        <v>-8208.2999999999993</v>
      </c>
      <c r="L216" s="139">
        <f>K216+L241+L268+L269</f>
        <v>-8638.6720632671149</v>
      </c>
      <c r="M216" s="140">
        <f>L216</f>
        <v>-8638.6720632671149</v>
      </c>
      <c r="N216" s="139">
        <f>L216+N241+N268+N269</f>
        <v>-8514.2966629653292</v>
      </c>
      <c r="O216" s="139">
        <f t="shared" ref="O216:Q216" si="1260">N216+O241+O268+O269</f>
        <v>-8514.2052754160359</v>
      </c>
      <c r="P216" s="139">
        <f t="shared" si="1260"/>
        <v>-8746.8870056068899</v>
      </c>
      <c r="Q216" s="139">
        <f t="shared" si="1260"/>
        <v>-8652.487451277766</v>
      </c>
      <c r="R216" s="140">
        <f>Q216</f>
        <v>-8652.487451277766</v>
      </c>
      <c r="S216" s="139">
        <f>Q216+S241+S268+S269</f>
        <v>-8412.7646623395267</v>
      </c>
      <c r="T216" s="139">
        <f t="shared" ref="T216:V216" si="1261">S216+T241+T268+T269</f>
        <v>-8316.5204215363847</v>
      </c>
      <c r="U216" s="139">
        <f t="shared" si="1261"/>
        <v>-8466.5375951006645</v>
      </c>
      <c r="V216" s="139">
        <f t="shared" si="1261"/>
        <v>-8265.7822501000355</v>
      </c>
      <c r="W216" s="140">
        <f>V216</f>
        <v>-8265.7822501000355</v>
      </c>
      <c r="X216" s="139">
        <f>V216+X241+X268+X269</f>
        <v>-7937.8262384668333</v>
      </c>
      <c r="Y216" s="139">
        <f t="shared" ref="Y216:AA216" si="1262">X216+Y241+Y268+Y269</f>
        <v>-7770.8265352605667</v>
      </c>
      <c r="Z216" s="139">
        <f t="shared" si="1262"/>
        <v>-7870.185079329106</v>
      </c>
      <c r="AA216" s="139">
        <f t="shared" si="1262"/>
        <v>-7590.2339940152924</v>
      </c>
      <c r="AB216" s="140">
        <f>AA216</f>
        <v>-7590.2339940152924</v>
      </c>
      <c r="AC216" s="139">
        <f>AA216+AC241+AC268+AC269</f>
        <v>-7178.1814779367869</v>
      </c>
      <c r="AD216" s="139">
        <f t="shared" ref="AD216:AF216" si="1263">AC216+AD241+AD268+AD269</f>
        <v>-6941.8302462395759</v>
      </c>
      <c r="AE216" s="139">
        <f t="shared" si="1263"/>
        <v>-6991.0887479748544</v>
      </c>
      <c r="AF216" s="139">
        <f t="shared" si="1263"/>
        <v>-6629.9628931593315</v>
      </c>
      <c r="AG216" s="140">
        <f>AF216</f>
        <v>-6629.9628931593315</v>
      </c>
      <c r="AH216" s="139">
        <f>AF216+AH241+AH268+AH269</f>
        <v>-6128.462639638743</v>
      </c>
      <c r="AI216" s="139">
        <f t="shared" ref="AI216:AK216" si="1264">AH216+AI241+AI268+AI269</f>
        <v>-5816.5272210023577</v>
      </c>
      <c r="AJ216" s="139">
        <f t="shared" si="1264"/>
        <v>-5808.7583208879332</v>
      </c>
      <c r="AK216" s="708">
        <f t="shared" si="1264"/>
        <v>-5356.0217737318435</v>
      </c>
      <c r="AL216" s="708">
        <f>AK216</f>
        <v>-5356.0217737318435</v>
      </c>
    </row>
    <row r="217" spans="1:38" ht="19" customHeight="1" outlineLevel="1" x14ac:dyDescent="0.2">
      <c r="A217" s="137"/>
      <c r="B217" s="351" t="s">
        <v>67</v>
      </c>
      <c r="C217" s="352"/>
      <c r="D217" s="24">
        <v>-343.2</v>
      </c>
      <c r="E217" s="141">
        <v>-271.5</v>
      </c>
      <c r="F217" s="139">
        <v>-349</v>
      </c>
      <c r="G217" s="139">
        <v>-503.3</v>
      </c>
      <c r="H217" s="140">
        <f>+G217</f>
        <v>-503.3</v>
      </c>
      <c r="I217" s="139">
        <v>-387.4</v>
      </c>
      <c r="J217" s="139">
        <v>-521.79999999999995</v>
      </c>
      <c r="K217" s="139">
        <v>-529.9</v>
      </c>
      <c r="L217" s="139">
        <f>K217</f>
        <v>-529.9</v>
      </c>
      <c r="M217" s="140">
        <f>L217</f>
        <v>-529.9</v>
      </c>
      <c r="N217" s="139">
        <f>L217</f>
        <v>-529.9</v>
      </c>
      <c r="O217" s="139">
        <f t="shared" ref="O217:Q218" si="1265">N217</f>
        <v>-529.9</v>
      </c>
      <c r="P217" s="139">
        <f t="shared" si="1265"/>
        <v>-529.9</v>
      </c>
      <c r="Q217" s="139">
        <f t="shared" si="1265"/>
        <v>-529.9</v>
      </c>
      <c r="R217" s="140">
        <f>Q217</f>
        <v>-529.9</v>
      </c>
      <c r="S217" s="139">
        <f>Q217</f>
        <v>-529.9</v>
      </c>
      <c r="T217" s="139">
        <f t="shared" ref="T217:V218" si="1266">S217</f>
        <v>-529.9</v>
      </c>
      <c r="U217" s="139">
        <f t="shared" si="1266"/>
        <v>-529.9</v>
      </c>
      <c r="V217" s="139">
        <f t="shared" si="1266"/>
        <v>-529.9</v>
      </c>
      <c r="W217" s="140">
        <f>V217</f>
        <v>-529.9</v>
      </c>
      <c r="X217" s="139">
        <f>V217</f>
        <v>-529.9</v>
      </c>
      <c r="Y217" s="139">
        <f t="shared" ref="Y217:AA218" si="1267">X217</f>
        <v>-529.9</v>
      </c>
      <c r="Z217" s="139">
        <f t="shared" si="1267"/>
        <v>-529.9</v>
      </c>
      <c r="AA217" s="139">
        <f t="shared" si="1267"/>
        <v>-529.9</v>
      </c>
      <c r="AB217" s="140">
        <f>AA217</f>
        <v>-529.9</v>
      </c>
      <c r="AC217" s="139">
        <f>AA217</f>
        <v>-529.9</v>
      </c>
      <c r="AD217" s="139">
        <f t="shared" ref="AD217:AF218" si="1268">AC217</f>
        <v>-529.9</v>
      </c>
      <c r="AE217" s="139">
        <f t="shared" si="1268"/>
        <v>-529.9</v>
      </c>
      <c r="AF217" s="139">
        <f t="shared" si="1268"/>
        <v>-529.9</v>
      </c>
      <c r="AG217" s="140">
        <f>AF217</f>
        <v>-529.9</v>
      </c>
      <c r="AH217" s="139">
        <f>AF217</f>
        <v>-529.9</v>
      </c>
      <c r="AI217" s="139">
        <f t="shared" ref="AI217:AK218" si="1269">AH217</f>
        <v>-529.9</v>
      </c>
      <c r="AJ217" s="139">
        <f t="shared" si="1269"/>
        <v>-529.9</v>
      </c>
      <c r="AK217" s="708">
        <f t="shared" si="1269"/>
        <v>-529.9</v>
      </c>
      <c r="AL217" s="708">
        <f>AK217</f>
        <v>-529.9</v>
      </c>
    </row>
    <row r="218" spans="1:38" ht="19" customHeight="1" outlineLevel="1" x14ac:dyDescent="0.35">
      <c r="A218" s="137"/>
      <c r="B218" s="82" t="s">
        <v>180</v>
      </c>
      <c r="C218" s="83"/>
      <c r="D218" s="27">
        <v>6.1</v>
      </c>
      <c r="E218" s="154">
        <v>1.7</v>
      </c>
      <c r="F218" s="154">
        <v>1.6</v>
      </c>
      <c r="G218" s="154">
        <v>1.2</v>
      </c>
      <c r="H218" s="28">
        <f>+G218</f>
        <v>1.2</v>
      </c>
      <c r="I218" s="154">
        <v>0.8</v>
      </c>
      <c r="J218" s="154">
        <v>-2.8</v>
      </c>
      <c r="K218" s="154">
        <v>-2.7</v>
      </c>
      <c r="L218" s="154">
        <f>K218</f>
        <v>-2.7</v>
      </c>
      <c r="M218" s="243">
        <f>L218</f>
        <v>-2.7</v>
      </c>
      <c r="N218" s="154">
        <f>L218</f>
        <v>-2.7</v>
      </c>
      <c r="O218" s="154">
        <f t="shared" si="1265"/>
        <v>-2.7</v>
      </c>
      <c r="P218" s="154">
        <f t="shared" si="1265"/>
        <v>-2.7</v>
      </c>
      <c r="Q218" s="154">
        <f t="shared" si="1265"/>
        <v>-2.7</v>
      </c>
      <c r="R218" s="243">
        <f>Q218</f>
        <v>-2.7</v>
      </c>
      <c r="S218" s="154">
        <f>Q218</f>
        <v>-2.7</v>
      </c>
      <c r="T218" s="154">
        <f t="shared" si="1266"/>
        <v>-2.7</v>
      </c>
      <c r="U218" s="154">
        <f t="shared" si="1266"/>
        <v>-2.7</v>
      </c>
      <c r="V218" s="154">
        <f t="shared" si="1266"/>
        <v>-2.7</v>
      </c>
      <c r="W218" s="243">
        <f>V218</f>
        <v>-2.7</v>
      </c>
      <c r="X218" s="154">
        <f>V218</f>
        <v>-2.7</v>
      </c>
      <c r="Y218" s="154">
        <f t="shared" si="1267"/>
        <v>-2.7</v>
      </c>
      <c r="Z218" s="154">
        <f t="shared" si="1267"/>
        <v>-2.7</v>
      </c>
      <c r="AA218" s="154">
        <f t="shared" si="1267"/>
        <v>-2.7</v>
      </c>
      <c r="AB218" s="243">
        <f>AA218</f>
        <v>-2.7</v>
      </c>
      <c r="AC218" s="154">
        <f>AA218</f>
        <v>-2.7</v>
      </c>
      <c r="AD218" s="154">
        <f t="shared" si="1268"/>
        <v>-2.7</v>
      </c>
      <c r="AE218" s="154">
        <f t="shared" si="1268"/>
        <v>-2.7</v>
      </c>
      <c r="AF218" s="154">
        <f t="shared" si="1268"/>
        <v>-2.7</v>
      </c>
      <c r="AG218" s="243">
        <f>AF218</f>
        <v>-2.7</v>
      </c>
      <c r="AH218" s="154">
        <f>AF218</f>
        <v>-2.7</v>
      </c>
      <c r="AI218" s="154">
        <f t="shared" si="1269"/>
        <v>-2.7</v>
      </c>
      <c r="AJ218" s="154">
        <f t="shared" si="1269"/>
        <v>-2.7</v>
      </c>
      <c r="AK218" s="710">
        <f t="shared" si="1269"/>
        <v>-2.7</v>
      </c>
      <c r="AL218" s="710">
        <f>AK218</f>
        <v>-2.7</v>
      </c>
    </row>
    <row r="219" spans="1:38" ht="19" customHeight="1" outlineLevel="1" x14ac:dyDescent="0.2">
      <c r="A219" s="137"/>
      <c r="B219" s="349" t="s">
        <v>30</v>
      </c>
      <c r="C219" s="350"/>
      <c r="D219" s="31">
        <f t="shared" ref="D219:K219" si="1270">SUM(D215:D218)</f>
        <v>-2878.7999999999997</v>
      </c>
      <c r="E219" s="31">
        <f t="shared" si="1270"/>
        <v>-5035.2</v>
      </c>
      <c r="F219" s="31">
        <f t="shared" si="1270"/>
        <v>-4319</v>
      </c>
      <c r="G219" s="31">
        <f t="shared" si="1270"/>
        <v>-6231</v>
      </c>
      <c r="H219" s="32">
        <f t="shared" si="1270"/>
        <v>-6231</v>
      </c>
      <c r="I219" s="31">
        <f t="shared" si="1270"/>
        <v>-6759.0999999999995</v>
      </c>
      <c r="J219" s="31">
        <f t="shared" si="1270"/>
        <v>-7532.9000000000005</v>
      </c>
      <c r="K219" s="31">
        <f t="shared" si="1270"/>
        <v>-8624.2999999999993</v>
      </c>
      <c r="L219" s="169">
        <f t="shared" ref="L219:R219" si="1271">SUM(L215:L218)</f>
        <v>-8997.7701551795672</v>
      </c>
      <c r="M219" s="244">
        <f t="shared" si="1271"/>
        <v>-8997.7701551795672</v>
      </c>
      <c r="N219" s="169">
        <f t="shared" si="1271"/>
        <v>-8803.8989374041666</v>
      </c>
      <c r="O219" s="169">
        <f t="shared" si="1271"/>
        <v>-8741.046509671658</v>
      </c>
      <c r="P219" s="169">
        <f t="shared" si="1271"/>
        <v>-8925.0531355480362</v>
      </c>
      <c r="Q219" s="169">
        <f t="shared" si="1271"/>
        <v>-8766.8309219486255</v>
      </c>
      <c r="R219" s="244">
        <f t="shared" si="1271"/>
        <v>-8766.8309219486255</v>
      </c>
      <c r="S219" s="169">
        <f t="shared" ref="S219:AL219" si="1272">SUM(S215:S218)</f>
        <v>-8450.9525374976074</v>
      </c>
      <c r="T219" s="169">
        <f t="shared" si="1272"/>
        <v>-8286.1003930069237</v>
      </c>
      <c r="U219" s="169">
        <f t="shared" si="1272"/>
        <v>-8382.4675218369248</v>
      </c>
      <c r="V219" s="169">
        <f t="shared" si="1272"/>
        <v>-8111.6841003871441</v>
      </c>
      <c r="W219" s="244">
        <f t="shared" si="1272"/>
        <v>-8111.6841003871441</v>
      </c>
      <c r="X219" s="169">
        <f t="shared" si="1272"/>
        <v>-7701.7084780413497</v>
      </c>
      <c r="Y219" s="169">
        <f t="shared" si="1272"/>
        <v>-7461.1697504149306</v>
      </c>
      <c r="Z219" s="169">
        <f t="shared" si="1272"/>
        <v>-7503.0849908998825</v>
      </c>
      <c r="AA219" s="169">
        <f t="shared" si="1272"/>
        <v>-7147.986382322174</v>
      </c>
      <c r="AB219" s="244">
        <f t="shared" si="1272"/>
        <v>-7147.986382322174</v>
      </c>
      <c r="AC219" s="169">
        <f t="shared" si="1272"/>
        <v>-6648.0710069968127</v>
      </c>
      <c r="AD219" s="169">
        <f t="shared" si="1272"/>
        <v>-6333.1592273539864</v>
      </c>
      <c r="AE219" s="169">
        <f t="shared" si="1272"/>
        <v>-6321.099392170122</v>
      </c>
      <c r="AF219" s="169">
        <f t="shared" si="1272"/>
        <v>-5879.5604581375601</v>
      </c>
      <c r="AG219" s="244">
        <f t="shared" si="1272"/>
        <v>-5879.5604581375601</v>
      </c>
      <c r="AH219" s="169">
        <f t="shared" si="1272"/>
        <v>-5284.0595229262008</v>
      </c>
      <c r="AI219" s="169">
        <f t="shared" si="1272"/>
        <v>-4888.2843532260094</v>
      </c>
      <c r="AJ219" s="169">
        <f t="shared" si="1272"/>
        <v>-4815.1155475403875</v>
      </c>
      <c r="AK219" s="709">
        <f t="shared" si="1272"/>
        <v>-4276.4055057179276</v>
      </c>
      <c r="AL219" s="709">
        <f t="shared" si="1272"/>
        <v>-4276.4055057179276</v>
      </c>
    </row>
    <row r="220" spans="1:38" ht="19" customHeight="1" outlineLevel="1" x14ac:dyDescent="0.2">
      <c r="A220" s="137"/>
      <c r="B220" s="308" t="s">
        <v>10</v>
      </c>
      <c r="C220" s="309"/>
      <c r="D220" s="37">
        <f t="shared" ref="D220:K220" si="1273">D219+D213</f>
        <v>19981.300000000003</v>
      </c>
      <c r="E220" s="37">
        <f t="shared" si="1273"/>
        <v>17641.899999999998</v>
      </c>
      <c r="F220" s="37">
        <f t="shared" si="1273"/>
        <v>20894.400000000001</v>
      </c>
      <c r="G220" s="37">
        <f t="shared" si="1273"/>
        <v>19219.599999999999</v>
      </c>
      <c r="H220" s="130">
        <f t="shared" si="1273"/>
        <v>19219.599999999999</v>
      </c>
      <c r="I220" s="37">
        <f t="shared" si="1273"/>
        <v>27731.300000000003</v>
      </c>
      <c r="J220" s="37">
        <f t="shared" si="1273"/>
        <v>27478.9</v>
      </c>
      <c r="K220" s="37">
        <f t="shared" si="1273"/>
        <v>29140.599999999995</v>
      </c>
      <c r="L220" s="272">
        <f t="shared" ref="L220:R220" si="1274">L219+L213</f>
        <v>28443.616170406596</v>
      </c>
      <c r="M220" s="273">
        <f t="shared" si="1274"/>
        <v>28443.616170406596</v>
      </c>
      <c r="N220" s="272">
        <f t="shared" si="1274"/>
        <v>28631.891964738654</v>
      </c>
      <c r="O220" s="272">
        <f t="shared" si="1274"/>
        <v>27690.439173464438</v>
      </c>
      <c r="P220" s="272">
        <f t="shared" si="1274"/>
        <v>26718.549236111787</v>
      </c>
      <c r="Q220" s="272">
        <f t="shared" si="1274"/>
        <v>26605.051469085432</v>
      </c>
      <c r="R220" s="273">
        <f t="shared" si="1274"/>
        <v>26605.051469085432</v>
      </c>
      <c r="S220" s="272">
        <f t="shared" ref="S220:AL220" si="1275">S219+S213</f>
        <v>27302.999043061965</v>
      </c>
      <c r="T220" s="272">
        <f t="shared" si="1275"/>
        <v>26581.148759366897</v>
      </c>
      <c r="U220" s="272">
        <f t="shared" si="1275"/>
        <v>25747.313523083765</v>
      </c>
      <c r="V220" s="272">
        <f t="shared" si="1275"/>
        <v>26079.511142017604</v>
      </c>
      <c r="W220" s="273">
        <f t="shared" si="1275"/>
        <v>26079.511142017604</v>
      </c>
      <c r="X220" s="272">
        <f t="shared" si="1275"/>
        <v>27037.802684230235</v>
      </c>
      <c r="Y220" s="272">
        <f t="shared" si="1275"/>
        <v>26342.471270051818</v>
      </c>
      <c r="Z220" s="272">
        <f t="shared" si="1275"/>
        <v>25540.409408100455</v>
      </c>
      <c r="AA220" s="272">
        <f t="shared" si="1275"/>
        <v>25995.266042245967</v>
      </c>
      <c r="AB220" s="273">
        <f t="shared" si="1275"/>
        <v>25995.266042245967</v>
      </c>
      <c r="AC220" s="272">
        <f t="shared" si="1275"/>
        <v>26953.941604919317</v>
      </c>
      <c r="AD220" s="272">
        <f t="shared" si="1275"/>
        <v>26143.690141964224</v>
      </c>
      <c r="AE220" s="272">
        <f t="shared" si="1275"/>
        <v>25232.332502479061</v>
      </c>
      <c r="AF220" s="272">
        <f t="shared" si="1275"/>
        <v>25678.480731250329</v>
      </c>
      <c r="AG220" s="273">
        <f t="shared" si="1275"/>
        <v>25678.480731250329</v>
      </c>
      <c r="AH220" s="272">
        <f t="shared" si="1275"/>
        <v>26443.769281428016</v>
      </c>
      <c r="AI220" s="272">
        <f t="shared" si="1275"/>
        <v>25294.747369446268</v>
      </c>
      <c r="AJ220" s="272">
        <f t="shared" si="1275"/>
        <v>24052.813962692057</v>
      </c>
      <c r="AK220" s="772">
        <f t="shared" si="1275"/>
        <v>24274.824109004319</v>
      </c>
      <c r="AL220" s="772">
        <f t="shared" si="1275"/>
        <v>24274.824109004319</v>
      </c>
    </row>
    <row r="221" spans="1:38" ht="19" customHeight="1" x14ac:dyDescent="0.2">
      <c r="A221" s="137"/>
      <c r="B221" s="12"/>
      <c r="C221" s="124"/>
      <c r="D221" s="245">
        <f t="shared" ref="D221:K221" si="1276">ROUND((D220-D198),0)</f>
        <v>0</v>
      </c>
      <c r="E221" s="245">
        <f t="shared" si="1276"/>
        <v>0</v>
      </c>
      <c r="F221" s="245">
        <f t="shared" si="1276"/>
        <v>0</v>
      </c>
      <c r="G221" s="245">
        <f t="shared" si="1276"/>
        <v>0</v>
      </c>
      <c r="H221" s="245">
        <f t="shared" si="1276"/>
        <v>0</v>
      </c>
      <c r="I221" s="245">
        <f t="shared" si="1276"/>
        <v>0</v>
      </c>
      <c r="J221" s="245">
        <f t="shared" si="1276"/>
        <v>0</v>
      </c>
      <c r="K221" s="245">
        <f t="shared" si="1276"/>
        <v>0</v>
      </c>
      <c r="L221" s="698">
        <f t="shared" ref="L221:R221" si="1277">ROUND((L220-L198),0)</f>
        <v>0</v>
      </c>
      <c r="M221" s="695">
        <f t="shared" si="1277"/>
        <v>0</v>
      </c>
      <c r="N221" s="695">
        <f>ROUND((N220-N198),0)</f>
        <v>0</v>
      </c>
      <c r="O221" s="695">
        <f t="shared" si="1277"/>
        <v>0</v>
      </c>
      <c r="P221" s="695">
        <f t="shared" si="1277"/>
        <v>0</v>
      </c>
      <c r="Q221" s="695">
        <f>ROUND((Q220-Q198),0)</f>
        <v>0</v>
      </c>
      <c r="R221" s="695">
        <f t="shared" si="1277"/>
        <v>0</v>
      </c>
      <c r="S221" s="695">
        <f>ROUND((S220-S198),0)</f>
        <v>0</v>
      </c>
      <c r="T221" s="695">
        <f t="shared" ref="T221:AL221" si="1278">ROUND((T220-T198),0)</f>
        <v>0</v>
      </c>
      <c r="U221" s="245">
        <f t="shared" si="1278"/>
        <v>0</v>
      </c>
      <c r="V221" s="245">
        <f t="shared" si="1278"/>
        <v>0</v>
      </c>
      <c r="W221" s="245">
        <f t="shared" si="1278"/>
        <v>0</v>
      </c>
      <c r="X221" s="245">
        <f t="shared" si="1278"/>
        <v>0</v>
      </c>
      <c r="Y221" s="245">
        <f t="shared" si="1278"/>
        <v>0</v>
      </c>
      <c r="Z221" s="245">
        <f t="shared" si="1278"/>
        <v>0</v>
      </c>
      <c r="AA221" s="245">
        <f t="shared" si="1278"/>
        <v>0</v>
      </c>
      <c r="AB221" s="245">
        <f t="shared" si="1278"/>
        <v>0</v>
      </c>
      <c r="AC221" s="245">
        <f t="shared" si="1278"/>
        <v>0</v>
      </c>
      <c r="AD221" s="245">
        <f t="shared" si="1278"/>
        <v>0</v>
      </c>
      <c r="AE221" s="245">
        <f t="shared" si="1278"/>
        <v>0</v>
      </c>
      <c r="AF221" s="245">
        <f t="shared" si="1278"/>
        <v>0</v>
      </c>
      <c r="AG221" s="245">
        <f t="shared" si="1278"/>
        <v>0</v>
      </c>
      <c r="AH221" s="245">
        <f t="shared" si="1278"/>
        <v>0</v>
      </c>
      <c r="AI221" s="245">
        <f t="shared" si="1278"/>
        <v>0</v>
      </c>
      <c r="AJ221" s="245">
        <f t="shared" si="1278"/>
        <v>0</v>
      </c>
      <c r="AK221" s="245">
        <f t="shared" si="1278"/>
        <v>0</v>
      </c>
      <c r="AL221" s="245">
        <f t="shared" si="1278"/>
        <v>0</v>
      </c>
    </row>
    <row r="222" spans="1:38" ht="19" customHeight="1" x14ac:dyDescent="0.2">
      <c r="A222" s="137"/>
      <c r="B222" s="314" t="s">
        <v>19</v>
      </c>
      <c r="C222" s="315"/>
      <c r="D222" s="21" t="s">
        <v>59</v>
      </c>
      <c r="E222" s="21" t="s">
        <v>212</v>
      </c>
      <c r="F222" s="21" t="s">
        <v>214</v>
      </c>
      <c r="G222" s="21" t="s">
        <v>73</v>
      </c>
      <c r="H222" s="66" t="s">
        <v>73</v>
      </c>
      <c r="I222" s="21" t="s">
        <v>74</v>
      </c>
      <c r="J222" s="21" t="s">
        <v>75</v>
      </c>
      <c r="K222" s="21" t="s">
        <v>76</v>
      </c>
      <c r="L222" s="23" t="s">
        <v>77</v>
      </c>
      <c r="M222" s="68" t="s">
        <v>77</v>
      </c>
      <c r="N222" s="23" t="s">
        <v>78</v>
      </c>
      <c r="O222" s="23" t="s">
        <v>79</v>
      </c>
      <c r="P222" s="23" t="s">
        <v>80</v>
      </c>
      <c r="Q222" s="23" t="s">
        <v>81</v>
      </c>
      <c r="R222" s="68" t="s">
        <v>81</v>
      </c>
      <c r="S222" s="23" t="s">
        <v>82</v>
      </c>
      <c r="T222" s="23" t="s">
        <v>83</v>
      </c>
      <c r="U222" s="23" t="s">
        <v>84</v>
      </c>
      <c r="V222" s="23" t="s">
        <v>85</v>
      </c>
      <c r="W222" s="68" t="s">
        <v>85</v>
      </c>
      <c r="X222" s="23" t="s">
        <v>86</v>
      </c>
      <c r="Y222" s="23" t="s">
        <v>87</v>
      </c>
      <c r="Z222" s="23" t="s">
        <v>88</v>
      </c>
      <c r="AA222" s="23" t="s">
        <v>89</v>
      </c>
      <c r="AB222" s="68" t="s">
        <v>89</v>
      </c>
      <c r="AC222" s="23" t="s">
        <v>216</v>
      </c>
      <c r="AD222" s="23" t="s">
        <v>217</v>
      </c>
      <c r="AE222" s="23" t="s">
        <v>218</v>
      </c>
      <c r="AF222" s="23" t="s">
        <v>219</v>
      </c>
      <c r="AG222" s="68" t="s">
        <v>219</v>
      </c>
      <c r="AH222" s="23" t="s">
        <v>249</v>
      </c>
      <c r="AI222" s="23" t="s">
        <v>250</v>
      </c>
      <c r="AJ222" s="23" t="s">
        <v>251</v>
      </c>
      <c r="AK222" s="23" t="s">
        <v>252</v>
      </c>
      <c r="AL222" s="68" t="s">
        <v>252</v>
      </c>
    </row>
    <row r="223" spans="1:38" ht="19" customHeight="1" x14ac:dyDescent="0.35">
      <c r="A223" s="137"/>
      <c r="B223" s="306"/>
      <c r="C223" s="307"/>
      <c r="D223" s="22" t="s">
        <v>72</v>
      </c>
      <c r="E223" s="22" t="s">
        <v>211</v>
      </c>
      <c r="F223" s="22" t="s">
        <v>215</v>
      </c>
      <c r="G223" s="22" t="s">
        <v>225</v>
      </c>
      <c r="H223" s="67" t="s">
        <v>226</v>
      </c>
      <c r="I223" s="22" t="s">
        <v>227</v>
      </c>
      <c r="J223" s="22" t="s">
        <v>228</v>
      </c>
      <c r="K223" s="22" t="s">
        <v>229</v>
      </c>
      <c r="L223" s="20" t="s">
        <v>90</v>
      </c>
      <c r="M223" s="69" t="s">
        <v>91</v>
      </c>
      <c r="N223" s="20" t="s">
        <v>92</v>
      </c>
      <c r="O223" s="20" t="s">
        <v>93</v>
      </c>
      <c r="P223" s="20" t="s">
        <v>94</v>
      </c>
      <c r="Q223" s="20" t="s">
        <v>95</v>
      </c>
      <c r="R223" s="69" t="s">
        <v>96</v>
      </c>
      <c r="S223" s="20" t="s">
        <v>97</v>
      </c>
      <c r="T223" s="20" t="s">
        <v>98</v>
      </c>
      <c r="U223" s="20" t="s">
        <v>99</v>
      </c>
      <c r="V223" s="20" t="s">
        <v>100</v>
      </c>
      <c r="W223" s="69" t="s">
        <v>101</v>
      </c>
      <c r="X223" s="20" t="s">
        <v>102</v>
      </c>
      <c r="Y223" s="20" t="s">
        <v>103</v>
      </c>
      <c r="Z223" s="20" t="s">
        <v>104</v>
      </c>
      <c r="AA223" s="20" t="s">
        <v>105</v>
      </c>
      <c r="AB223" s="69" t="s">
        <v>106</v>
      </c>
      <c r="AC223" s="20" t="s">
        <v>220</v>
      </c>
      <c r="AD223" s="20" t="s">
        <v>221</v>
      </c>
      <c r="AE223" s="20" t="s">
        <v>222</v>
      </c>
      <c r="AF223" s="20" t="s">
        <v>223</v>
      </c>
      <c r="AG223" s="69" t="s">
        <v>224</v>
      </c>
      <c r="AH223" s="20" t="s">
        <v>253</v>
      </c>
      <c r="AI223" s="20" t="s">
        <v>254</v>
      </c>
      <c r="AJ223" s="20" t="s">
        <v>255</v>
      </c>
      <c r="AK223" s="20" t="s">
        <v>256</v>
      </c>
      <c r="AL223" s="69" t="s">
        <v>257</v>
      </c>
    </row>
    <row r="224" spans="1:38" ht="19" customHeight="1" outlineLevel="1" x14ac:dyDescent="0.2">
      <c r="A224" s="137"/>
      <c r="B224" s="204" t="s">
        <v>248</v>
      </c>
      <c r="C224" s="205"/>
      <c r="D224" s="161">
        <f>31+30+31</f>
        <v>92</v>
      </c>
      <c r="E224" s="161">
        <f>31+28+31</f>
        <v>90</v>
      </c>
      <c r="F224" s="161">
        <f>30+31+30</f>
        <v>91</v>
      </c>
      <c r="G224" s="161">
        <f>31+31+30</f>
        <v>92</v>
      </c>
      <c r="H224" s="177"/>
      <c r="I224" s="161">
        <f>31+30+31</f>
        <v>92</v>
      </c>
      <c r="J224" s="161">
        <f>31+29+31</f>
        <v>91</v>
      </c>
      <c r="K224" s="161">
        <f>30+31+30</f>
        <v>91</v>
      </c>
      <c r="L224" s="161">
        <v>92</v>
      </c>
      <c r="M224" s="177"/>
      <c r="N224" s="161">
        <v>92</v>
      </c>
      <c r="O224" s="161">
        <v>90</v>
      </c>
      <c r="P224" s="161">
        <v>91</v>
      </c>
      <c r="Q224" s="161">
        <v>92</v>
      </c>
      <c r="R224" s="177"/>
      <c r="S224" s="161">
        <v>92</v>
      </c>
      <c r="T224" s="161">
        <v>90</v>
      </c>
      <c r="U224" s="161">
        <v>91</v>
      </c>
      <c r="V224" s="161">
        <v>92</v>
      </c>
      <c r="W224" s="177"/>
      <c r="X224" s="161">
        <v>92</v>
      </c>
      <c r="Y224" s="161">
        <v>90</v>
      </c>
      <c r="Z224" s="161">
        <v>91</v>
      </c>
      <c r="AA224" s="161">
        <v>92</v>
      </c>
      <c r="AB224" s="177"/>
      <c r="AC224" s="161">
        <v>92</v>
      </c>
      <c r="AD224" s="161">
        <v>91</v>
      </c>
      <c r="AE224" s="161">
        <v>91</v>
      </c>
      <c r="AF224" s="161">
        <v>92</v>
      </c>
      <c r="AG224" s="177"/>
      <c r="AH224" s="161">
        <v>92</v>
      </c>
      <c r="AI224" s="161">
        <v>90</v>
      </c>
      <c r="AJ224" s="161">
        <v>91</v>
      </c>
      <c r="AK224" s="161">
        <v>92</v>
      </c>
      <c r="AL224" s="177"/>
    </row>
    <row r="225" spans="1:38" s="137" customFormat="1" ht="19" customHeight="1" outlineLevel="1" x14ac:dyDescent="0.2">
      <c r="B225" s="312" t="s">
        <v>20</v>
      </c>
      <c r="C225" s="313"/>
      <c r="D225" s="197">
        <f t="shared" ref="D225:M225" si="1279">D16/D186</f>
        <v>9.1942057111172737</v>
      </c>
      <c r="E225" s="197">
        <f t="shared" si="1279"/>
        <v>8.9623365548607161</v>
      </c>
      <c r="F225" s="197">
        <f t="shared" si="1279"/>
        <v>8.6301543131798635</v>
      </c>
      <c r="G225" s="197">
        <f t="shared" si="1279"/>
        <v>7.6757679180887379</v>
      </c>
      <c r="H225" s="198">
        <f t="shared" si="1279"/>
        <v>30.157679180887374</v>
      </c>
      <c r="I225" s="197">
        <f t="shared" si="1279"/>
        <v>7.8153287082920375</v>
      </c>
      <c r="J225" s="197">
        <f t="shared" si="1279"/>
        <v>6.3716259298618487</v>
      </c>
      <c r="K225" s="197">
        <f t="shared" si="1279"/>
        <v>4.7918510952218822</v>
      </c>
      <c r="L225" s="197">
        <v>6.7</v>
      </c>
      <c r="M225" s="198">
        <f t="shared" si="1279"/>
        <v>25.96692207801155</v>
      </c>
      <c r="N225" s="197">
        <v>7.5</v>
      </c>
      <c r="O225" s="197">
        <v>7.4</v>
      </c>
      <c r="P225" s="197">
        <v>7.9</v>
      </c>
      <c r="Q225" s="197">
        <v>7.7</v>
      </c>
      <c r="R225" s="198">
        <f t="shared" ref="R225" si="1280">R16/R186</f>
        <v>29.528863339570595</v>
      </c>
      <c r="S225" s="197">
        <v>7.5</v>
      </c>
      <c r="T225" s="197">
        <v>7.4</v>
      </c>
      <c r="U225" s="197">
        <v>7.9</v>
      </c>
      <c r="V225" s="197">
        <v>7.7</v>
      </c>
      <c r="W225" s="198">
        <f t="shared" ref="W225" si="1281">W16/W186</f>
        <v>29.516739310350406</v>
      </c>
      <c r="X225" s="197">
        <v>7.5</v>
      </c>
      <c r="Y225" s="197">
        <v>7.4</v>
      </c>
      <c r="Z225" s="197">
        <v>7.9</v>
      </c>
      <c r="AA225" s="197">
        <v>7.7</v>
      </c>
      <c r="AB225" s="198">
        <f t="shared" ref="AB225" si="1282">AB16/AB186</f>
        <v>29.525269242156938</v>
      </c>
      <c r="AC225" s="197">
        <v>7.5</v>
      </c>
      <c r="AD225" s="197">
        <v>7.4</v>
      </c>
      <c r="AE225" s="197">
        <v>7.9</v>
      </c>
      <c r="AF225" s="197">
        <v>7.7</v>
      </c>
      <c r="AG225" s="198">
        <f t="shared" ref="AG225" si="1283">AG16/AG186</f>
        <v>29.507539852147065</v>
      </c>
      <c r="AH225" s="197">
        <v>7.5</v>
      </c>
      <c r="AI225" s="197">
        <v>7.4</v>
      </c>
      <c r="AJ225" s="197">
        <v>7.9</v>
      </c>
      <c r="AK225" s="197">
        <v>7.7</v>
      </c>
      <c r="AL225" s="198">
        <f t="shared" ref="AL225" si="1284">AL16/AL186</f>
        <v>29.485209643700628</v>
      </c>
    </row>
    <row r="226" spans="1:38" s="196" customFormat="1" ht="19" customHeight="1" outlineLevel="1" x14ac:dyDescent="0.2">
      <c r="B226" s="666" t="s">
        <v>40</v>
      </c>
      <c r="C226" s="667"/>
      <c r="D226" s="161">
        <f>D224/D225</f>
        <v>10.00630210924661</v>
      </c>
      <c r="E226" s="161">
        <f>E224/E225</f>
        <v>10.042024136126486</v>
      </c>
      <c r="F226" s="161">
        <f>F224/F225</f>
        <v>10.544423274219552</v>
      </c>
      <c r="G226" s="161">
        <f>G224/G225</f>
        <v>11.985771453979545</v>
      </c>
      <c r="H226" s="198"/>
      <c r="I226" s="161">
        <f>I224/I225</f>
        <v>11.771737752039567</v>
      </c>
      <c r="J226" s="161">
        <f>J224/J225</f>
        <v>14.28206881598479</v>
      </c>
      <c r="K226" s="161">
        <f>K224/K225</f>
        <v>18.990573411335589</v>
      </c>
      <c r="L226" s="161">
        <f>L224/L225</f>
        <v>13.731343283582088</v>
      </c>
      <c r="M226" s="198"/>
      <c r="N226" s="161">
        <f t="shared" ref="N226:Q226" si="1285">N224/N225</f>
        <v>12.266666666666667</v>
      </c>
      <c r="O226" s="161">
        <f t="shared" si="1285"/>
        <v>12.162162162162161</v>
      </c>
      <c r="P226" s="161">
        <f t="shared" si="1285"/>
        <v>11.518987341772151</v>
      </c>
      <c r="Q226" s="161">
        <f t="shared" si="1285"/>
        <v>11.948051948051948</v>
      </c>
      <c r="R226" s="198"/>
      <c r="S226" s="161">
        <f t="shared" ref="S226" si="1286">S224/S225</f>
        <v>12.266666666666667</v>
      </c>
      <c r="T226" s="161">
        <f t="shared" ref="T226" si="1287">T224/T225</f>
        <v>12.162162162162161</v>
      </c>
      <c r="U226" s="161">
        <f t="shared" ref="U226" si="1288">U224/U225</f>
        <v>11.518987341772151</v>
      </c>
      <c r="V226" s="161">
        <f t="shared" ref="V226" si="1289">V224/V225</f>
        <v>11.948051948051948</v>
      </c>
      <c r="W226" s="198"/>
      <c r="X226" s="161">
        <f t="shared" ref="X226" si="1290">X224/X225</f>
        <v>12.266666666666667</v>
      </c>
      <c r="Y226" s="161">
        <f t="shared" ref="Y226" si="1291">Y224/Y225</f>
        <v>12.162162162162161</v>
      </c>
      <c r="Z226" s="161">
        <f t="shared" ref="Z226" si="1292">Z224/Z225</f>
        <v>11.518987341772151</v>
      </c>
      <c r="AA226" s="161">
        <f t="shared" ref="AA226" si="1293">AA224/AA225</f>
        <v>11.948051948051948</v>
      </c>
      <c r="AB226" s="198"/>
      <c r="AC226" s="161">
        <f t="shared" ref="AC226" si="1294">AC224/AC225</f>
        <v>12.266666666666667</v>
      </c>
      <c r="AD226" s="161">
        <f t="shared" ref="AD226" si="1295">AD224/AD225</f>
        <v>12.297297297297296</v>
      </c>
      <c r="AE226" s="161">
        <f t="shared" ref="AE226" si="1296">AE224/AE225</f>
        <v>11.518987341772151</v>
      </c>
      <c r="AF226" s="161">
        <f t="shared" ref="AF226" si="1297">AF224/AF225</f>
        <v>11.948051948051948</v>
      </c>
      <c r="AG226" s="198"/>
      <c r="AH226" s="161">
        <f t="shared" ref="AH226" si="1298">AH224/AH225</f>
        <v>12.266666666666667</v>
      </c>
      <c r="AI226" s="161">
        <f t="shared" ref="AI226" si="1299">AI224/AI225</f>
        <v>12.162162162162161</v>
      </c>
      <c r="AJ226" s="161">
        <f t="shared" ref="AJ226" si="1300">AJ224/AJ225</f>
        <v>11.518987341772151</v>
      </c>
      <c r="AK226" s="161">
        <f t="shared" ref="AK226" si="1301">AK224/AK225</f>
        <v>11.948051948051948</v>
      </c>
      <c r="AL226" s="198"/>
    </row>
    <row r="227" spans="1:38" s="137" customFormat="1" ht="19" customHeight="1" outlineLevel="1" x14ac:dyDescent="0.2">
      <c r="B227" s="312" t="s">
        <v>200</v>
      </c>
      <c r="C227" s="313"/>
      <c r="D227" s="197">
        <f t="shared" ref="D227:M227" si="1302">D17/D187</f>
        <v>1.6062306215857083</v>
      </c>
      <c r="E227" s="197">
        <f t="shared" si="1302"/>
        <v>1.3943173943173943</v>
      </c>
      <c r="F227" s="197">
        <f t="shared" si="1302"/>
        <v>1.4497759029791721</v>
      </c>
      <c r="G227" s="197">
        <f t="shared" si="1302"/>
        <v>1.3989146070354381</v>
      </c>
      <c r="H227" s="198">
        <f t="shared" si="1302"/>
        <v>5.5753236563358177</v>
      </c>
      <c r="I227" s="197">
        <f t="shared" si="1302"/>
        <v>1.5875630013487614</v>
      </c>
      <c r="J227" s="197">
        <f t="shared" si="1302"/>
        <v>1.3387615601125855</v>
      </c>
      <c r="K227" s="197">
        <f t="shared" si="1302"/>
        <v>0.93698699330723578</v>
      </c>
      <c r="L227" s="197">
        <v>1</v>
      </c>
      <c r="M227" s="198">
        <f t="shared" si="1302"/>
        <v>4.3518180837544165</v>
      </c>
      <c r="N227" s="197">
        <v>1.1000000000000001</v>
      </c>
      <c r="O227" s="197">
        <v>1.1000000000000001</v>
      </c>
      <c r="P227" s="197">
        <v>1.1000000000000001</v>
      </c>
      <c r="Q227" s="197">
        <v>1</v>
      </c>
      <c r="R227" s="198">
        <f t="shared" ref="R227" si="1303">R17/R187</f>
        <v>3.8576394583556253</v>
      </c>
      <c r="S227" s="197">
        <v>1.1000000000000001</v>
      </c>
      <c r="T227" s="197">
        <v>1.1000000000000001</v>
      </c>
      <c r="U227" s="197">
        <v>1.1000000000000001</v>
      </c>
      <c r="V227" s="197">
        <v>1</v>
      </c>
      <c r="W227" s="198">
        <f t="shared" ref="W227" si="1304">W17/W187</f>
        <v>3.8516364950987354</v>
      </c>
      <c r="X227" s="197">
        <v>1.1000000000000001</v>
      </c>
      <c r="Y227" s="197">
        <v>1.1000000000000001</v>
      </c>
      <c r="Z227" s="197">
        <v>1.1000000000000001</v>
      </c>
      <c r="AA227" s="197">
        <v>1</v>
      </c>
      <c r="AB227" s="198">
        <f t="shared" ref="AB227" si="1305">AB17/AB187</f>
        <v>3.8532514743241073</v>
      </c>
      <c r="AC227" s="197">
        <v>1.1000000000000001</v>
      </c>
      <c r="AD227" s="197">
        <v>1.1000000000000001</v>
      </c>
      <c r="AE227" s="197">
        <v>1.1000000000000001</v>
      </c>
      <c r="AF227" s="197">
        <v>1</v>
      </c>
      <c r="AG227" s="198">
        <f t="shared" ref="AG227" si="1306">AG17/AG187</f>
        <v>3.8509298995358798</v>
      </c>
      <c r="AH227" s="197">
        <v>1.1000000000000001</v>
      </c>
      <c r="AI227" s="197">
        <v>1.1000000000000001</v>
      </c>
      <c r="AJ227" s="197">
        <v>1.1000000000000001</v>
      </c>
      <c r="AK227" s="197">
        <v>1</v>
      </c>
      <c r="AL227" s="198">
        <f t="shared" ref="AL227" si="1307">AL17/AL187</f>
        <v>3.848159307412824</v>
      </c>
    </row>
    <row r="228" spans="1:38" s="196" customFormat="1" ht="19" customHeight="1" outlineLevel="1" x14ac:dyDescent="0.2">
      <c r="B228" s="666" t="s">
        <v>287</v>
      </c>
      <c r="C228" s="667"/>
      <c r="D228" s="161">
        <f t="shared" ref="D228:J228" si="1308">D224/D227</f>
        <v>57.276955602536987</v>
      </c>
      <c r="E228" s="161">
        <f t="shared" si="1308"/>
        <v>64.547713717693838</v>
      </c>
      <c r="F228" s="161">
        <f t="shared" si="1308"/>
        <v>62.768321513002363</v>
      </c>
      <c r="G228" s="161">
        <f t="shared" si="1308"/>
        <v>65.765272259873825</v>
      </c>
      <c r="H228" s="198"/>
      <c r="I228" s="161">
        <f t="shared" si="1308"/>
        <v>57.950456090144868</v>
      </c>
      <c r="J228" s="161">
        <f t="shared" si="1308"/>
        <v>67.973269259648589</v>
      </c>
      <c r="K228" s="161">
        <f>K224/K227</f>
        <v>97.119811320754721</v>
      </c>
      <c r="L228" s="161">
        <f t="shared" ref="L228:Q228" si="1309">L224/L227</f>
        <v>92</v>
      </c>
      <c r="M228" s="198"/>
      <c r="N228" s="161">
        <f t="shared" si="1309"/>
        <v>83.636363636363626</v>
      </c>
      <c r="O228" s="161">
        <f t="shared" si="1309"/>
        <v>81.818181818181813</v>
      </c>
      <c r="P228" s="161">
        <f t="shared" si="1309"/>
        <v>82.72727272727272</v>
      </c>
      <c r="Q228" s="161">
        <f t="shared" si="1309"/>
        <v>92</v>
      </c>
      <c r="R228" s="198"/>
      <c r="S228" s="161">
        <f t="shared" ref="S228" si="1310">S224/S227</f>
        <v>83.636363636363626</v>
      </c>
      <c r="T228" s="161">
        <f t="shared" ref="T228" si="1311">T224/T227</f>
        <v>81.818181818181813</v>
      </c>
      <c r="U228" s="161">
        <f t="shared" ref="U228" si="1312">U224/U227</f>
        <v>82.72727272727272</v>
      </c>
      <c r="V228" s="161">
        <f t="shared" ref="V228" si="1313">V224/V227</f>
        <v>92</v>
      </c>
      <c r="W228" s="198"/>
      <c r="X228" s="161">
        <f t="shared" ref="X228" si="1314">X224/X227</f>
        <v>83.636363636363626</v>
      </c>
      <c r="Y228" s="161">
        <f t="shared" ref="Y228" si="1315">Y224/Y227</f>
        <v>81.818181818181813</v>
      </c>
      <c r="Z228" s="161">
        <f t="shared" ref="Z228" si="1316">Z224/Z227</f>
        <v>82.72727272727272</v>
      </c>
      <c r="AA228" s="161">
        <f t="shared" ref="AA228" si="1317">AA224/AA227</f>
        <v>92</v>
      </c>
      <c r="AB228" s="198"/>
      <c r="AC228" s="161">
        <f t="shared" ref="AC228" si="1318">AC224/AC227</f>
        <v>83.636363636363626</v>
      </c>
      <c r="AD228" s="161">
        <f t="shared" ref="AD228" si="1319">AD224/AD227</f>
        <v>82.72727272727272</v>
      </c>
      <c r="AE228" s="161">
        <f t="shared" ref="AE228" si="1320">AE224/AE227</f>
        <v>82.72727272727272</v>
      </c>
      <c r="AF228" s="161">
        <f t="shared" ref="AF228" si="1321">AF224/AF227</f>
        <v>92</v>
      </c>
      <c r="AG228" s="198"/>
      <c r="AH228" s="161">
        <f t="shared" ref="AH228" si="1322">AH224/AH227</f>
        <v>83.636363636363626</v>
      </c>
      <c r="AI228" s="161">
        <f t="shared" ref="AI228" si="1323">AI224/AI227</f>
        <v>81.818181818181813</v>
      </c>
      <c r="AJ228" s="161">
        <f t="shared" ref="AJ228" si="1324">AJ224/AJ227</f>
        <v>82.72727272727272</v>
      </c>
      <c r="AK228" s="161">
        <f t="shared" ref="AK228" si="1325">AK224/AK227</f>
        <v>92</v>
      </c>
      <c r="AL228" s="198"/>
    </row>
    <row r="229" spans="1:38" s="196" customFormat="1" ht="19" customHeight="1" outlineLevel="1" x14ac:dyDescent="0.2">
      <c r="B229" s="312" t="s">
        <v>41</v>
      </c>
      <c r="C229" s="313"/>
      <c r="D229" s="197">
        <f t="shared" ref="D229:M229" si="1326">D21/D200</f>
        <v>0.40708768741481144</v>
      </c>
      <c r="E229" s="197">
        <f t="shared" si="1326"/>
        <v>0.41770766845992524</v>
      </c>
      <c r="F229" s="197">
        <f t="shared" si="1326"/>
        <v>0.40134450846865721</v>
      </c>
      <c r="G229" s="197">
        <f t="shared" si="1326"/>
        <v>0.38522316550390839</v>
      </c>
      <c r="H229" s="199">
        <f t="shared" si="1326"/>
        <v>1.533243674876019</v>
      </c>
      <c r="I229" s="197">
        <f t="shared" si="1326"/>
        <v>0.39996315401621224</v>
      </c>
      <c r="J229" s="197">
        <f t="shared" si="1326"/>
        <v>0.40743710534228722</v>
      </c>
      <c r="K229" s="197">
        <f t="shared" si="1326"/>
        <v>0.464567843866171</v>
      </c>
      <c r="L229" s="197">
        <v>0.4</v>
      </c>
      <c r="M229" s="199">
        <f t="shared" si="1326"/>
        <v>1.536667673350367</v>
      </c>
      <c r="N229" s="197">
        <v>0.4</v>
      </c>
      <c r="O229" s="197">
        <v>0.4</v>
      </c>
      <c r="P229" s="197">
        <v>0.4</v>
      </c>
      <c r="Q229" s="197">
        <v>0.4</v>
      </c>
      <c r="R229" s="199">
        <f t="shared" ref="R229" si="1327">R21/R200</f>
        <v>1.5648571740585873</v>
      </c>
      <c r="S229" s="197">
        <v>0.4</v>
      </c>
      <c r="T229" s="197">
        <v>0.4</v>
      </c>
      <c r="U229" s="197">
        <v>0.4</v>
      </c>
      <c r="V229" s="197">
        <v>0.4</v>
      </c>
      <c r="W229" s="199">
        <f t="shared" ref="W229" si="1328">W21/W200</f>
        <v>1.558219230908634</v>
      </c>
      <c r="X229" s="197">
        <v>0.4</v>
      </c>
      <c r="Y229" s="197">
        <v>0.4</v>
      </c>
      <c r="Z229" s="197">
        <v>0.4</v>
      </c>
      <c r="AA229" s="197">
        <v>0.4</v>
      </c>
      <c r="AB229" s="199">
        <f t="shared" ref="AB229" si="1329">AB21/AB200</f>
        <v>1.5570925247415479</v>
      </c>
      <c r="AC229" s="197">
        <v>0.4</v>
      </c>
      <c r="AD229" s="197">
        <v>0.4</v>
      </c>
      <c r="AE229" s="197">
        <v>0.4</v>
      </c>
      <c r="AF229" s="197">
        <v>0.4</v>
      </c>
      <c r="AG229" s="199">
        <f t="shared" ref="AG229" si="1330">AG21/AG200</f>
        <v>1.5545584373908072</v>
      </c>
      <c r="AH229" s="197">
        <v>0.4</v>
      </c>
      <c r="AI229" s="197">
        <v>0.4</v>
      </c>
      <c r="AJ229" s="197">
        <v>0.4</v>
      </c>
      <c r="AK229" s="197">
        <v>0.4</v>
      </c>
      <c r="AL229" s="199">
        <f t="shared" ref="AL229" si="1331">AL21/AL200</f>
        <v>1.5519194761073904</v>
      </c>
    </row>
    <row r="230" spans="1:38" s="196" customFormat="1" ht="19" customHeight="1" outlineLevel="1" x14ac:dyDescent="0.2">
      <c r="B230" s="666" t="s">
        <v>21</v>
      </c>
      <c r="C230" s="667"/>
      <c r="D230" s="139">
        <f>D224/D229</f>
        <v>225.99553571428572</v>
      </c>
      <c r="E230" s="139">
        <f>E224/E229</f>
        <v>215.46168958742632</v>
      </c>
      <c r="F230" s="139">
        <f>F224/F229</f>
        <v>226.73787252556016</v>
      </c>
      <c r="G230" s="139">
        <f>G224/G229</f>
        <v>238.82260528038412</v>
      </c>
      <c r="H230" s="200"/>
      <c r="I230" s="139">
        <f>I224/I229</f>
        <v>230.02118839244588</v>
      </c>
      <c r="J230" s="139">
        <f>J224/J229</f>
        <v>223.34735547355476</v>
      </c>
      <c r="K230" s="139">
        <f>K224/K229</f>
        <v>195.88097024256064</v>
      </c>
      <c r="L230" s="139">
        <f t="shared" ref="L230:Q230" si="1332">L224/L229</f>
        <v>230</v>
      </c>
      <c r="M230" s="200"/>
      <c r="N230" s="139">
        <f t="shared" si="1332"/>
        <v>230</v>
      </c>
      <c r="O230" s="139">
        <f t="shared" si="1332"/>
        <v>225</v>
      </c>
      <c r="P230" s="139">
        <f t="shared" si="1332"/>
        <v>227.5</v>
      </c>
      <c r="Q230" s="139">
        <f t="shared" si="1332"/>
        <v>230</v>
      </c>
      <c r="R230" s="200"/>
      <c r="S230" s="139">
        <f t="shared" ref="S230" si="1333">S224/S229</f>
        <v>230</v>
      </c>
      <c r="T230" s="139">
        <f t="shared" ref="T230" si="1334">T224/T229</f>
        <v>225</v>
      </c>
      <c r="U230" s="139">
        <f t="shared" ref="U230" si="1335">U224/U229</f>
        <v>227.5</v>
      </c>
      <c r="V230" s="139">
        <f t="shared" ref="V230" si="1336">V224/V229</f>
        <v>230</v>
      </c>
      <c r="W230" s="200"/>
      <c r="X230" s="139">
        <f t="shared" ref="X230" si="1337">X224/X229</f>
        <v>230</v>
      </c>
      <c r="Y230" s="139">
        <f t="shared" ref="Y230" si="1338">Y224/Y229</f>
        <v>225</v>
      </c>
      <c r="Z230" s="139">
        <f t="shared" ref="Z230" si="1339">Z224/Z229</f>
        <v>227.5</v>
      </c>
      <c r="AA230" s="139">
        <f t="shared" ref="AA230" si="1340">AA224/AA229</f>
        <v>230</v>
      </c>
      <c r="AB230" s="200"/>
      <c r="AC230" s="139">
        <f t="shared" ref="AC230" si="1341">AC224/AC229</f>
        <v>230</v>
      </c>
      <c r="AD230" s="139">
        <f t="shared" ref="AD230" si="1342">AD224/AD229</f>
        <v>227.5</v>
      </c>
      <c r="AE230" s="139">
        <f t="shared" ref="AE230" si="1343">AE224/AE229</f>
        <v>227.5</v>
      </c>
      <c r="AF230" s="139">
        <f t="shared" ref="AF230" si="1344">AF224/AF229</f>
        <v>230</v>
      </c>
      <c r="AG230" s="200"/>
      <c r="AH230" s="139">
        <f t="shared" ref="AH230" si="1345">AH224/AH229</f>
        <v>230</v>
      </c>
      <c r="AI230" s="139">
        <f t="shared" ref="AI230" si="1346">AI224/AI229</f>
        <v>225</v>
      </c>
      <c r="AJ230" s="139">
        <f t="shared" ref="AJ230" si="1347">AJ224/AJ229</f>
        <v>227.5</v>
      </c>
      <c r="AK230" s="139">
        <f t="shared" ref="AK230" si="1348">AK224/AK229</f>
        <v>230</v>
      </c>
      <c r="AL230" s="200"/>
    </row>
    <row r="231" spans="1:38" s="196" customFormat="1" ht="19" customHeight="1" outlineLevel="1" x14ac:dyDescent="0.2">
      <c r="B231" s="312" t="s">
        <v>202</v>
      </c>
      <c r="C231" s="313"/>
      <c r="D231" s="171">
        <f>(D190+D185)/D198</f>
        <v>2.4783172266068774E-2</v>
      </c>
      <c r="E231" s="171">
        <f>(E190+E185)/E198</f>
        <v>1.862044337628033E-2</v>
      </c>
      <c r="F231" s="171">
        <f t="shared" ref="F231:M231" si="1349">(F190+F185)/F198</f>
        <v>1.4104190097872643E-2</v>
      </c>
      <c r="G231" s="171">
        <f t="shared" si="1349"/>
        <v>1.5114935950133718E-2</v>
      </c>
      <c r="H231" s="200">
        <f t="shared" si="1349"/>
        <v>1.5114935950133718E-2</v>
      </c>
      <c r="I231" s="171">
        <f t="shared" si="1349"/>
        <v>9.6713821566244626E-3</v>
      </c>
      <c r="J231" s="171">
        <f t="shared" si="1349"/>
        <v>9.1597553031598795E-3</v>
      </c>
      <c r="K231" s="171">
        <f t="shared" si="1349"/>
        <v>1.5555616562459249E-2</v>
      </c>
      <c r="L231" s="171">
        <v>0.01</v>
      </c>
      <c r="M231" s="200">
        <f t="shared" si="1349"/>
        <v>9.9999999999999967E-3</v>
      </c>
      <c r="N231" s="171">
        <v>0.01</v>
      </c>
      <c r="O231" s="171">
        <v>0.01</v>
      </c>
      <c r="P231" s="171">
        <v>0.01</v>
      </c>
      <c r="Q231" s="171">
        <v>0.01</v>
      </c>
      <c r="R231" s="200">
        <f t="shared" ref="R231" si="1350">(R190+R185)/R198</f>
        <v>1.0000000000000002E-2</v>
      </c>
      <c r="S231" s="171">
        <v>0.01</v>
      </c>
      <c r="T231" s="171">
        <v>0.01</v>
      </c>
      <c r="U231" s="171">
        <v>0.01</v>
      </c>
      <c r="V231" s="171">
        <v>0.01</v>
      </c>
      <c r="W231" s="200">
        <f t="shared" ref="W231" si="1351">(W190+W185)/W198</f>
        <v>1.0000038344424055E-2</v>
      </c>
      <c r="X231" s="171">
        <v>0.01</v>
      </c>
      <c r="Y231" s="171">
        <v>0.01</v>
      </c>
      <c r="Z231" s="171">
        <v>0.01</v>
      </c>
      <c r="AA231" s="171">
        <v>0.01</v>
      </c>
      <c r="AB231" s="200">
        <f t="shared" ref="AB231" si="1352">(AB190+AB185)/AB198</f>
        <v>3.0000115406071835E-3</v>
      </c>
      <c r="AC231" s="171">
        <v>0.01</v>
      </c>
      <c r="AD231" s="171">
        <v>0.01</v>
      </c>
      <c r="AE231" s="171">
        <v>0.01</v>
      </c>
      <c r="AF231" s="171">
        <v>0.01</v>
      </c>
      <c r="AG231" s="200">
        <f t="shared" ref="AG231" si="1353">(AG190+AG185)/AG198</f>
        <v>3.0000116829796675E-3</v>
      </c>
      <c r="AH231" s="171">
        <v>0.01</v>
      </c>
      <c r="AI231" s="171">
        <v>0.01</v>
      </c>
      <c r="AJ231" s="171">
        <v>0.01</v>
      </c>
      <c r="AK231" s="171">
        <v>0.01</v>
      </c>
      <c r="AL231" s="200">
        <f t="shared" ref="AL231" si="1354">(AL190+AL185)/AL198</f>
        <v>3.0000123585338647E-3</v>
      </c>
    </row>
    <row r="232" spans="1:38" s="196" customFormat="1" ht="19" customHeight="1" outlineLevel="1" x14ac:dyDescent="0.2">
      <c r="B232" s="651" t="s">
        <v>201</v>
      </c>
      <c r="C232" s="282"/>
      <c r="D232" s="171">
        <f>D185/(D185+D190)</f>
        <v>0.4648626817447496</v>
      </c>
      <c r="E232" s="171">
        <f>E185/(E185+E190)</f>
        <v>0.23318112633181123</v>
      </c>
      <c r="F232" s="171">
        <f t="shared" ref="F232:M232" si="1355">F185/(F185+F190)</f>
        <v>0.24465558194774345</v>
      </c>
      <c r="G232" s="171">
        <f t="shared" si="1355"/>
        <v>0.24268502581755594</v>
      </c>
      <c r="H232" s="200">
        <f t="shared" si="1355"/>
        <v>0.24268502581755594</v>
      </c>
      <c r="I232" s="171">
        <f t="shared" si="1355"/>
        <v>0.25503355704697983</v>
      </c>
      <c r="J232" s="171">
        <f t="shared" si="1355"/>
        <v>0.21017083829956296</v>
      </c>
      <c r="K232" s="171">
        <f t="shared" si="1355"/>
        <v>0.50716964482682547</v>
      </c>
      <c r="L232" s="171">
        <v>0.3</v>
      </c>
      <c r="M232" s="200">
        <f t="shared" si="1355"/>
        <v>0.3</v>
      </c>
      <c r="N232" s="171">
        <v>0.3</v>
      </c>
      <c r="O232" s="171">
        <v>0.3</v>
      </c>
      <c r="P232" s="171">
        <v>0.3</v>
      </c>
      <c r="Q232" s="171">
        <v>0.3</v>
      </c>
      <c r="R232" s="200">
        <f t="shared" ref="R232" si="1356">R185/(R185+R190)</f>
        <v>0.3</v>
      </c>
      <c r="S232" s="171">
        <v>0.3</v>
      </c>
      <c r="T232" s="171">
        <v>0.3</v>
      </c>
      <c r="U232" s="171">
        <v>0.3</v>
      </c>
      <c r="V232" s="171">
        <v>0.3</v>
      </c>
      <c r="W232" s="200">
        <f t="shared" ref="W232" si="1357">W185/(W185+W190)</f>
        <v>0.30000000000000004</v>
      </c>
      <c r="X232" s="171">
        <v>0.3</v>
      </c>
      <c r="Y232" s="171">
        <v>0.3</v>
      </c>
      <c r="Z232" s="171">
        <v>0.3</v>
      </c>
      <c r="AA232" s="171">
        <v>0.3</v>
      </c>
      <c r="AB232" s="200">
        <f t="shared" ref="AB232" si="1358">AB185/(AB185+AB190)</f>
        <v>1</v>
      </c>
      <c r="AC232" s="171">
        <v>0.3</v>
      </c>
      <c r="AD232" s="171">
        <v>0.3</v>
      </c>
      <c r="AE232" s="171">
        <v>0.3</v>
      </c>
      <c r="AF232" s="171">
        <v>0.3</v>
      </c>
      <c r="AG232" s="200">
        <f t="shared" ref="AG232" si="1359">AG185/(AG185+AG190)</f>
        <v>1</v>
      </c>
      <c r="AH232" s="171">
        <v>0.3</v>
      </c>
      <c r="AI232" s="171">
        <v>0.3</v>
      </c>
      <c r="AJ232" s="171">
        <v>0.3</v>
      </c>
      <c r="AK232" s="171">
        <v>0.3</v>
      </c>
      <c r="AL232" s="200">
        <f t="shared" ref="AL232" si="1360">AL185/(AL185+AL190)</f>
        <v>1</v>
      </c>
    </row>
    <row r="233" spans="1:38" s="196" customFormat="1" ht="19" customHeight="1" outlineLevel="1" x14ac:dyDescent="0.2">
      <c r="B233" s="281" t="s">
        <v>203</v>
      </c>
      <c r="C233" s="282"/>
      <c r="D233" s="171">
        <f>+(D206+D209)/D219</f>
        <v>-3.1717034875642636</v>
      </c>
      <c r="E233" s="171">
        <f>+(E206+E209)/E219</f>
        <v>-1.8304138862408643</v>
      </c>
      <c r="F233" s="171">
        <f>+(F206+F209)/F219</f>
        <v>-2.5837230840472332</v>
      </c>
      <c r="G233" s="171">
        <f>+(G206+G209)/G219</f>
        <v>-1.7921681913015568</v>
      </c>
      <c r="H233" s="200"/>
      <c r="I233" s="171">
        <f>+(I206+I209)/I219</f>
        <v>-1.7235726649997785</v>
      </c>
      <c r="J233" s="171">
        <f>+(J206+J209)/J219</f>
        <v>-1.8605318005017988</v>
      </c>
      <c r="K233" s="171">
        <f>+(K206+K209)/K219</f>
        <v>-1.9516598448569742</v>
      </c>
      <c r="L233" s="171">
        <f t="shared" ref="L233:AL233" si="1361">+(L206+L209)/L219</f>
        <v>-1.822084774032863</v>
      </c>
      <c r="M233" s="200">
        <f t="shared" si="1361"/>
        <v>-1.822084774032863</v>
      </c>
      <c r="N233" s="171">
        <f t="shared" si="1361"/>
        <v>-1.8125719199481334</v>
      </c>
      <c r="O233" s="171">
        <f t="shared" si="1361"/>
        <v>-1.7756111905853489</v>
      </c>
      <c r="P233" s="171">
        <f t="shared" si="1361"/>
        <v>-1.6900403584066503</v>
      </c>
      <c r="Q233" s="171">
        <f t="shared" si="1361"/>
        <v>-1.6705694600922778</v>
      </c>
      <c r="R233" s="200">
        <f t="shared" ref="R233" si="1362">+(R206+R209)/R219</f>
        <v>-1.6705694600922778</v>
      </c>
      <c r="S233" s="171">
        <f t="shared" si="1361"/>
        <v>-1.7034292804421132</v>
      </c>
      <c r="T233" s="171">
        <f t="shared" si="1361"/>
        <v>-1.7071480345493057</v>
      </c>
      <c r="U233" s="171">
        <f t="shared" si="1361"/>
        <v>-1.6576980422293284</v>
      </c>
      <c r="V233" s="171">
        <f t="shared" si="1361"/>
        <v>-1.6822154106505134</v>
      </c>
      <c r="W233" s="200">
        <f t="shared" ref="W233" si="1363">+(W206+W209)/W219</f>
        <v>-1.6822154106505134</v>
      </c>
      <c r="X233" s="171">
        <f t="shared" si="1361"/>
        <v>-1.7393023948118438</v>
      </c>
      <c r="Y233" s="171">
        <f t="shared" si="1361"/>
        <v>-1.7618685058423911</v>
      </c>
      <c r="Z233" s="171">
        <f t="shared" si="1361"/>
        <v>-1.7187063741968045</v>
      </c>
      <c r="AA233" s="171">
        <f t="shared" si="1361"/>
        <v>-1.7691136109707879</v>
      </c>
      <c r="AB233" s="200">
        <f t="shared" ref="AB233" si="1364">+(AB206+AB209)/AB219</f>
        <v>-1.7691136109707879</v>
      </c>
      <c r="AC233" s="171">
        <f t="shared" si="1361"/>
        <v>-1.8440837931931371</v>
      </c>
      <c r="AD233" s="171">
        <f t="shared" si="1361"/>
        <v>-1.8749883863193575</v>
      </c>
      <c r="AE233" s="171">
        <f t="shared" si="1361"/>
        <v>-1.8175002934190223</v>
      </c>
      <c r="AF233" s="171">
        <f t="shared" si="1361"/>
        <v>-1.8883384360192321</v>
      </c>
      <c r="AG233" s="200">
        <f t="shared" ref="AG233" si="1365">+(AG206+AG209)/AG219</f>
        <v>-1.8883384360192321</v>
      </c>
      <c r="AH233" s="171">
        <f t="shared" si="1361"/>
        <v>-1.9592133576623583</v>
      </c>
      <c r="AI233" s="171">
        <f t="shared" si="1361"/>
        <v>-1.9644110911147776</v>
      </c>
      <c r="AJ233" s="171">
        <f t="shared" si="1361"/>
        <v>-1.8385020904684215</v>
      </c>
      <c r="AK233" s="171">
        <f t="shared" si="1361"/>
        <v>-1.8947220952657826</v>
      </c>
      <c r="AL233" s="200">
        <f t="shared" ref="AL233" si="1366">+(AL206+AL209)/AL219</f>
        <v>-1.8947220952657826</v>
      </c>
    </row>
    <row r="234" spans="1:38" s="196" customFormat="1" ht="19" customHeight="1" outlineLevel="1" x14ac:dyDescent="0.2">
      <c r="B234" s="651" t="s">
        <v>204</v>
      </c>
      <c r="C234" s="282"/>
      <c r="D234" s="171">
        <f>+D206/(D206+D209)</f>
        <v>0</v>
      </c>
      <c r="E234" s="171">
        <f>+E206/(E206+E209)</f>
        <v>8.1375793413985785E-3</v>
      </c>
      <c r="F234" s="171">
        <f>+F206/(F206+F209)</f>
        <v>0</v>
      </c>
      <c r="G234" s="171">
        <f>+G206/(G206+G209)</f>
        <v>0</v>
      </c>
      <c r="H234" s="200"/>
      <c r="I234" s="171">
        <f>+I206/(I206+I209)</f>
        <v>8.5546532987690757E-2</v>
      </c>
      <c r="J234" s="171">
        <f>+J206/(J206+J209)</f>
        <v>0.16813887778982817</v>
      </c>
      <c r="K234" s="171">
        <f>+K206/(K206+K209)</f>
        <v>0.12987992894360045</v>
      </c>
      <c r="L234" s="171">
        <f t="shared" ref="L234:AL234" si="1367">+L206/(L206+L209)</f>
        <v>0.10668691711345739</v>
      </c>
      <c r="M234" s="200">
        <f t="shared" si="1367"/>
        <v>0.10668691711345739</v>
      </c>
      <c r="N234" s="171">
        <f t="shared" si="1367"/>
        <v>8.2223628718424327E-2</v>
      </c>
      <c r="O234" s="171">
        <f t="shared" si="1367"/>
        <v>5.6382766241213342E-2</v>
      </c>
      <c r="P234" s="171">
        <f t="shared" si="1367"/>
        <v>2.9044597810881936E-2</v>
      </c>
      <c r="Q234" s="171">
        <f t="shared" si="1367"/>
        <v>6.827989293712787E-2</v>
      </c>
      <c r="R234" s="200">
        <f t="shared" ref="R234" si="1368">+R206/(R206+R209)</f>
        <v>6.827989293712787E-2</v>
      </c>
      <c r="S234" s="171">
        <f t="shared" si="1367"/>
        <v>5.2099252549390088E-2</v>
      </c>
      <c r="T234" s="171">
        <f t="shared" si="1367"/>
        <v>3.5346680239791879E-2</v>
      </c>
      <c r="U234" s="171">
        <f t="shared" si="1367"/>
        <v>1.7991306600650566E-2</v>
      </c>
      <c r="V234" s="171">
        <f t="shared" si="1367"/>
        <v>7.3283695843348776E-2</v>
      </c>
      <c r="W234" s="200">
        <f t="shared" ref="W234" si="1369">+W206/(W206+W209)</f>
        <v>7.3283695843348776E-2</v>
      </c>
      <c r="X234" s="171">
        <f t="shared" si="1367"/>
        <v>5.5988533548329299E-2</v>
      </c>
      <c r="Y234" s="171">
        <f t="shared" si="1367"/>
        <v>3.8035540408958131E-2</v>
      </c>
      <c r="Z234" s="171">
        <f t="shared" si="1367"/>
        <v>1.9386457396321225E-2</v>
      </c>
      <c r="AA234" s="171">
        <f t="shared" si="1367"/>
        <v>0.12201872588093882</v>
      </c>
      <c r="AB234" s="200">
        <f t="shared" ref="AB234" si="1370">+AB206/(AB206+AB209)</f>
        <v>0.12201872588093882</v>
      </c>
      <c r="AC234" s="171">
        <f t="shared" si="1367"/>
        <v>9.4375020392182443E-2</v>
      </c>
      <c r="AD234" s="171">
        <f t="shared" si="1367"/>
        <v>6.5012716217809435E-2</v>
      </c>
      <c r="AE234" s="171">
        <f t="shared" si="1367"/>
        <v>3.3598523753982208E-2</v>
      </c>
      <c r="AF234" s="171">
        <f t="shared" si="1367"/>
        <v>0.27020697854556591</v>
      </c>
      <c r="AG234" s="200">
        <f t="shared" ref="AG234" si="1371">+AG206/(AG206+AG209)</f>
        <v>0.27020697854556591</v>
      </c>
      <c r="AH234" s="171">
        <f t="shared" si="1367"/>
        <v>0.21733670768695787</v>
      </c>
      <c r="AI234" s="171">
        <f t="shared" si="1367"/>
        <v>0.15620769374960947</v>
      </c>
      <c r="AJ234" s="171">
        <f t="shared" si="1367"/>
        <v>8.472087296387501E-2</v>
      </c>
      <c r="AK234" s="171">
        <f t="shared" si="1367"/>
        <v>0.24683434946807198</v>
      </c>
      <c r="AL234" s="200">
        <f t="shared" ref="AL234" si="1372">+AL206/(AL206+AL209)</f>
        <v>0.24683434946807198</v>
      </c>
    </row>
    <row r="235" spans="1:38" s="196" customFormat="1" ht="19" customHeight="1" outlineLevel="1" x14ac:dyDescent="0.2">
      <c r="B235" s="281" t="s">
        <v>198</v>
      </c>
      <c r="C235" s="282"/>
      <c r="D235" s="171">
        <f>+D194/(D205+D211)</f>
        <v>7.7585075018799465E-2</v>
      </c>
      <c r="E235" s="171">
        <f>+E194/(E205+E211)</f>
        <v>0.12468259571674534</v>
      </c>
      <c r="F235" s="162">
        <f t="shared" ref="F235:J235" si="1373">+F194/(F205+F211)</f>
        <v>0.19119242713361023</v>
      </c>
      <c r="G235" s="162">
        <f t="shared" si="1373"/>
        <v>0.22035590386103276</v>
      </c>
      <c r="H235" s="195">
        <f t="shared" si="1373"/>
        <v>0.22035590386103276</v>
      </c>
      <c r="I235" s="194">
        <f t="shared" si="1373"/>
        <v>0.20507171706404201</v>
      </c>
      <c r="J235" s="194">
        <f t="shared" si="1373"/>
        <v>0.21050752296288999</v>
      </c>
      <c r="K235" s="162">
        <f>+K194/(K205+K211)</f>
        <v>0.2146584586535733</v>
      </c>
      <c r="L235" s="162">
        <f>K235</f>
        <v>0.2146584586535733</v>
      </c>
      <c r="M235" s="195">
        <f t="shared" ref="M235" si="1374">+M194/(M205+M211)</f>
        <v>0.2146584586535733</v>
      </c>
      <c r="N235" s="194">
        <f>L235</f>
        <v>0.2146584586535733</v>
      </c>
      <c r="O235" s="194">
        <f>N235</f>
        <v>0.2146584586535733</v>
      </c>
      <c r="P235" s="162">
        <f>O235</f>
        <v>0.2146584586535733</v>
      </c>
      <c r="Q235" s="162">
        <f>P235</f>
        <v>0.2146584586535733</v>
      </c>
      <c r="R235" s="195">
        <f t="shared" ref="R235" si="1375">+R194/(R205+R211)</f>
        <v>0.2146584586535733</v>
      </c>
      <c r="S235" s="194">
        <f>Q235</f>
        <v>0.2146584586535733</v>
      </c>
      <c r="T235" s="194">
        <f>S235</f>
        <v>0.2146584586535733</v>
      </c>
      <c r="U235" s="162">
        <f>T235</f>
        <v>0.2146584586535733</v>
      </c>
      <c r="V235" s="162">
        <f>U235</f>
        <v>0.2146584586535733</v>
      </c>
      <c r="W235" s="195">
        <f t="shared" ref="W235" si="1376">+W194/(W205+W211)</f>
        <v>0.2146584586535733</v>
      </c>
      <c r="X235" s="194">
        <f>V235</f>
        <v>0.2146584586535733</v>
      </c>
      <c r="Y235" s="194">
        <f>X235</f>
        <v>0.2146584586535733</v>
      </c>
      <c r="Z235" s="162">
        <f>Y235</f>
        <v>0.2146584586535733</v>
      </c>
      <c r="AA235" s="162">
        <f>Z235</f>
        <v>0.2146584586535733</v>
      </c>
      <c r="AB235" s="195">
        <f t="shared" ref="AB235" si="1377">+AB194/(AB205+AB211)</f>
        <v>0.2146584586535733</v>
      </c>
      <c r="AC235" s="194">
        <f>AA235</f>
        <v>0.2146584586535733</v>
      </c>
      <c r="AD235" s="194">
        <f>AC235</f>
        <v>0.2146584586535733</v>
      </c>
      <c r="AE235" s="162">
        <f>AD235</f>
        <v>0.2146584586535733</v>
      </c>
      <c r="AF235" s="162">
        <f>AE235</f>
        <v>0.2146584586535733</v>
      </c>
      <c r="AG235" s="195">
        <f t="shared" ref="AG235" si="1378">+AG194/(AG205+AG211)</f>
        <v>0.2146584586535733</v>
      </c>
      <c r="AH235" s="194">
        <f>AF235</f>
        <v>0.2146584586535733</v>
      </c>
      <c r="AI235" s="194">
        <f>AH235</f>
        <v>0.2146584586535733</v>
      </c>
      <c r="AJ235" s="162">
        <f>AI235</f>
        <v>0.2146584586535733</v>
      </c>
      <c r="AK235" s="162">
        <f>AJ235</f>
        <v>0.2146584586535733</v>
      </c>
      <c r="AL235" s="195">
        <f t="shared" ref="AL235" si="1379">+AL194/(AL205+AL211)</f>
        <v>0.2146584586535733</v>
      </c>
    </row>
    <row r="236" spans="1:38" s="137" customFormat="1" ht="19" customHeight="1" outlineLevel="1" x14ac:dyDescent="0.2">
      <c r="B236" s="283" t="s">
        <v>47</v>
      </c>
      <c r="C236" s="284"/>
      <c r="D236" s="203"/>
      <c r="E236" s="203">
        <f>+E242/((E192+D192)/2)</f>
        <v>6.122482504846076E-2</v>
      </c>
      <c r="F236" s="201">
        <f t="shared" ref="F236:H236" si="1380">+F242/((F192+E192)/2)</f>
        <v>5.8442138063667992E-2</v>
      </c>
      <c r="G236" s="201">
        <f t="shared" si="1380"/>
        <v>5.7957922263164152E-2</v>
      </c>
      <c r="H236" s="202">
        <f t="shared" si="1380"/>
        <v>0.2253370026587061</v>
      </c>
      <c r="I236" s="203">
        <f>+I242/((I192+G192)/2)</f>
        <v>5.75858250276855E-2</v>
      </c>
      <c r="J236" s="203">
        <f>+J242/((J192+I192)/2)</f>
        <v>5.9117695395957084E-2</v>
      </c>
      <c r="K236" s="201">
        <f>+K242/((K192+J192)/2)</f>
        <v>5.9467301657388859E-2</v>
      </c>
      <c r="L236" s="201">
        <f>K236</f>
        <v>5.9467301657388859E-2</v>
      </c>
      <c r="M236" s="202">
        <f t="shared" ref="M236" si="1381">+M242/((M192+L192)/2)</f>
        <v>0.23850138180457359</v>
      </c>
      <c r="N236" s="203">
        <f>L236</f>
        <v>5.9467301657388859E-2</v>
      </c>
      <c r="O236" s="203">
        <f>N236</f>
        <v>5.9467301657388859E-2</v>
      </c>
      <c r="P236" s="203">
        <f t="shared" ref="P236:Q236" si="1382">O236</f>
        <v>5.9467301657388859E-2</v>
      </c>
      <c r="Q236" s="203">
        <f t="shared" si="1382"/>
        <v>5.9467301657388859E-2</v>
      </c>
      <c r="R236" s="202">
        <f t="shared" ref="R236" si="1383">+R242/((R192+Q192)/2)</f>
        <v>0.23766402110692078</v>
      </c>
      <c r="S236" s="203">
        <f>Q236</f>
        <v>5.9467301657388859E-2</v>
      </c>
      <c r="T236" s="203">
        <f>S236</f>
        <v>5.9467301657388859E-2</v>
      </c>
      <c r="U236" s="203">
        <f t="shared" ref="U236:V236" si="1384">T236</f>
        <v>5.9467301657388859E-2</v>
      </c>
      <c r="V236" s="203">
        <f t="shared" si="1384"/>
        <v>5.9467301657388859E-2</v>
      </c>
      <c r="W236" s="202">
        <f t="shared" ref="W236" si="1385">+W242/((W192+V192)/2)</f>
        <v>0.23493242060902436</v>
      </c>
      <c r="X236" s="203">
        <f>V236</f>
        <v>5.9467301657388859E-2</v>
      </c>
      <c r="Y236" s="203">
        <f>X236</f>
        <v>5.9467301657388859E-2</v>
      </c>
      <c r="Z236" s="203">
        <f t="shared" ref="Z236:AA236" si="1386">Y236</f>
        <v>5.9467301657388859E-2</v>
      </c>
      <c r="AA236" s="203">
        <f t="shared" si="1386"/>
        <v>5.9467301657388859E-2</v>
      </c>
      <c r="AB236" s="202">
        <f t="shared" ref="AB236" si="1387">+AB242/((AB192+AA192)/2)</f>
        <v>0.2335216408519914</v>
      </c>
      <c r="AC236" s="203">
        <f>AA236</f>
        <v>5.9467301657388859E-2</v>
      </c>
      <c r="AD236" s="203">
        <f>AC236</f>
        <v>5.9467301657388859E-2</v>
      </c>
      <c r="AE236" s="203">
        <f t="shared" ref="AE236:AF236" si="1388">AD236</f>
        <v>5.9467301657388859E-2</v>
      </c>
      <c r="AF236" s="203">
        <f t="shared" si="1388"/>
        <v>5.9467301657388859E-2</v>
      </c>
      <c r="AG236" s="202">
        <f t="shared" ref="AG236" si="1389">+AG242/((AG192+AF192)/2)</f>
        <v>0.23254565722531917</v>
      </c>
      <c r="AH236" s="203">
        <f>AF236</f>
        <v>5.9467301657388859E-2</v>
      </c>
      <c r="AI236" s="203">
        <f>AH236</f>
        <v>5.9467301657388859E-2</v>
      </c>
      <c r="AJ236" s="203">
        <f t="shared" ref="AJ236:AK236" si="1390">AI236</f>
        <v>5.9467301657388859E-2</v>
      </c>
      <c r="AK236" s="203">
        <f t="shared" si="1390"/>
        <v>5.9467301657388859E-2</v>
      </c>
      <c r="AL236" s="202">
        <f t="shared" ref="AL236" si="1391">+AL242/((AL192+AK192)/2)</f>
        <v>0.23183707075255164</v>
      </c>
    </row>
    <row r="237" spans="1:38" ht="19" customHeight="1" x14ac:dyDescent="0.2">
      <c r="A237" s="137"/>
      <c r="B237" s="12"/>
      <c r="C237" s="12"/>
      <c r="D237" s="5"/>
      <c r="E237" s="5"/>
      <c r="F237" s="5"/>
      <c r="G237" s="5"/>
    </row>
    <row r="238" spans="1:38" ht="19" customHeight="1" x14ac:dyDescent="0.2">
      <c r="A238" s="137"/>
      <c r="B238" s="314" t="s">
        <v>71</v>
      </c>
      <c r="C238" s="315"/>
      <c r="D238" s="21" t="s">
        <v>59</v>
      </c>
      <c r="E238" s="21" t="s">
        <v>212</v>
      </c>
      <c r="F238" s="21" t="s">
        <v>214</v>
      </c>
      <c r="G238" s="21" t="s">
        <v>73</v>
      </c>
      <c r="H238" s="66" t="s">
        <v>73</v>
      </c>
      <c r="I238" s="21" t="s">
        <v>74</v>
      </c>
      <c r="J238" s="21" t="s">
        <v>75</v>
      </c>
      <c r="K238" s="21" t="s">
        <v>76</v>
      </c>
      <c r="L238" s="23" t="s">
        <v>77</v>
      </c>
      <c r="M238" s="68" t="s">
        <v>77</v>
      </c>
      <c r="N238" s="23" t="s">
        <v>78</v>
      </c>
      <c r="O238" s="23" t="s">
        <v>79</v>
      </c>
      <c r="P238" s="23" t="s">
        <v>80</v>
      </c>
      <c r="Q238" s="23" t="s">
        <v>81</v>
      </c>
      <c r="R238" s="68" t="s">
        <v>81</v>
      </c>
      <c r="S238" s="23" t="s">
        <v>82</v>
      </c>
      <c r="T238" s="23" t="s">
        <v>83</v>
      </c>
      <c r="U238" s="23" t="s">
        <v>84</v>
      </c>
      <c r="V238" s="23" t="s">
        <v>85</v>
      </c>
      <c r="W238" s="68" t="s">
        <v>85</v>
      </c>
      <c r="X238" s="23" t="s">
        <v>86</v>
      </c>
      <c r="Y238" s="23" t="s">
        <v>87</v>
      </c>
      <c r="Z238" s="23" t="s">
        <v>88</v>
      </c>
      <c r="AA238" s="23" t="s">
        <v>89</v>
      </c>
      <c r="AB238" s="68" t="s">
        <v>89</v>
      </c>
      <c r="AC238" s="23" t="s">
        <v>216</v>
      </c>
      <c r="AD238" s="23" t="s">
        <v>217</v>
      </c>
      <c r="AE238" s="23" t="s">
        <v>218</v>
      </c>
      <c r="AF238" s="23" t="s">
        <v>219</v>
      </c>
      <c r="AG238" s="68" t="s">
        <v>219</v>
      </c>
      <c r="AH238" s="23" t="s">
        <v>249</v>
      </c>
      <c r="AI238" s="23" t="s">
        <v>250</v>
      </c>
      <c r="AJ238" s="23" t="s">
        <v>251</v>
      </c>
      <c r="AK238" s="23" t="s">
        <v>252</v>
      </c>
      <c r="AL238" s="68" t="s">
        <v>252</v>
      </c>
    </row>
    <row r="239" spans="1:38" ht="18" x14ac:dyDescent="0.35">
      <c r="A239" s="137"/>
      <c r="B239" s="53" t="s">
        <v>3</v>
      </c>
      <c r="C239" s="70"/>
      <c r="D239" s="22" t="s">
        <v>72</v>
      </c>
      <c r="E239" s="22" t="s">
        <v>211</v>
      </c>
      <c r="F239" s="22" t="s">
        <v>215</v>
      </c>
      <c r="G239" s="22" t="s">
        <v>225</v>
      </c>
      <c r="H239" s="67" t="s">
        <v>226</v>
      </c>
      <c r="I239" s="22" t="s">
        <v>227</v>
      </c>
      <c r="J239" s="22" t="s">
        <v>228</v>
      </c>
      <c r="K239" s="22" t="s">
        <v>229</v>
      </c>
      <c r="L239" s="20" t="s">
        <v>90</v>
      </c>
      <c r="M239" s="69" t="s">
        <v>91</v>
      </c>
      <c r="N239" s="20" t="s">
        <v>92</v>
      </c>
      <c r="O239" s="20" t="s">
        <v>93</v>
      </c>
      <c r="P239" s="20" t="s">
        <v>94</v>
      </c>
      <c r="Q239" s="20" t="s">
        <v>95</v>
      </c>
      <c r="R239" s="69" t="s">
        <v>96</v>
      </c>
      <c r="S239" s="20" t="s">
        <v>97</v>
      </c>
      <c r="T239" s="20" t="s">
        <v>98</v>
      </c>
      <c r="U239" s="20" t="s">
        <v>99</v>
      </c>
      <c r="V239" s="20" t="s">
        <v>100</v>
      </c>
      <c r="W239" s="69" t="s">
        <v>101</v>
      </c>
      <c r="X239" s="20" t="s">
        <v>102</v>
      </c>
      <c r="Y239" s="20" t="s">
        <v>103</v>
      </c>
      <c r="Z239" s="20" t="s">
        <v>104</v>
      </c>
      <c r="AA239" s="20" t="s">
        <v>105</v>
      </c>
      <c r="AB239" s="69" t="s">
        <v>106</v>
      </c>
      <c r="AC239" s="20" t="s">
        <v>220</v>
      </c>
      <c r="AD239" s="20" t="s">
        <v>221</v>
      </c>
      <c r="AE239" s="20" t="s">
        <v>222</v>
      </c>
      <c r="AF239" s="20" t="s">
        <v>223</v>
      </c>
      <c r="AG239" s="69" t="s">
        <v>224</v>
      </c>
      <c r="AH239" s="20" t="s">
        <v>253</v>
      </c>
      <c r="AI239" s="20" t="s">
        <v>254</v>
      </c>
      <c r="AJ239" s="20" t="s">
        <v>255</v>
      </c>
      <c r="AK239" s="20" t="s">
        <v>256</v>
      </c>
      <c r="AL239" s="69" t="s">
        <v>257</v>
      </c>
    </row>
    <row r="240" spans="1:38" outlineLevel="1" x14ac:dyDescent="0.2">
      <c r="A240" s="137"/>
      <c r="B240" s="304" t="s">
        <v>11</v>
      </c>
      <c r="C240" s="305"/>
      <c r="D240" s="5"/>
      <c r="E240" s="5"/>
      <c r="F240" s="5"/>
      <c r="G240" s="5"/>
      <c r="H240" s="8"/>
      <c r="I240" s="5"/>
      <c r="J240" s="5"/>
      <c r="K240" s="191"/>
      <c r="L240" s="274"/>
      <c r="M240" s="275"/>
      <c r="N240" s="274"/>
      <c r="O240" s="274"/>
      <c r="P240" s="274"/>
      <c r="Q240" s="274"/>
      <c r="R240" s="275"/>
      <c r="S240" s="274"/>
      <c r="T240" s="274"/>
      <c r="U240" s="274"/>
      <c r="V240" s="274"/>
      <c r="W240" s="275"/>
      <c r="X240" s="274"/>
      <c r="Y240" s="274"/>
      <c r="Z240" s="274"/>
      <c r="AA240" s="274"/>
      <c r="AB240" s="275"/>
      <c r="AC240" s="274"/>
      <c r="AD240" s="274"/>
      <c r="AE240" s="274"/>
      <c r="AF240" s="274"/>
      <c r="AG240" s="275"/>
      <c r="AH240" s="274"/>
      <c r="AI240" s="274"/>
      <c r="AJ240" s="274"/>
      <c r="AK240" s="274"/>
      <c r="AL240" s="275"/>
    </row>
    <row r="241" spans="1:38" outlineLevel="1" x14ac:dyDescent="0.2">
      <c r="A241" s="137"/>
      <c r="B241" s="43" t="s">
        <v>181</v>
      </c>
      <c r="C241" s="77"/>
      <c r="D241" s="24">
        <f>D33</f>
        <v>760.40000000000043</v>
      </c>
      <c r="E241" s="139">
        <f>E33-0.2</f>
        <v>658.59999999999968</v>
      </c>
      <c r="F241" s="24">
        <f>F33</f>
        <v>1373.200000000001</v>
      </c>
      <c r="G241" s="24">
        <f>G33+0.2</f>
        <v>802.400000000001</v>
      </c>
      <c r="H241" s="25">
        <f t="shared" ref="H241:K241" si="1392">H33</f>
        <v>3594.6000000000054</v>
      </c>
      <c r="I241" s="24">
        <f t="shared" si="1392"/>
        <v>885.29999999999882</v>
      </c>
      <c r="J241" s="24">
        <f t="shared" si="1392"/>
        <v>324.79999999999905</v>
      </c>
      <c r="K241" s="24">
        <f t="shared" si="1392"/>
        <v>-678.09999999999923</v>
      </c>
      <c r="L241" s="696">
        <f>L33</f>
        <v>181.80768706758803</v>
      </c>
      <c r="M241" s="697">
        <f t="shared" ref="M241:M248" si="1393">SUM(I241:L241)</f>
        <v>713.8076870675867</v>
      </c>
      <c r="N241" s="696">
        <f t="shared" ref="N241:AL241" si="1394">N33</f>
        <v>733.65562326823181</v>
      </c>
      <c r="O241" s="696">
        <f t="shared" si="1394"/>
        <v>607.73855766213205</v>
      </c>
      <c r="P241" s="696">
        <f t="shared" si="1394"/>
        <v>373.25495605515903</v>
      </c>
      <c r="Q241" s="707">
        <f t="shared" si="1394"/>
        <v>723.91116487516865</v>
      </c>
      <c r="R241" s="707">
        <f t="shared" si="1394"/>
        <v>2438.5603018606926</v>
      </c>
      <c r="S241" s="696">
        <f t="shared" ref="S241:W241" si="1395">S33</f>
        <v>867.19929637155815</v>
      </c>
      <c r="T241" s="696">
        <f t="shared" si="1395"/>
        <v>721.92375901625485</v>
      </c>
      <c r="U241" s="696">
        <f t="shared" si="1395"/>
        <v>473.83572445572281</v>
      </c>
      <c r="V241" s="707">
        <f t="shared" si="1395"/>
        <v>848.87509122346592</v>
      </c>
      <c r="W241" s="707">
        <f t="shared" si="1395"/>
        <v>2911.8338710669996</v>
      </c>
      <c r="X241" s="696">
        <f t="shared" si="1394"/>
        <v>974.1210769783537</v>
      </c>
      <c r="Y241" s="696">
        <f t="shared" si="1394"/>
        <v>811.25488301472546</v>
      </c>
      <c r="Z241" s="696">
        <f t="shared" si="1394"/>
        <v>542.98114053868244</v>
      </c>
      <c r="AA241" s="707">
        <f t="shared" si="1394"/>
        <v>947.39717333063811</v>
      </c>
      <c r="AB241" s="707">
        <f t="shared" si="1394"/>
        <v>3275.7542738624034</v>
      </c>
      <c r="AC241" s="696">
        <f t="shared" si="1394"/>
        <v>1077.490905376314</v>
      </c>
      <c r="AD241" s="696">
        <f t="shared" si="1394"/>
        <v>899.79296149724019</v>
      </c>
      <c r="AE241" s="696">
        <f t="shared" si="1394"/>
        <v>612.18876606276365</v>
      </c>
      <c r="AF241" s="707">
        <f t="shared" si="1394"/>
        <v>1048.5556941412158</v>
      </c>
      <c r="AG241" s="707">
        <f t="shared" si="1394"/>
        <v>3638.0283270775353</v>
      </c>
      <c r="AH241" s="696">
        <f t="shared" si="1394"/>
        <v>1186.8455954271997</v>
      </c>
      <c r="AI241" s="696">
        <f t="shared" si="1394"/>
        <v>995.20211450237866</v>
      </c>
      <c r="AJ241" s="696">
        <f t="shared" si="1394"/>
        <v>688.96139142279912</v>
      </c>
      <c r="AK241" s="707">
        <f t="shared" si="1394"/>
        <v>1160.8159620299489</v>
      </c>
      <c r="AL241" s="707">
        <f t="shared" si="1394"/>
        <v>4031.8250633823227</v>
      </c>
    </row>
    <row r="242" spans="1:38" outlineLevel="1" x14ac:dyDescent="0.2">
      <c r="A242" s="137"/>
      <c r="B242" s="43" t="s">
        <v>45</v>
      </c>
      <c r="C242" s="77"/>
      <c r="D242" s="24">
        <v>350.8</v>
      </c>
      <c r="E242" s="24">
        <f>723.5-D242</f>
        <v>372.7</v>
      </c>
      <c r="F242" s="24">
        <f>1083.6-E242-D242</f>
        <v>360.09999999999985</v>
      </c>
      <c r="G242" s="24">
        <f>1449.3-F242-E242-D242</f>
        <v>365.7</v>
      </c>
      <c r="H242" s="25">
        <f t="shared" ref="H242:H248" si="1396">SUM(D242:G242)</f>
        <v>1449.3</v>
      </c>
      <c r="I242" s="24">
        <v>369.2</v>
      </c>
      <c r="J242" s="24">
        <f>746.9-I242</f>
        <v>377.7</v>
      </c>
      <c r="K242" s="24">
        <f>1124-J242-I242</f>
        <v>377.09999999999997</v>
      </c>
      <c r="L242" s="139">
        <f>(K192*L236)</f>
        <v>374.3823443142573</v>
      </c>
      <c r="M242" s="140">
        <f t="shared" si="1393"/>
        <v>1498.3823443142574</v>
      </c>
      <c r="N242" s="139">
        <f>(L192*N236)</f>
        <v>373.6026776585021</v>
      </c>
      <c r="O242" s="139">
        <f t="shared" ref="O242:Q242" si="1397">(N192*O236)</f>
        <v>377.62432252623177</v>
      </c>
      <c r="P242" s="139">
        <f t="shared" si="1397"/>
        <v>378.86403363287928</v>
      </c>
      <c r="Q242" s="139">
        <f t="shared" si="1397"/>
        <v>374.7117472296577</v>
      </c>
      <c r="R242" s="140">
        <f t="shared" ref="R242:R246" si="1398">SUM(N242:Q242)</f>
        <v>1504.8027810472709</v>
      </c>
      <c r="S242" s="139">
        <f>(Q192*S236)</f>
        <v>376.52548542531531</v>
      </c>
      <c r="T242" s="139">
        <f t="shared" ref="T242:V242" si="1399">(S192*T236)</f>
        <v>382.8877795341981</v>
      </c>
      <c r="U242" s="139">
        <f t="shared" si="1399"/>
        <v>386.02202439387395</v>
      </c>
      <c r="V242" s="139">
        <f t="shared" si="1399"/>
        <v>383.3224063167163</v>
      </c>
      <c r="W242" s="140">
        <f t="shared" ref="W242:W246" si="1400">SUM(S242:V242)</f>
        <v>1528.7576956701037</v>
      </c>
      <c r="X242" s="139">
        <f>(V192*X236)</f>
        <v>386.96700444236859</v>
      </c>
      <c r="Y242" s="139">
        <f t="shared" ref="Y242:AA242" si="1401">(X192*Y236)</f>
        <v>394.92238270989071</v>
      </c>
      <c r="Z242" s="139">
        <f t="shared" si="1401"/>
        <v>399.20275238632468</v>
      </c>
      <c r="AA242" s="139">
        <f t="shared" si="1401"/>
        <v>397.15149190829078</v>
      </c>
      <c r="AB242" s="140">
        <f t="shared" ref="AB242:AB246" si="1402">SUM(X242:AA242)</f>
        <v>1578.2436314468748</v>
      </c>
      <c r="AC242" s="139">
        <f>(AA192*AC236)</f>
        <v>401.90660607592162</v>
      </c>
      <c r="AD242" s="139">
        <f t="shared" ref="AD242:AF242" si="1403">(AC192*AD236)</f>
        <v>411.17973901979491</v>
      </c>
      <c r="AE242" s="139">
        <f t="shared" si="1403"/>
        <v>416.38925018825535</v>
      </c>
      <c r="AF242" s="139">
        <f t="shared" si="1403"/>
        <v>414.77900970056032</v>
      </c>
      <c r="AG242" s="140">
        <f t="shared" ref="AG242:AG246" si="1404">SUM(AC242:AF242)</f>
        <v>1644.2546049845323</v>
      </c>
      <c r="AH242" s="139">
        <f>(AF192*AH236)</f>
        <v>420.4739222518574</v>
      </c>
      <c r="AI242" s="139">
        <f t="shared" ref="AI242:AK242" si="1405">(AH192*AI236)</f>
        <v>430.96029857839346</v>
      </c>
      <c r="AJ242" s="139">
        <f t="shared" si="1405"/>
        <v>436.98672515957884</v>
      </c>
      <c r="AK242" s="139">
        <f t="shared" si="1405"/>
        <v>435.69264237098946</v>
      </c>
      <c r="AL242" s="140">
        <f t="shared" ref="AL242:AL246" si="1406">SUM(AH242:AK242)</f>
        <v>1724.1135883608192</v>
      </c>
    </row>
    <row r="243" spans="1:38" outlineLevel="1" x14ac:dyDescent="0.2">
      <c r="A243" s="137"/>
      <c r="B243" s="43" t="s">
        <v>182</v>
      </c>
      <c r="C243" s="77"/>
      <c r="D243" s="24">
        <v>-354.6</v>
      </c>
      <c r="E243" s="24">
        <f>-714.5-D243</f>
        <v>-359.9</v>
      </c>
      <c r="F243" s="24">
        <f>-1243.5-E243-D243</f>
        <v>-529</v>
      </c>
      <c r="G243" s="139">
        <f>-1495.4-F243-E243-D243</f>
        <v>-251.90000000000009</v>
      </c>
      <c r="H243" s="25">
        <f>SUM(D243:G243)</f>
        <v>-1495.4</v>
      </c>
      <c r="I243" s="24">
        <v>10.4</v>
      </c>
      <c r="J243" s="24">
        <f>47.7-I243</f>
        <v>37.300000000000004</v>
      </c>
      <c r="K243" s="24">
        <f>20-J243-I243</f>
        <v>-27.700000000000003</v>
      </c>
      <c r="L243" s="139">
        <f>-(L194-K194)</f>
        <v>8.8446583352865673</v>
      </c>
      <c r="M243" s="140">
        <f t="shared" si="1393"/>
        <v>28.844658335286567</v>
      </c>
      <c r="N243" s="139">
        <f>-(N194-L194)</f>
        <v>-87.609840731318855</v>
      </c>
      <c r="O243" s="139">
        <f t="shared" ref="O243:Q243" si="1407">-(O194-N194)</f>
        <v>66.296905815755736</v>
      </c>
      <c r="P243" s="139">
        <f t="shared" si="1407"/>
        <v>9.0715950922078719</v>
      </c>
      <c r="Q243" s="139">
        <f t="shared" si="1407"/>
        <v>9.0146914919803294</v>
      </c>
      <c r="R243" s="140">
        <f t="shared" si="1398"/>
        <v>-3.2266483313749177</v>
      </c>
      <c r="S243" s="139">
        <f>-(S194-Q194)</f>
        <v>-95.444287103977558</v>
      </c>
      <c r="T243" s="139">
        <f t="shared" ref="T243:V243" si="1408">-(T194-S194)</f>
        <v>71.240583066097543</v>
      </c>
      <c r="U243" s="139">
        <f t="shared" si="1408"/>
        <v>9.2672093349319766</v>
      </c>
      <c r="V243" s="139">
        <f t="shared" si="1408"/>
        <v>9.2078118320046087</v>
      </c>
      <c r="W243" s="140">
        <f t="shared" si="1400"/>
        <v>-5.7286828709434303</v>
      </c>
      <c r="X243" s="139">
        <f>-(X194-V194)</f>
        <v>-103.92013803186114</v>
      </c>
      <c r="Y243" s="139">
        <f t="shared" ref="Y243:AA243" si="1409">-(Y194-X194)</f>
        <v>76.603538445200911</v>
      </c>
      <c r="Z243" s="139">
        <f t="shared" si="1409"/>
        <v>9.4879270180895219</v>
      </c>
      <c r="AA243" s="139">
        <f t="shared" si="1409"/>
        <v>9.4257931307349736</v>
      </c>
      <c r="AB243" s="140">
        <f t="shared" si="1402"/>
        <v>-8.4028794378357361</v>
      </c>
      <c r="AC243" s="139">
        <f>-(AC194-AA194)</f>
        <v>-113.09077896024382</v>
      </c>
      <c r="AD243" s="139">
        <f t="shared" ref="AD243:AF243" si="1410">-(AD194-AC194)</f>
        <v>82.420434876258241</v>
      </c>
      <c r="AE243" s="139">
        <f t="shared" si="1410"/>
        <v>9.7356909931661448</v>
      </c>
      <c r="AF243" s="139">
        <f t="shared" si="1410"/>
        <v>9.6705586751168084</v>
      </c>
      <c r="AG243" s="140">
        <f t="shared" si="1404"/>
        <v>-11.26409441570263</v>
      </c>
      <c r="AH243" s="139">
        <f>-(AH194-AF194)</f>
        <v>-123.01402462639453</v>
      </c>
      <c r="AI243" s="139">
        <f t="shared" ref="AI243:AK243" si="1411">-(AI194-AH194)</f>
        <v>88.728814920519426</v>
      </c>
      <c r="AJ243" s="139">
        <f t="shared" si="1411"/>
        <v>10.012607631179208</v>
      </c>
      <c r="AK243" s="139">
        <f t="shared" si="1411"/>
        <v>9.9441936386001544</v>
      </c>
      <c r="AL243" s="140">
        <f t="shared" si="1406"/>
        <v>-14.328408436095742</v>
      </c>
    </row>
    <row r="244" spans="1:38" outlineLevel="1" x14ac:dyDescent="0.2">
      <c r="A244" s="137"/>
      <c r="B244" s="43" t="s">
        <v>183</v>
      </c>
      <c r="C244" s="77"/>
      <c r="D244" s="24">
        <v>-55</v>
      </c>
      <c r="E244" s="24">
        <f>-108.2-D244</f>
        <v>-53.2</v>
      </c>
      <c r="F244" s="24">
        <f>-174.1-E244-D244</f>
        <v>-65.899999999999991</v>
      </c>
      <c r="G244" s="139">
        <f>-250.6-F244-E244-D244</f>
        <v>-76.5</v>
      </c>
      <c r="H244" s="25">
        <f t="shared" si="1396"/>
        <v>-250.6</v>
      </c>
      <c r="I244" s="24">
        <v>-62.9</v>
      </c>
      <c r="J244" s="24">
        <f>-116.3-I244</f>
        <v>-53.4</v>
      </c>
      <c r="K244" s="24">
        <f>-182.3-J244-I244</f>
        <v>-66</v>
      </c>
      <c r="L244" s="139">
        <f>-L24</f>
        <v>-75.525000000000006</v>
      </c>
      <c r="M244" s="140">
        <f t="shared" si="1393"/>
        <v>-257.82500000000005</v>
      </c>
      <c r="N244" s="139">
        <f t="shared" ref="N244:Q244" si="1412">-N24</f>
        <v>-71.431249999999991</v>
      </c>
      <c r="O244" s="139">
        <f t="shared" si="1412"/>
        <v>-70.814062499999991</v>
      </c>
      <c r="P244" s="139">
        <f t="shared" si="1412"/>
        <v>-71.542578124999991</v>
      </c>
      <c r="Q244" s="139">
        <f t="shared" si="1412"/>
        <v>-72.328222656249991</v>
      </c>
      <c r="R244" s="140">
        <f t="shared" si="1398"/>
        <v>-286.11611328124997</v>
      </c>
      <c r="S244" s="139">
        <f t="shared" ref="S244:V244" si="1413">-S24</f>
        <v>-71.529028320312506</v>
      </c>
      <c r="T244" s="139">
        <f t="shared" si="1413"/>
        <v>-71.553472900390616</v>
      </c>
      <c r="U244" s="139">
        <f t="shared" si="1413"/>
        <v>-71.738325500488273</v>
      </c>
      <c r="V244" s="139">
        <f t="shared" si="1413"/>
        <v>-71.787262344360343</v>
      </c>
      <c r="W244" s="140">
        <f t="shared" si="1400"/>
        <v>-286.60808906555172</v>
      </c>
      <c r="X244" s="139">
        <f t="shared" ref="X244:AA244" si="1414">-X24</f>
        <v>-71.652022266387931</v>
      </c>
      <c r="Y244" s="139">
        <f t="shared" si="1414"/>
        <v>-71.682770752906805</v>
      </c>
      <c r="Z244" s="139">
        <f t="shared" si="1414"/>
        <v>-71.715095216035834</v>
      </c>
      <c r="AA244" s="139">
        <f t="shared" si="1414"/>
        <v>-71.709287644922725</v>
      </c>
      <c r="AB244" s="140">
        <f t="shared" si="1402"/>
        <v>-286.75917588025328</v>
      </c>
      <c r="AC244" s="139">
        <f t="shared" ref="AC244:AF244" si="1415">-AC24</f>
        <v>-71.68979397006332</v>
      </c>
      <c r="AD244" s="139">
        <f t="shared" si="1415"/>
        <v>-71.699236895982168</v>
      </c>
      <c r="AE244" s="139">
        <f t="shared" si="1415"/>
        <v>-71.703353431751026</v>
      </c>
      <c r="AF244" s="139">
        <f t="shared" si="1415"/>
        <v>-71.700417985679806</v>
      </c>
      <c r="AG244" s="140">
        <f t="shared" si="1404"/>
        <v>-286.79280228347631</v>
      </c>
      <c r="AH244" s="139">
        <f t="shared" ref="AH244:AK244" si="1416">-AH24</f>
        <v>-71.698200570869076</v>
      </c>
      <c r="AI244" s="139">
        <f t="shared" si="1416"/>
        <v>-71.700302221070515</v>
      </c>
      <c r="AJ244" s="139">
        <f t="shared" si="1416"/>
        <v>-71.700568552342602</v>
      </c>
      <c r="AK244" s="139">
        <f t="shared" si="1416"/>
        <v>-71.699872332490514</v>
      </c>
      <c r="AL244" s="140">
        <f t="shared" si="1406"/>
        <v>-286.79894367677275</v>
      </c>
    </row>
    <row r="245" spans="1:38" outlineLevel="1" x14ac:dyDescent="0.2">
      <c r="A245" s="137"/>
      <c r="B245" s="43" t="s">
        <v>184</v>
      </c>
      <c r="C245" s="77"/>
      <c r="D245" s="24">
        <v>63.7</v>
      </c>
      <c r="E245" s="24">
        <f>93.3-D245</f>
        <v>29.599999999999994</v>
      </c>
      <c r="F245" s="24">
        <f>163.7-E245-D245</f>
        <v>70.399999999999991</v>
      </c>
      <c r="G245" s="139">
        <f>216.8-F245-E245-D245</f>
        <v>53.100000000000037</v>
      </c>
      <c r="H245" s="25">
        <f t="shared" si="1396"/>
        <v>216.8</v>
      </c>
      <c r="I245" s="24">
        <v>64.3</v>
      </c>
      <c r="J245" s="24">
        <f>98.1-I245</f>
        <v>33.799999999999997</v>
      </c>
      <c r="K245" s="24">
        <f>165.6-J245-I245</f>
        <v>67.500000000000014</v>
      </c>
      <c r="L245" s="139">
        <f>-L289*L244</f>
        <v>75.525000000000006</v>
      </c>
      <c r="M245" s="140">
        <f t="shared" si="1393"/>
        <v>241.12500000000003</v>
      </c>
      <c r="N245" s="139">
        <f t="shared" ref="N245:Q245" si="1417">-N289*N244</f>
        <v>71.431249999999991</v>
      </c>
      <c r="O245" s="139">
        <f t="shared" si="1417"/>
        <v>70.814062499999991</v>
      </c>
      <c r="P245" s="139">
        <f t="shared" si="1417"/>
        <v>71.542578124999991</v>
      </c>
      <c r="Q245" s="139">
        <f t="shared" si="1417"/>
        <v>72.328222656249991</v>
      </c>
      <c r="R245" s="140">
        <f t="shared" si="1398"/>
        <v>286.11611328124997</v>
      </c>
      <c r="S245" s="139">
        <f t="shared" ref="S245" si="1418">-S289*S244</f>
        <v>71.529028320312506</v>
      </c>
      <c r="T245" s="139">
        <f t="shared" ref="T245" si="1419">-T289*T244</f>
        <v>71.553472900390616</v>
      </c>
      <c r="U245" s="139">
        <f t="shared" ref="U245" si="1420">-U289*U244</f>
        <v>71.738325500488273</v>
      </c>
      <c r="V245" s="139">
        <f t="shared" ref="V245" si="1421">-V289*V244</f>
        <v>71.787262344360343</v>
      </c>
      <c r="W245" s="140">
        <f t="shared" si="1400"/>
        <v>286.60808906555172</v>
      </c>
      <c r="X245" s="139">
        <f t="shared" ref="X245" si="1422">-X289*X244</f>
        <v>71.652022266387931</v>
      </c>
      <c r="Y245" s="139">
        <f t="shared" ref="Y245" si="1423">-Y289*Y244</f>
        <v>71.682770752906805</v>
      </c>
      <c r="Z245" s="139">
        <f t="shared" ref="Z245" si="1424">-Z289*Z244</f>
        <v>71.715095216035834</v>
      </c>
      <c r="AA245" s="139">
        <f t="shared" ref="AA245" si="1425">-AA289*AA244</f>
        <v>71.709287644922725</v>
      </c>
      <c r="AB245" s="140">
        <f t="shared" si="1402"/>
        <v>286.75917588025328</v>
      </c>
      <c r="AC245" s="139">
        <f t="shared" ref="AC245" si="1426">-AC289*AC244</f>
        <v>71.68979397006332</v>
      </c>
      <c r="AD245" s="139">
        <f t="shared" ref="AD245" si="1427">-AD289*AD244</f>
        <v>71.699236895982168</v>
      </c>
      <c r="AE245" s="139">
        <f t="shared" ref="AE245" si="1428">-AE289*AE244</f>
        <v>71.703353431751026</v>
      </c>
      <c r="AF245" s="139">
        <f t="shared" ref="AF245" si="1429">-AF289*AF244</f>
        <v>71.700417985679806</v>
      </c>
      <c r="AG245" s="140">
        <f t="shared" si="1404"/>
        <v>286.79280228347631</v>
      </c>
      <c r="AH245" s="139">
        <f t="shared" ref="AH245" si="1430">-AH289*AH244</f>
        <v>71.698200570869076</v>
      </c>
      <c r="AI245" s="139">
        <f t="shared" ref="AI245" si="1431">-AI289*AI244</f>
        <v>71.700302221070515</v>
      </c>
      <c r="AJ245" s="139">
        <f t="shared" ref="AJ245" si="1432">-AJ289*AJ244</f>
        <v>71.700568552342602</v>
      </c>
      <c r="AK245" s="139">
        <f t="shared" ref="AK245" si="1433">-AK289*AK244</f>
        <v>71.699872332490514</v>
      </c>
      <c r="AL245" s="140">
        <f t="shared" si="1406"/>
        <v>286.79894367677275</v>
      </c>
    </row>
    <row r="246" spans="1:38" outlineLevel="1" x14ac:dyDescent="0.2">
      <c r="A246" s="137"/>
      <c r="B246" s="43" t="s">
        <v>190</v>
      </c>
      <c r="C246" s="77"/>
      <c r="D246" s="24">
        <v>0</v>
      </c>
      <c r="E246" s="24">
        <f>-21-D246</f>
        <v>-21</v>
      </c>
      <c r="F246" s="24">
        <f>-622.8-E246-D246</f>
        <v>-601.79999999999995</v>
      </c>
      <c r="G246" s="139">
        <f>-622.8-F246-E246-D246</f>
        <v>0</v>
      </c>
      <c r="H246" s="25">
        <f t="shared" si="1396"/>
        <v>-622.79999999999995</v>
      </c>
      <c r="I246" s="24">
        <v>0</v>
      </c>
      <c r="J246" s="24">
        <f t="shared" ref="J246" si="1434">0-I246</f>
        <v>0</v>
      </c>
      <c r="K246" s="24">
        <f t="shared" ref="K246" si="1435">0-J246-I246</f>
        <v>0</v>
      </c>
      <c r="L246" s="139">
        <v>0</v>
      </c>
      <c r="M246" s="140">
        <f t="shared" si="1393"/>
        <v>0</v>
      </c>
      <c r="N246" s="139">
        <v>0</v>
      </c>
      <c r="O246" s="139">
        <v>0</v>
      </c>
      <c r="P246" s="139">
        <v>0</v>
      </c>
      <c r="Q246" s="139">
        <v>0</v>
      </c>
      <c r="R246" s="140">
        <f t="shared" si="1398"/>
        <v>0</v>
      </c>
      <c r="S246" s="139">
        <v>0</v>
      </c>
      <c r="T246" s="139">
        <v>0</v>
      </c>
      <c r="U246" s="139">
        <v>0</v>
      </c>
      <c r="V246" s="139">
        <v>0</v>
      </c>
      <c r="W246" s="140">
        <f t="shared" si="1400"/>
        <v>0</v>
      </c>
      <c r="X246" s="139">
        <v>0</v>
      </c>
      <c r="Y246" s="139">
        <v>0</v>
      </c>
      <c r="Z246" s="139">
        <v>0</v>
      </c>
      <c r="AA246" s="139">
        <v>0</v>
      </c>
      <c r="AB246" s="140">
        <f t="shared" si="1402"/>
        <v>0</v>
      </c>
      <c r="AC246" s="139">
        <v>0</v>
      </c>
      <c r="AD246" s="139">
        <v>0</v>
      </c>
      <c r="AE246" s="139">
        <v>0</v>
      </c>
      <c r="AF246" s="139">
        <v>0</v>
      </c>
      <c r="AG246" s="140">
        <f t="shared" si="1404"/>
        <v>0</v>
      </c>
      <c r="AH246" s="139">
        <v>0</v>
      </c>
      <c r="AI246" s="139">
        <v>0</v>
      </c>
      <c r="AJ246" s="139">
        <v>0</v>
      </c>
      <c r="AK246" s="139">
        <v>0</v>
      </c>
      <c r="AL246" s="140">
        <f t="shared" si="1406"/>
        <v>0</v>
      </c>
    </row>
    <row r="247" spans="1:38" outlineLevel="1" x14ac:dyDescent="0.2">
      <c r="A247" s="137"/>
      <c r="B247" s="43" t="s">
        <v>185</v>
      </c>
      <c r="C247" s="77"/>
      <c r="D247" s="24">
        <v>97.3</v>
      </c>
      <c r="E247" s="24">
        <f>192.1-D247</f>
        <v>94.8</v>
      </c>
      <c r="F247" s="24">
        <f>255.4-E247-D247</f>
        <v>63.300000000000026</v>
      </c>
      <c r="G247" s="139">
        <f>308-F247-E247-D247</f>
        <v>52.59999999999998</v>
      </c>
      <c r="H247" s="25">
        <f t="shared" si="1396"/>
        <v>308</v>
      </c>
      <c r="I247" s="24">
        <v>90.3</v>
      </c>
      <c r="J247" s="24">
        <f>146.6-I247</f>
        <v>56.3</v>
      </c>
      <c r="K247" s="24">
        <f>188-J247-I247</f>
        <v>41.399999999999991</v>
      </c>
      <c r="L247" s="139">
        <f>L16*L288</f>
        <v>59.041077564522844</v>
      </c>
      <c r="M247" s="140">
        <f t="shared" si="1393"/>
        <v>247.04107756452285</v>
      </c>
      <c r="N247" s="139">
        <f t="shared" ref="N247:AK247" si="1436">N16*N288</f>
        <v>72.108442190668043</v>
      </c>
      <c r="O247" s="139">
        <f t="shared" si="1436"/>
        <v>65.120477784089189</v>
      </c>
      <c r="P247" s="139">
        <f t="shared" si="1436"/>
        <v>50.504995454117157</v>
      </c>
      <c r="Q247" s="139">
        <f t="shared" si="1436"/>
        <v>66.22200736315429</v>
      </c>
      <c r="R247" s="140">
        <f>SUM(N247:Q247)</f>
        <v>253.95592279202867</v>
      </c>
      <c r="S247" s="139">
        <f t="shared" ref="S247:V247" si="1437">S16*S288</f>
        <v>79.018587825291164</v>
      </c>
      <c r="T247" s="139">
        <f t="shared" si="1437"/>
        <v>71.187148187071912</v>
      </c>
      <c r="U247" s="139">
        <f t="shared" si="1437"/>
        <v>55.666963709251235</v>
      </c>
      <c r="V247" s="139">
        <f t="shared" si="1437"/>
        <v>72.660710902126525</v>
      </c>
      <c r="W247" s="140">
        <f>SUM(S247:V247)</f>
        <v>278.53341062374085</v>
      </c>
      <c r="X247" s="139">
        <f t="shared" ref="X247:AA247" si="1438">X16*X288</f>
        <v>85.103054724343977</v>
      </c>
      <c r="Y247" s="139">
        <f t="shared" si="1438"/>
        <v>76.303649398353997</v>
      </c>
      <c r="Z247" s="139">
        <f t="shared" si="1438"/>
        <v>59.602826274699467</v>
      </c>
      <c r="AA247" s="139">
        <f t="shared" si="1438"/>
        <v>77.972618123439872</v>
      </c>
      <c r="AB247" s="140">
        <f>SUM(X247:AA247)</f>
        <v>298.98214852083731</v>
      </c>
      <c r="AC247" s="139">
        <f t="shared" si="1436"/>
        <v>91.165974256136593</v>
      </c>
      <c r="AD247" s="139">
        <f t="shared" si="1436"/>
        <v>81.513952003721002</v>
      </c>
      <c r="AE247" s="139">
        <f t="shared" si="1436"/>
        <v>63.623537555201516</v>
      </c>
      <c r="AF247" s="139">
        <f t="shared" si="1436"/>
        <v>83.436127307905039</v>
      </c>
      <c r="AG247" s="140">
        <f>SUM(AC247:AF247)</f>
        <v>319.73959112296416</v>
      </c>
      <c r="AH247" s="139">
        <f t="shared" si="1436"/>
        <v>97.534541904708533</v>
      </c>
      <c r="AI247" s="139">
        <f t="shared" si="1436"/>
        <v>86.99162140455114</v>
      </c>
      <c r="AJ247" s="139">
        <f t="shared" si="1436"/>
        <v>67.858548637783883</v>
      </c>
      <c r="AK247" s="139">
        <f t="shared" si="1436"/>
        <v>89.205580932023523</v>
      </c>
      <c r="AL247" s="140">
        <f>SUM(AH247:AK247)</f>
        <v>341.59029287906708</v>
      </c>
    </row>
    <row r="248" spans="1:38" outlineLevel="1" x14ac:dyDescent="0.2">
      <c r="A248" s="137"/>
      <c r="B248" s="78" t="s">
        <v>191</v>
      </c>
      <c r="C248" s="79"/>
      <c r="D248" s="24">
        <v>6.1</v>
      </c>
      <c r="E248" s="139">
        <f>5.4+91.1-D248</f>
        <v>90.4</v>
      </c>
      <c r="F248" s="139">
        <f>10.5+122.3-E248-D248</f>
        <v>36.300000000000004</v>
      </c>
      <c r="G248" s="139">
        <f>10.5+187.9-F248-E248-D248</f>
        <v>65.599999999999994</v>
      </c>
      <c r="H248" s="25">
        <f t="shared" si="1396"/>
        <v>198.4</v>
      </c>
      <c r="I248" s="139">
        <f>5.1+294.9</f>
        <v>300</v>
      </c>
      <c r="J248" s="139">
        <f>596.3+67.7-I248</f>
        <v>364</v>
      </c>
      <c r="K248" s="139">
        <f>902.4+124.6+63.7-J248-I248</f>
        <v>426.70000000000005</v>
      </c>
      <c r="L248" s="139">
        <v>0</v>
      </c>
      <c r="M248" s="140">
        <f t="shared" si="1393"/>
        <v>1090.7</v>
      </c>
      <c r="N248" s="139">
        <v>0</v>
      </c>
      <c r="O248" s="139">
        <v>0</v>
      </c>
      <c r="P248" s="139">
        <v>0</v>
      </c>
      <c r="Q248" s="139">
        <v>0</v>
      </c>
      <c r="R248" s="140">
        <f>SUM(N248:Q248)</f>
        <v>0</v>
      </c>
      <c r="S248" s="139">
        <v>0</v>
      </c>
      <c r="T248" s="139">
        <v>0</v>
      </c>
      <c r="U248" s="139">
        <v>0</v>
      </c>
      <c r="V248" s="139">
        <v>0</v>
      </c>
      <c r="W248" s="140">
        <f>SUM(S248:V248)</f>
        <v>0</v>
      </c>
      <c r="X248" s="139">
        <v>0</v>
      </c>
      <c r="Y248" s="139">
        <v>0</v>
      </c>
      <c r="Z248" s="139">
        <v>0</v>
      </c>
      <c r="AA248" s="139">
        <v>0</v>
      </c>
      <c r="AB248" s="140">
        <f>SUM(X248:AA248)</f>
        <v>0</v>
      </c>
      <c r="AC248" s="139"/>
      <c r="AD248" s="139"/>
      <c r="AE248" s="139"/>
      <c r="AF248" s="139"/>
      <c r="AG248" s="140"/>
      <c r="AH248" s="139"/>
      <c r="AI248" s="139"/>
      <c r="AJ248" s="139"/>
      <c r="AK248" s="139"/>
      <c r="AL248" s="140"/>
    </row>
    <row r="249" spans="1:38" outlineLevel="1" x14ac:dyDescent="0.2">
      <c r="A249" s="137"/>
      <c r="B249" s="300" t="s">
        <v>46</v>
      </c>
      <c r="C249" s="301"/>
      <c r="D249" s="135"/>
      <c r="E249" s="240"/>
      <c r="F249" s="131"/>
      <c r="G249" s="131"/>
      <c r="H249" s="132"/>
      <c r="I249" s="131"/>
      <c r="J249" s="131"/>
      <c r="K249" s="131"/>
      <c r="L249" s="131"/>
      <c r="M249" s="132"/>
      <c r="N249" s="131"/>
      <c r="O249" s="131"/>
      <c r="P249" s="131"/>
      <c r="Q249" s="131"/>
      <c r="R249" s="132">
        <f t="shared" ref="R249:R257" si="1439">SUM(N249:Q249)</f>
        <v>0</v>
      </c>
      <c r="S249" s="131"/>
      <c r="T249" s="131"/>
      <c r="U249" s="131"/>
      <c r="V249" s="131"/>
      <c r="W249" s="132">
        <f t="shared" ref="W249:W257" si="1440">SUM(S249:V249)</f>
        <v>0</v>
      </c>
      <c r="X249" s="131"/>
      <c r="Y249" s="131"/>
      <c r="Z249" s="131"/>
      <c r="AA249" s="131"/>
      <c r="AB249" s="132">
        <f t="shared" ref="AB249:AB257" si="1441">SUM(X249:AA249)</f>
        <v>0</v>
      </c>
      <c r="AC249" s="131"/>
      <c r="AD249" s="131"/>
      <c r="AE249" s="131"/>
      <c r="AF249" s="131"/>
      <c r="AG249" s="132">
        <f t="shared" ref="AG249:AG257" si="1442">SUM(AC249:AF249)</f>
        <v>0</v>
      </c>
      <c r="AH249" s="131"/>
      <c r="AI249" s="131"/>
      <c r="AJ249" s="131"/>
      <c r="AK249" s="131"/>
      <c r="AL249" s="132">
        <f t="shared" ref="AL249:AL257" si="1443">SUM(AH249:AK249)</f>
        <v>0</v>
      </c>
    </row>
    <row r="250" spans="1:38" outlineLevel="1" x14ac:dyDescent="0.2">
      <c r="A250" s="137"/>
      <c r="B250" s="316" t="s">
        <v>61</v>
      </c>
      <c r="C250" s="317"/>
      <c r="D250" s="62">
        <v>-28.8</v>
      </c>
      <c r="E250" s="62">
        <f>9.8-D250</f>
        <v>38.6</v>
      </c>
      <c r="F250" s="62">
        <f>-70.1-E250-D250</f>
        <v>-79.899999999999991</v>
      </c>
      <c r="G250" s="62">
        <f>-197.7-F250-E250-D250</f>
        <v>-127.60000000000001</v>
      </c>
      <c r="H250" s="63">
        <f t="shared" ref="H250:H255" si="1444">SUM(D250:G250)</f>
        <v>-197.7</v>
      </c>
      <c r="I250" s="62">
        <v>-22.9</v>
      </c>
      <c r="J250" s="62">
        <f>-60.7-I250</f>
        <v>-37.800000000000004</v>
      </c>
      <c r="K250" s="62">
        <f>13.4-J250-I250</f>
        <v>74.099999999999994</v>
      </c>
      <c r="L250" s="62">
        <f>-(L186-K186)</f>
        <v>-17.585318282399498</v>
      </c>
      <c r="M250" s="63">
        <f t="shared" ref="M250:M256" si="1445">SUM(I250:L250)</f>
        <v>-4.185318282399507</v>
      </c>
      <c r="N250" s="62">
        <f>-(N186-L186)</f>
        <v>-81.826932194958317</v>
      </c>
      <c r="O250" s="62">
        <f t="shared" ref="O250:Q250" si="1446">-(O186-N186)</f>
        <v>83.054458166994095</v>
      </c>
      <c r="P250" s="62">
        <f t="shared" si="1446"/>
        <v>245.47607242157233</v>
      </c>
      <c r="Q250" s="62">
        <f t="shared" si="1446"/>
        <v>-225.09945611965907</v>
      </c>
      <c r="R250" s="63">
        <f t="shared" si="1439"/>
        <v>21.604142273949037</v>
      </c>
      <c r="S250" s="62">
        <f>-(S186-Q186)</f>
        <v>-197.39347667162019</v>
      </c>
      <c r="T250" s="62">
        <f t="shared" ref="T250:V250" si="1447">-(T186-S186)</f>
        <v>93.409048943824473</v>
      </c>
      <c r="U250" s="62">
        <f t="shared" si="1447"/>
        <v>262.44673418072216</v>
      </c>
      <c r="V250" s="62">
        <f t="shared" si="1447"/>
        <v>-243.74008489540915</v>
      </c>
      <c r="W250" s="63">
        <f t="shared" si="1440"/>
        <v>-85.277778442482713</v>
      </c>
      <c r="X250" s="62">
        <f>-(X186-V186)</f>
        <v>-194.85073106163645</v>
      </c>
      <c r="Y250" s="62">
        <f t="shared" ref="Y250:AA250" si="1448">-(Y186-X186)</f>
        <v>105.63102601136029</v>
      </c>
      <c r="Z250" s="62">
        <f t="shared" si="1448"/>
        <v>282.15074775899473</v>
      </c>
      <c r="AA250" s="62">
        <f t="shared" si="1448"/>
        <v>-263.28490267203836</v>
      </c>
      <c r="AB250" s="63">
        <f t="shared" si="1441"/>
        <v>-70.353859963319792</v>
      </c>
      <c r="AC250" s="62">
        <f>-(AC186-AA186)</f>
        <v>-206.93890831307203</v>
      </c>
      <c r="AD250" s="62">
        <f t="shared" ref="AD250:AF250" si="1449">-(AD186-AC186)</f>
        <v>116.2672836526724</v>
      </c>
      <c r="AE250" s="62">
        <f t="shared" si="1449"/>
        <v>302.05215169063626</v>
      </c>
      <c r="AF250" s="62">
        <f t="shared" si="1449"/>
        <v>-283.74228789268227</v>
      </c>
      <c r="AG250" s="63">
        <f t="shared" si="1442"/>
        <v>-72.361760862445635</v>
      </c>
      <c r="AH250" s="62">
        <f>-(AH186-AF186)</f>
        <v>-221.17530999180394</v>
      </c>
      <c r="AI250" s="62">
        <f t="shared" ref="AI250:AK250" si="1450">-(AI186-AH186)</f>
        <v>127.37495142545686</v>
      </c>
      <c r="AJ250" s="62">
        <f t="shared" si="1450"/>
        <v>322.87182064183673</v>
      </c>
      <c r="AK250" s="62">
        <f t="shared" si="1450"/>
        <v>-305.48532162248318</v>
      </c>
      <c r="AL250" s="63">
        <f t="shared" si="1443"/>
        <v>-76.413859546993535</v>
      </c>
    </row>
    <row r="251" spans="1:38" outlineLevel="1" x14ac:dyDescent="0.2">
      <c r="A251" s="137"/>
      <c r="B251" s="39" t="s">
        <v>171</v>
      </c>
      <c r="C251" s="36"/>
      <c r="D251" s="62">
        <v>44.8</v>
      </c>
      <c r="E251" s="62">
        <f>-51-D251</f>
        <v>-95.8</v>
      </c>
      <c r="F251" s="62">
        <f>-140.5-E251-D251</f>
        <v>-89.5</v>
      </c>
      <c r="G251" s="62">
        <f>-173-F251-E251-D251</f>
        <v>-32.5</v>
      </c>
      <c r="H251" s="63">
        <f t="shared" si="1444"/>
        <v>-173</v>
      </c>
      <c r="I251" s="62">
        <v>122.8</v>
      </c>
      <c r="J251" s="62">
        <f>36.9-I251</f>
        <v>-85.9</v>
      </c>
      <c r="K251" s="62">
        <f>-51.7-J251-I251</f>
        <v>-88.6</v>
      </c>
      <c r="L251" s="62">
        <f>-(L187-K187)</f>
        <v>-122.16967291109063</v>
      </c>
      <c r="M251" s="63">
        <f t="shared" si="1445"/>
        <v>-173.86967291109062</v>
      </c>
      <c r="N251" s="62">
        <f>-(N187-L187)</f>
        <v>-14.991673858709646</v>
      </c>
      <c r="O251" s="62">
        <f t="shared" ref="O251:Q251" si="1451">-(O187-N187)</f>
        <v>154.60749084983831</v>
      </c>
      <c r="P251" s="62">
        <f t="shared" si="1451"/>
        <v>320.28535725774395</v>
      </c>
      <c r="Q251" s="62">
        <f t="shared" si="1451"/>
        <v>-498.98091857836471</v>
      </c>
      <c r="R251" s="63">
        <f t="shared" si="1439"/>
        <v>-39.079744329492087</v>
      </c>
      <c r="S251" s="62">
        <f>-(S187-Q187)</f>
        <v>-132.80927221896513</v>
      </c>
      <c r="T251" s="62">
        <f t="shared" ref="T251:V251" si="1452">-(T187-S187)</f>
        <v>173.5743431168853</v>
      </c>
      <c r="U251" s="62">
        <f t="shared" si="1452"/>
        <v>340.19173201988497</v>
      </c>
      <c r="V251" s="62">
        <f t="shared" si="1452"/>
        <v>-543.88521682400119</v>
      </c>
      <c r="W251" s="63">
        <f t="shared" si="1440"/>
        <v>-162.92841390619606</v>
      </c>
      <c r="X251" s="62">
        <f>-(X187-V187)</f>
        <v>-112.91838339924675</v>
      </c>
      <c r="Y251" s="62">
        <f t="shared" ref="Y251:AA251" si="1453">-(Y187-X187)</f>
        <v>197.66253484238541</v>
      </c>
      <c r="Z251" s="62">
        <f t="shared" si="1453"/>
        <v>365.47840568936658</v>
      </c>
      <c r="AA251" s="62">
        <f t="shared" si="1453"/>
        <v>-586.25442424475</v>
      </c>
      <c r="AB251" s="63">
        <f t="shared" si="1441"/>
        <v>-136.03186711224475</v>
      </c>
      <c r="AC251" s="62">
        <f>-(AC187-AA187)</f>
        <v>-117.92155696797454</v>
      </c>
      <c r="AD251" s="62">
        <f t="shared" ref="AD251:AF251" si="1454">-(AD187-AC187)</f>
        <v>218.1426833773337</v>
      </c>
      <c r="AE251" s="62">
        <f t="shared" si="1454"/>
        <v>390.43769547161082</v>
      </c>
      <c r="AF251" s="62">
        <f t="shared" si="1454"/>
        <v>-630.13942088025146</v>
      </c>
      <c r="AG251" s="63">
        <f t="shared" si="1442"/>
        <v>-139.48059899928148</v>
      </c>
      <c r="AH251" s="62">
        <f>-(AH187-AF187)</f>
        <v>-126.57691359970522</v>
      </c>
      <c r="AI251" s="62">
        <f t="shared" ref="AI251:AK251" si="1455">-(AI187-AH187)</f>
        <v>239.5741660974777</v>
      </c>
      <c r="AJ251" s="62">
        <f t="shared" si="1455"/>
        <v>416.50567482176962</v>
      </c>
      <c r="AK251" s="62">
        <f t="shared" si="1455"/>
        <v>-676.64152811356666</v>
      </c>
      <c r="AL251" s="63">
        <f t="shared" si="1443"/>
        <v>-147.13860079402457</v>
      </c>
    </row>
    <row r="252" spans="1:38" outlineLevel="1" x14ac:dyDescent="0.2">
      <c r="A252" s="137"/>
      <c r="B252" s="316" t="s">
        <v>194</v>
      </c>
      <c r="C252" s="317"/>
      <c r="D252" s="62">
        <v>847.3</v>
      </c>
      <c r="E252" s="62">
        <f>774.6-D252</f>
        <v>-72.699999999999932</v>
      </c>
      <c r="F252" s="62">
        <f>831.6-E252-D252</f>
        <v>57</v>
      </c>
      <c r="G252" s="62">
        <f>922-F252-E252-D252</f>
        <v>90.399999999999977</v>
      </c>
      <c r="H252" s="63">
        <f t="shared" si="1444"/>
        <v>922</v>
      </c>
      <c r="I252" s="62">
        <v>-28.5</v>
      </c>
      <c r="J252" s="62">
        <f>-247.7-I252</f>
        <v>-219.2</v>
      </c>
      <c r="K252" s="62">
        <f>-492.1-J252-I252</f>
        <v>-244.40000000000003</v>
      </c>
      <c r="L252" s="62">
        <f>-(L188-K188)</f>
        <v>138.04499999999996</v>
      </c>
      <c r="M252" s="63">
        <f t="shared" si="1445"/>
        <v>-354.05500000000006</v>
      </c>
      <c r="N252" s="62">
        <f>-(N188-L188)</f>
        <v>78.225500000000011</v>
      </c>
      <c r="O252" s="62">
        <f t="shared" ref="O252:Q252" si="1456">-(O188-N188)</f>
        <v>70.402950000000033</v>
      </c>
      <c r="P252" s="62">
        <f t="shared" si="1456"/>
        <v>63.362655000000018</v>
      </c>
      <c r="Q252" s="62">
        <f t="shared" si="1456"/>
        <v>57.026389499999937</v>
      </c>
      <c r="R252" s="63">
        <f t="shared" si="1439"/>
        <v>269.0174945</v>
      </c>
      <c r="S252" s="62">
        <f>-(S188-Q188)</f>
        <v>-10.264750110000023</v>
      </c>
      <c r="T252" s="62">
        <f t="shared" ref="T252:V252" si="1457">-(T188-S188)</f>
        <v>-10.470045112199955</v>
      </c>
      <c r="U252" s="62">
        <f t="shared" si="1457"/>
        <v>-10.679446014444011</v>
      </c>
      <c r="V252" s="62">
        <f t="shared" si="1457"/>
        <v>-10.893034934732896</v>
      </c>
      <c r="W252" s="63">
        <f t="shared" si="1440"/>
        <v>-42.307276171376884</v>
      </c>
      <c r="X252" s="62">
        <f>-(X188-V188)</f>
        <v>-11.110895633427504</v>
      </c>
      <c r="Y252" s="62">
        <f t="shared" ref="Y252:AA252" si="1458">-(Y188-X188)</f>
        <v>-11.333113546096115</v>
      </c>
      <c r="Z252" s="62">
        <f t="shared" si="1458"/>
        <v>-11.559775817018021</v>
      </c>
      <c r="AA252" s="62">
        <f t="shared" si="1458"/>
        <v>-11.790971333358357</v>
      </c>
      <c r="AB252" s="63">
        <f t="shared" si="1441"/>
        <v>-45.794756329899997</v>
      </c>
      <c r="AC252" s="62">
        <f>-(AC188-AA188)</f>
        <v>-12.026790760025506</v>
      </c>
      <c r="AD252" s="62">
        <f t="shared" ref="AD252:AF252" si="1459">-(AD188-AC188)</f>
        <v>-12.267326575226093</v>
      </c>
      <c r="AE252" s="62">
        <f t="shared" si="1459"/>
        <v>-12.512673106730631</v>
      </c>
      <c r="AF252" s="62">
        <f t="shared" si="1459"/>
        <v>-12.762926568865169</v>
      </c>
      <c r="AG252" s="63">
        <f t="shared" si="1442"/>
        <v>-49.569717010847398</v>
      </c>
      <c r="AH252" s="62">
        <f>-(AH188-AF188)</f>
        <v>-13.018185100242476</v>
      </c>
      <c r="AI252" s="62">
        <f t="shared" ref="AI252:AK252" si="1460">-(AI188-AH188)</f>
        <v>-13.278548802247315</v>
      </c>
      <c r="AJ252" s="62">
        <f t="shared" si="1460"/>
        <v>-13.54411977829227</v>
      </c>
      <c r="AK252" s="62">
        <f t="shared" si="1460"/>
        <v>-13.815002173858147</v>
      </c>
      <c r="AL252" s="63">
        <f t="shared" si="1443"/>
        <v>-53.655855854640208</v>
      </c>
    </row>
    <row r="253" spans="1:38" outlineLevel="1" x14ac:dyDescent="0.2">
      <c r="A253" s="137"/>
      <c r="B253" s="316" t="s">
        <v>28</v>
      </c>
      <c r="C253" s="317"/>
      <c r="D253" s="62">
        <v>-21.3</v>
      </c>
      <c r="E253" s="62">
        <f>-83.4-D253</f>
        <v>-62.100000000000009</v>
      </c>
      <c r="F253" s="62">
        <f>-15.1-E253-D253</f>
        <v>68.300000000000011</v>
      </c>
      <c r="G253" s="62">
        <f>31.9-F253-E253-D253</f>
        <v>47</v>
      </c>
      <c r="H253" s="63">
        <f t="shared" si="1444"/>
        <v>31.900000000000006</v>
      </c>
      <c r="I253" s="62">
        <v>-110.3</v>
      </c>
      <c r="J253" s="62">
        <f>-186.4-I253</f>
        <v>-76.100000000000009</v>
      </c>
      <c r="K253" s="62">
        <f>-320.3-J253-I253</f>
        <v>-133.89999999999998</v>
      </c>
      <c r="L253" s="62">
        <f>L200-K200</f>
        <v>230.63598352127769</v>
      </c>
      <c r="M253" s="63">
        <f t="shared" si="1445"/>
        <v>-89.66401647872226</v>
      </c>
      <c r="N253" s="62">
        <f>N200-L200</f>
        <v>44.24878613755709</v>
      </c>
      <c r="O253" s="62">
        <f t="shared" ref="O253:Q253" si="1461">O200-N200</f>
        <v>-79.444619408864355</v>
      </c>
      <c r="P253" s="62">
        <f t="shared" si="1461"/>
        <v>-48.881416859957653</v>
      </c>
      <c r="Q253" s="62">
        <f t="shared" si="1461"/>
        <v>91.242442632931215</v>
      </c>
      <c r="R253" s="63">
        <f t="shared" si="1439"/>
        <v>7.1651925016662972</v>
      </c>
      <c r="S253" s="62">
        <f>S200-Q200</f>
        <v>77.620564687339765</v>
      </c>
      <c r="T253" s="62">
        <f t="shared" ref="T253:V253" si="1462">T200-S200</f>
        <v>-80.308081849139171</v>
      </c>
      <c r="U253" s="62">
        <f t="shared" si="1462"/>
        <v>-50.98759181352284</v>
      </c>
      <c r="V253" s="62">
        <f t="shared" si="1462"/>
        <v>100.64685320747844</v>
      </c>
      <c r="W253" s="63">
        <f t="shared" si="1440"/>
        <v>46.971744232156198</v>
      </c>
      <c r="X253" s="62">
        <f>X200-V200</f>
        <v>74.871824660429638</v>
      </c>
      <c r="Y253" s="62">
        <f t="shared" ref="Y253:AA253" si="1463">Y200-X200</f>
        <v>-90.963556073510063</v>
      </c>
      <c r="Z253" s="62">
        <f t="shared" si="1463"/>
        <v>-55.976308508669717</v>
      </c>
      <c r="AA253" s="62">
        <f t="shared" si="1463"/>
        <v>109.95477942223238</v>
      </c>
      <c r="AB253" s="63">
        <f t="shared" si="1441"/>
        <v>37.886739500482236</v>
      </c>
      <c r="AC253" s="62">
        <f>AC200-AA200</f>
        <v>78.989259251316525</v>
      </c>
      <c r="AD253" s="62">
        <f t="shared" ref="AD253:AF253" si="1464">AD200-AC200</f>
        <v>-100.47886586634399</v>
      </c>
      <c r="AE253" s="62">
        <f t="shared" si="1464"/>
        <v>-59.990319400434146</v>
      </c>
      <c r="AF253" s="62">
        <f t="shared" si="1464"/>
        <v>119.7509614534124</v>
      </c>
      <c r="AG253" s="63">
        <f t="shared" si="1442"/>
        <v>38.271035437950786</v>
      </c>
      <c r="AH253" s="62">
        <f>AH200-AF200</f>
        <v>84.913602362066513</v>
      </c>
      <c r="AI253" s="62">
        <f t="shared" ref="AI253:AK253" si="1465">AI200-AH200</f>
        <v>-110.63939820801465</v>
      </c>
      <c r="AJ253" s="62">
        <f t="shared" si="1465"/>
        <v>-64.081014309781722</v>
      </c>
      <c r="AK253" s="62">
        <f t="shared" si="1465"/>
        <v>130.16887659274903</v>
      </c>
      <c r="AL253" s="63">
        <f t="shared" si="1443"/>
        <v>40.362066437019166</v>
      </c>
    </row>
    <row r="254" spans="1:38" outlineLevel="1" x14ac:dyDescent="0.2">
      <c r="A254" s="137"/>
      <c r="B254" s="39" t="s">
        <v>176</v>
      </c>
      <c r="C254" s="36"/>
      <c r="D254" s="62">
        <v>362.7</v>
      </c>
      <c r="E254" s="62">
        <f>9.4-D254</f>
        <v>-353.3</v>
      </c>
      <c r="F254" s="62">
        <f>-32.4-E254-D254</f>
        <v>-41.799999999999955</v>
      </c>
      <c r="G254" s="62">
        <f>-30.5-F254-E254-D254</f>
        <v>1.8999999999999773</v>
      </c>
      <c r="H254" s="63">
        <f t="shared" si="1444"/>
        <v>-30.5</v>
      </c>
      <c r="I254" s="62">
        <v>426.7</v>
      </c>
      <c r="J254" s="62">
        <f>112.1-I254</f>
        <v>-314.60000000000002</v>
      </c>
      <c r="K254" s="62">
        <f>92-J254-I254</f>
        <v>-20.099999999999966</v>
      </c>
      <c r="L254" s="62">
        <f>+(L205-K205)</f>
        <v>-14.633000000000038</v>
      </c>
      <c r="M254" s="63">
        <f t="shared" si="1445"/>
        <v>77.366999999999962</v>
      </c>
      <c r="N254" s="62">
        <f>+(N205-L205)</f>
        <v>434.60010000000011</v>
      </c>
      <c r="O254" s="62">
        <f t="shared" ref="O254:Q254" si="1466">+(O205-N205)</f>
        <v>-282.49006499999996</v>
      </c>
      <c r="P254" s="62">
        <f t="shared" si="1466"/>
        <v>-16.007770350000101</v>
      </c>
      <c r="Q254" s="62">
        <f t="shared" si="1466"/>
        <v>-15.847692646500036</v>
      </c>
      <c r="R254" s="63">
        <f t="shared" si="1439"/>
        <v>120.25457200350002</v>
      </c>
      <c r="S254" s="62">
        <f>+(S205-Q205)</f>
        <v>470.67647160105003</v>
      </c>
      <c r="T254" s="62">
        <f t="shared" ref="T254:V254" si="1467">+(T205-S205)</f>
        <v>-305.93970654068244</v>
      </c>
      <c r="U254" s="62">
        <f t="shared" si="1467"/>
        <v>-17.336583370638664</v>
      </c>
      <c r="V254" s="62">
        <f t="shared" si="1467"/>
        <v>-17.163217536932279</v>
      </c>
      <c r="W254" s="63">
        <f t="shared" si="1440"/>
        <v>130.23696415279665</v>
      </c>
      <c r="X254" s="62">
        <f>+(X205-V205)</f>
        <v>509.74756084688897</v>
      </c>
      <c r="Y254" s="62">
        <f t="shared" ref="Y254:AA254" si="1468">+(Y205-X205)</f>
        <v>-331.33591455047781</v>
      </c>
      <c r="Z254" s="62">
        <f t="shared" si="1468"/>
        <v>-18.775701824527005</v>
      </c>
      <c r="AA254" s="62">
        <f t="shared" si="1468"/>
        <v>-18.587944806281712</v>
      </c>
      <c r="AB254" s="63">
        <f t="shared" si="1441"/>
        <v>141.04799966560245</v>
      </c>
      <c r="AC254" s="62">
        <f>+(AC205-AA205)</f>
        <v>552.06196074656987</v>
      </c>
      <c r="AD254" s="62">
        <f t="shared" ref="AD254:AF254" si="1469">+(AD205-AC205)</f>
        <v>-358.84027448527036</v>
      </c>
      <c r="AE254" s="62">
        <f t="shared" si="1469"/>
        <v>-20.334282220831938</v>
      </c>
      <c r="AF254" s="62">
        <f t="shared" si="1469"/>
        <v>-20.130939398623696</v>
      </c>
      <c r="AG254" s="63">
        <f t="shared" si="1442"/>
        <v>152.75646464184388</v>
      </c>
      <c r="AH254" s="62">
        <f>+(AH205-AF205)</f>
        <v>597.88890013912305</v>
      </c>
      <c r="AI254" s="62">
        <f t="shared" ref="AI254:AK254" si="1470">+(AI205-AH205)</f>
        <v>-388.62778509042982</v>
      </c>
      <c r="AJ254" s="62">
        <f t="shared" si="1470"/>
        <v>-22.022241155124448</v>
      </c>
      <c r="AK254" s="62">
        <f t="shared" si="1470"/>
        <v>-21.802018743573171</v>
      </c>
      <c r="AL254" s="63">
        <f t="shared" si="1443"/>
        <v>165.43685514999561</v>
      </c>
    </row>
    <row r="255" spans="1:38" outlineLevel="1" x14ac:dyDescent="0.2">
      <c r="A255" s="137"/>
      <c r="B255" s="179" t="s">
        <v>236</v>
      </c>
      <c r="C255" s="180"/>
      <c r="D255" s="62">
        <v>0</v>
      </c>
      <c r="E255" s="62">
        <v>0</v>
      </c>
      <c r="F255" s="62">
        <f>1045.4-E255-D255</f>
        <v>1045.4000000000001</v>
      </c>
      <c r="G255" s="62">
        <f>1237-F255-E255-D255</f>
        <v>191.59999999999991</v>
      </c>
      <c r="H255" s="63">
        <f t="shared" si="1444"/>
        <v>1237</v>
      </c>
      <c r="I255" s="62">
        <v>125.1</v>
      </c>
      <c r="J255" s="62">
        <f>-1227.4-I255</f>
        <v>-1352.5</v>
      </c>
      <c r="K255" s="62">
        <f>-1224.5-J255-I255</f>
        <v>2.9000000000000057</v>
      </c>
      <c r="L255" s="62">
        <f>+(L203-K203)</f>
        <v>0</v>
      </c>
      <c r="M255" s="63">
        <f t="shared" si="1445"/>
        <v>-1224.5</v>
      </c>
      <c r="N255" s="62">
        <f>+(N203-L203)</f>
        <v>0</v>
      </c>
      <c r="O255" s="62">
        <f t="shared" ref="O255:Q255" si="1471">+(O203-N203)</f>
        <v>0</v>
      </c>
      <c r="P255" s="62">
        <f t="shared" si="1471"/>
        <v>0</v>
      </c>
      <c r="Q255" s="62">
        <f t="shared" si="1471"/>
        <v>0</v>
      </c>
      <c r="R255" s="63">
        <f t="shared" si="1439"/>
        <v>0</v>
      </c>
      <c r="S255" s="62">
        <f>+(S203-Q203)</f>
        <v>0</v>
      </c>
      <c r="T255" s="62">
        <f t="shared" ref="T255:V255" si="1472">+(T203-S203)</f>
        <v>0</v>
      </c>
      <c r="U255" s="62">
        <f t="shared" si="1472"/>
        <v>0</v>
      </c>
      <c r="V255" s="62">
        <f t="shared" si="1472"/>
        <v>0</v>
      </c>
      <c r="W255" s="63">
        <f t="shared" si="1440"/>
        <v>0</v>
      </c>
      <c r="X255" s="62">
        <f>+(X203-V203)</f>
        <v>0</v>
      </c>
      <c r="Y255" s="62">
        <f t="shared" ref="Y255:AA255" si="1473">+(Y203-X203)</f>
        <v>0</v>
      </c>
      <c r="Z255" s="62">
        <f t="shared" si="1473"/>
        <v>0</v>
      </c>
      <c r="AA255" s="62">
        <f t="shared" si="1473"/>
        <v>0</v>
      </c>
      <c r="AB255" s="63">
        <f t="shared" si="1441"/>
        <v>0</v>
      </c>
      <c r="AC255" s="62">
        <f>+(AC203-AA203)</f>
        <v>0</v>
      </c>
      <c r="AD255" s="62">
        <f t="shared" ref="AD255:AF255" si="1474">+(AD203-AC203)</f>
        <v>0</v>
      </c>
      <c r="AE255" s="62">
        <f t="shared" si="1474"/>
        <v>0</v>
      </c>
      <c r="AF255" s="62">
        <f t="shared" si="1474"/>
        <v>0</v>
      </c>
      <c r="AG255" s="63">
        <f t="shared" si="1442"/>
        <v>0</v>
      </c>
      <c r="AH255" s="62">
        <f>+(AH203-AF203)</f>
        <v>0</v>
      </c>
      <c r="AI255" s="62">
        <f t="shared" ref="AI255:AK255" si="1475">+(AI203-AH203)</f>
        <v>0</v>
      </c>
      <c r="AJ255" s="62">
        <f t="shared" si="1475"/>
        <v>0</v>
      </c>
      <c r="AK255" s="62">
        <f t="shared" si="1475"/>
        <v>0</v>
      </c>
      <c r="AL255" s="63">
        <f t="shared" si="1443"/>
        <v>0</v>
      </c>
    </row>
    <row r="256" spans="1:38" ht="18" outlineLevel="1" x14ac:dyDescent="0.35">
      <c r="A256" s="137"/>
      <c r="B256" s="316" t="s">
        <v>192</v>
      </c>
      <c r="C256" s="317"/>
      <c r="D256" s="133">
        <v>305.60000000000002</v>
      </c>
      <c r="E256" s="133">
        <f>429.3-D256</f>
        <v>123.69999999999999</v>
      </c>
      <c r="F256" s="133">
        <f>-67.4-E256-D256</f>
        <v>-496.70000000000005</v>
      </c>
      <c r="G256" s="133">
        <f>-141.1-F256-E256-D256</f>
        <v>-73.699999999999989</v>
      </c>
      <c r="H256" s="126">
        <f t="shared" ref="H256" si="1476">SUM(D256:G256)</f>
        <v>-141.10000000000002</v>
      </c>
      <c r="I256" s="133">
        <f>-31.8-301.6</f>
        <v>-333.40000000000003</v>
      </c>
      <c r="J256" s="133">
        <f>-608.6-140.5-I256</f>
        <v>-415.7</v>
      </c>
      <c r="K256" s="133">
        <f>-918.2+70.5-J256-I256</f>
        <v>-98.600000000000023</v>
      </c>
      <c r="L256" s="133">
        <f>(L201-K201)+(L211-K211)+(L212-K212)+(L204-K204)+(L202-K202)</f>
        <v>-25.980657935110003</v>
      </c>
      <c r="M256" s="126">
        <f t="shared" si="1445"/>
        <v>-873.68065793511005</v>
      </c>
      <c r="N256" s="133">
        <f>(N201-L201)+(N211-L211)+(N212-L212)+(N204-L204)+(N202-L202)</f>
        <v>28.326330419090027</v>
      </c>
      <c r="O256" s="133">
        <f t="shared" ref="O256:Q256" si="1477">(O201-N201)+(O211-N211)+(O212-N212)+(O204-N204)+(O202-N202)</f>
        <v>-130.35760099785728</v>
      </c>
      <c r="P256" s="133">
        <f t="shared" si="1477"/>
        <v>-211.73132000232044</v>
      </c>
      <c r="Q256" s="133">
        <f t="shared" si="1477"/>
        <v>164.50544560917024</v>
      </c>
      <c r="R256" s="126">
        <f t="shared" si="1439"/>
        <v>-149.25714497191746</v>
      </c>
      <c r="S256" s="133">
        <f>(S201-Q201)+(S211-Q211)+(S212-Q212)+(S204-Q204)+(S202-Q202)</f>
        <v>156.55712769627019</v>
      </c>
      <c r="T256" s="133">
        <f t="shared" ref="T256:V256" si="1478">(T201-S201)+(T211-S211)+(T212-S212)+(T204-S204)+(T202-S202)</f>
        <v>-178.3975150813726</v>
      </c>
      <c r="U256" s="133">
        <f t="shared" si="1478"/>
        <v>-347.80737880155755</v>
      </c>
      <c r="V256" s="133">
        <f t="shared" si="1478"/>
        <v>298.55374974624601</v>
      </c>
      <c r="W256" s="126">
        <f t="shared" si="1440"/>
        <v>-71.094016440413952</v>
      </c>
      <c r="X256" s="133">
        <f>(X201-V201)+(X211-V211)+(X212-V212)+(X204-V204)+(X202-V202)</f>
        <v>283.61349041292635</v>
      </c>
      <c r="Y256" s="133">
        <f t="shared" ref="Y256:AA256" si="1479">(Y201-X201)+(Y211-X211)+(Y212-X212)+(Y204-X204)+(Y202-X202)</f>
        <v>-194.35288468797899</v>
      </c>
      <c r="Z256" s="133">
        <f t="shared" si="1479"/>
        <v>-366.86900250526708</v>
      </c>
      <c r="AA256" s="133">
        <f t="shared" si="1479"/>
        <v>326.2315434935208</v>
      </c>
      <c r="AB256" s="126">
        <f t="shared" si="1441"/>
        <v>48.623146713201095</v>
      </c>
      <c r="AC256" s="133">
        <f>(AC201-AA201)+(AC211-AA211)+(AC212-AA212)+(AC204-AA204)+(AC202-AA202)</f>
        <v>280.87091636634887</v>
      </c>
      <c r="AD256" s="133">
        <f t="shared" ref="AD256:AF256" si="1480">(AD201-AC201)+(AD211-AC211)+(AD212-AC212)+(AD204-AC204)+(AD202-AC202)</f>
        <v>-214.35377272021788</v>
      </c>
      <c r="AE256" s="133">
        <f t="shared" si="1480"/>
        <v>-391.26744681693413</v>
      </c>
      <c r="AF256" s="133">
        <f t="shared" si="1480"/>
        <v>356.15644465243395</v>
      </c>
      <c r="AG256" s="126">
        <f t="shared" si="1442"/>
        <v>31.406141481630812</v>
      </c>
      <c r="AH256" s="133">
        <f>(AH201-AF201)+(AH211-AF211)+(AH212-AF212)+(AH204-AF204)+(AH202-AF202)</f>
        <v>301.5006127139693</v>
      </c>
      <c r="AI256" s="133">
        <f t="shared" ref="AI256:AK256" si="1481">(AI201-AH201)+(AI211-AH211)+(AI212-AH212)+(AI204-AH204)+(AI202-AH202)</f>
        <v>-231.65955313715131</v>
      </c>
      <c r="AJ256" s="133">
        <f t="shared" si="1481"/>
        <v>-415.76731518104816</v>
      </c>
      <c r="AK256" s="133">
        <f t="shared" si="1481"/>
        <v>387.53257201657516</v>
      </c>
      <c r="AL256" s="126">
        <f t="shared" si="1443"/>
        <v>41.606316412344995</v>
      </c>
    </row>
    <row r="257" spans="1:38" outlineLevel="1" x14ac:dyDescent="0.2">
      <c r="A257" s="137"/>
      <c r="B257" s="320" t="s">
        <v>12</v>
      </c>
      <c r="C257" s="321"/>
      <c r="D257" s="61">
        <f t="shared" ref="D257:Q257" si="1482">D241+SUM(D242:D256)</f>
        <v>2379.0000000000005</v>
      </c>
      <c r="E257" s="61">
        <f t="shared" si="1482"/>
        <v>390.39999999999969</v>
      </c>
      <c r="F257" s="61">
        <f t="shared" si="1482"/>
        <v>1169.400000000001</v>
      </c>
      <c r="G257" s="61">
        <f t="shared" si="1482"/>
        <v>1108.1000000000008</v>
      </c>
      <c r="H257" s="127">
        <f t="shared" si="1482"/>
        <v>5046.9000000000051</v>
      </c>
      <c r="I257" s="61">
        <f t="shared" si="1482"/>
        <v>1836.0999999999985</v>
      </c>
      <c r="J257" s="61">
        <f t="shared" si="1482"/>
        <v>-1361.3000000000009</v>
      </c>
      <c r="K257" s="61">
        <f t="shared" si="1482"/>
        <v>-367.69999999999925</v>
      </c>
      <c r="L257" s="61">
        <f>L241+SUM(L242:L256)</f>
        <v>812.38810167433223</v>
      </c>
      <c r="M257" s="127">
        <f t="shared" si="1482"/>
        <v>919.48810167433146</v>
      </c>
      <c r="N257" s="61">
        <f t="shared" si="1482"/>
        <v>1580.3390128890624</v>
      </c>
      <c r="O257" s="61">
        <f t="shared" si="1482"/>
        <v>932.55287739831965</v>
      </c>
      <c r="P257" s="61">
        <f t="shared" si="1482"/>
        <v>1164.1991577014014</v>
      </c>
      <c r="Q257" s="61">
        <f t="shared" si="1482"/>
        <v>746.70582135753853</v>
      </c>
      <c r="R257" s="127">
        <f t="shared" si="1439"/>
        <v>4423.7968693463217</v>
      </c>
      <c r="S257" s="61">
        <f t="shared" ref="S257:V257" si="1483">S241+SUM(S242:S256)</f>
        <v>1591.6857475022616</v>
      </c>
      <c r="T257" s="61">
        <f t="shared" si="1483"/>
        <v>939.107313280938</v>
      </c>
      <c r="U257" s="61">
        <f t="shared" si="1483"/>
        <v>1100.6193880942242</v>
      </c>
      <c r="V257" s="61">
        <f t="shared" si="1483"/>
        <v>897.5850690369623</v>
      </c>
      <c r="W257" s="127">
        <f t="shared" si="1440"/>
        <v>4528.9975179143858</v>
      </c>
      <c r="X257" s="61">
        <f t="shared" ref="X257:AA257" si="1484">X241+SUM(X242:X256)</f>
        <v>1891.6238639391395</v>
      </c>
      <c r="Y257" s="61">
        <f t="shared" si="1484"/>
        <v>1034.3925455638537</v>
      </c>
      <c r="Z257" s="61">
        <f t="shared" si="1484"/>
        <v>1205.7230110106757</v>
      </c>
      <c r="AA257" s="61">
        <f t="shared" si="1484"/>
        <v>988.21515635242849</v>
      </c>
      <c r="AB257" s="127">
        <f t="shared" si="1441"/>
        <v>5119.9545768660973</v>
      </c>
      <c r="AC257" s="61">
        <f t="shared" ref="AC257:AF257" si="1485">AC241+SUM(AC242:AC256)</f>
        <v>2032.5075870712917</v>
      </c>
      <c r="AD257" s="61">
        <f t="shared" si="1485"/>
        <v>1123.3768147799622</v>
      </c>
      <c r="AE257" s="61">
        <f t="shared" si="1485"/>
        <v>1310.3223704167031</v>
      </c>
      <c r="AF257" s="61">
        <f t="shared" si="1485"/>
        <v>1085.5732211902218</v>
      </c>
      <c r="AG257" s="127">
        <f t="shared" si="1442"/>
        <v>5551.7799934581781</v>
      </c>
      <c r="AH257" s="61">
        <f t="shared" ref="AH257:AK257" si="1486">AH241+SUM(AH242:AH256)</f>
        <v>2205.3727414807781</v>
      </c>
      <c r="AI257" s="61">
        <f t="shared" si="1486"/>
        <v>1224.6266816909342</v>
      </c>
      <c r="AJ257" s="61">
        <f t="shared" si="1486"/>
        <v>1427.782077890701</v>
      </c>
      <c r="AK257" s="61">
        <f t="shared" si="1486"/>
        <v>1195.615956927405</v>
      </c>
      <c r="AL257" s="127">
        <f t="shared" si="1443"/>
        <v>6053.3974579898186</v>
      </c>
    </row>
    <row r="258" spans="1:38" outlineLevel="1" x14ac:dyDescent="0.2">
      <c r="A258" s="137"/>
      <c r="B258" s="333" t="s">
        <v>13</v>
      </c>
      <c r="C258" s="334"/>
      <c r="D258" s="241"/>
      <c r="E258" s="14"/>
      <c r="F258" s="14"/>
      <c r="G258" s="14"/>
      <c r="H258" s="15"/>
      <c r="I258" s="190"/>
      <c r="J258" s="190"/>
      <c r="K258" s="14"/>
      <c r="L258" s="14"/>
      <c r="M258" s="134"/>
      <c r="N258" s="14"/>
      <c r="O258" s="14"/>
      <c r="P258" s="14"/>
      <c r="Q258" s="14"/>
      <c r="R258" s="134"/>
      <c r="S258" s="14"/>
      <c r="T258" s="14"/>
      <c r="U258" s="14"/>
      <c r="V258" s="14"/>
      <c r="W258" s="134"/>
      <c r="X258" s="14"/>
      <c r="Y258" s="14"/>
      <c r="Z258" s="14"/>
      <c r="AA258" s="14"/>
      <c r="AB258" s="134"/>
      <c r="AC258" s="14"/>
      <c r="AD258" s="14"/>
      <c r="AE258" s="14"/>
      <c r="AF258" s="14"/>
      <c r="AG258" s="134"/>
      <c r="AH258" s="14"/>
      <c r="AI258" s="14"/>
      <c r="AJ258" s="14"/>
      <c r="AK258" s="14"/>
      <c r="AL258" s="134"/>
    </row>
    <row r="259" spans="1:38" outlineLevel="1" x14ac:dyDescent="0.2">
      <c r="A259" s="137"/>
      <c r="B259" s="50" t="s">
        <v>188</v>
      </c>
      <c r="C259" s="51"/>
      <c r="D259" s="24">
        <f>-108.7+32.1+14.2</f>
        <v>-62.399999999999991</v>
      </c>
      <c r="E259" s="24">
        <f>-150.2+218.3+55.1-D259</f>
        <v>185.60000000000002</v>
      </c>
      <c r="F259" s="24">
        <f>-176.3+281.7+57.5-E259-D259</f>
        <v>39.699999999999946</v>
      </c>
      <c r="G259" s="24">
        <f>-190.4+298.3+59.8-F259-E259-D259</f>
        <v>4.8000000000000256</v>
      </c>
      <c r="H259" s="25">
        <f>SUM(D259:G259)</f>
        <v>167.7</v>
      </c>
      <c r="I259" s="24">
        <f>-38+64.6+1.3</f>
        <v>27.899999999999995</v>
      </c>
      <c r="J259" s="24">
        <f>-65.1+93.7+4.3-I259</f>
        <v>5.0000000000000107</v>
      </c>
      <c r="K259" s="24">
        <f>-297.4+133.5+10-J259-I259</f>
        <v>-186.79999999999998</v>
      </c>
      <c r="L259" s="24">
        <f>-(L185-K185)-(L190-K190)</f>
        <v>168.86383829593407</v>
      </c>
      <c r="M259" s="25">
        <f>SUM(I259:L259)</f>
        <v>14.963838295934096</v>
      </c>
      <c r="N259" s="24">
        <f>-(N185-L185)-(N190-L190)</f>
        <v>-1.8827579433206267</v>
      </c>
      <c r="O259" s="24">
        <f t="shared" ref="O259:Q259" si="1487">-(O185-N185)-(O190-N190)</f>
        <v>9.4145279127422157</v>
      </c>
      <c r="P259" s="24">
        <f t="shared" si="1487"/>
        <v>9.7188993735264688</v>
      </c>
      <c r="Q259" s="24">
        <f t="shared" si="1487"/>
        <v>1.1349776702635523</v>
      </c>
      <c r="R259" s="25">
        <f>SUM(N259:Q259)</f>
        <v>18.38564701321161</v>
      </c>
      <c r="S259" s="24">
        <f>-(S185-Q185)-(S190-Q190)</f>
        <v>-6.9794757397653058</v>
      </c>
      <c r="T259" s="24">
        <f t="shared" ref="T259:V259" si="1488">-(T185-S185)-(T190-S190)</f>
        <v>7.2185028369506625</v>
      </c>
      <c r="U259" s="24">
        <f t="shared" si="1488"/>
        <v>8.3383523628313156</v>
      </c>
      <c r="V259" s="24">
        <f t="shared" si="1488"/>
        <v>-3.3219761893383719</v>
      </c>
      <c r="W259" s="25">
        <f>SUM(S259:V259)</f>
        <v>5.2554032706783005</v>
      </c>
      <c r="X259" s="24">
        <f>-(X185-V185)-(X190-V190)</f>
        <v>179.68170336748534</v>
      </c>
      <c r="Y259" s="24">
        <f t="shared" ref="Y259:AA259" si="1489">-(Y185-X185)-(Y190-X190)</f>
        <v>2.08599424253525</v>
      </c>
      <c r="Z259" s="24">
        <f t="shared" si="1489"/>
        <v>2.4061855858540895</v>
      </c>
      <c r="AA259" s="24">
        <f t="shared" si="1489"/>
        <v>-1.3645699024365285</v>
      </c>
      <c r="AB259" s="25">
        <f>SUM(X259:AA259)</f>
        <v>182.80931329343815</v>
      </c>
      <c r="AC259" s="24">
        <f>-(AC185-AA185)-(AC190-AA190)</f>
        <v>-2.8760266880200618</v>
      </c>
      <c r="AD259" s="24">
        <f t="shared" ref="AD259:AF259" si="1490">-(AD185-AC185)-(AD190-AC190)</f>
        <v>2.4307543888652816</v>
      </c>
      <c r="AE259" s="24">
        <f t="shared" si="1490"/>
        <v>2.7340729184554817</v>
      </c>
      <c r="AF259" s="24">
        <f t="shared" si="1490"/>
        <v>-1.3384446863137924</v>
      </c>
      <c r="AG259" s="25">
        <f>SUM(AC259:AF259)</f>
        <v>0.95035593298690912</v>
      </c>
      <c r="AH259" s="24">
        <f>-(AH185-AF185)-(AH190-AF190)</f>
        <v>-2.2958656505330737</v>
      </c>
      <c r="AI259" s="24">
        <f t="shared" ref="AI259:AK259" si="1491">-(AI185-AH185)-(AI190-AH190)</f>
        <v>3.4470657359452588</v>
      </c>
      <c r="AJ259" s="24">
        <f t="shared" si="1491"/>
        <v>3.7258002202626272</v>
      </c>
      <c r="AK259" s="24">
        <f t="shared" si="1491"/>
        <v>-0.6660304389367866</v>
      </c>
      <c r="AL259" s="25">
        <f>SUM(AH259:AK259)</f>
        <v>4.2109698667380258</v>
      </c>
    </row>
    <row r="260" spans="1:38" outlineLevel="1" x14ac:dyDescent="0.2">
      <c r="A260" s="137"/>
      <c r="B260" s="310" t="s">
        <v>189</v>
      </c>
      <c r="C260" s="311"/>
      <c r="D260" s="24">
        <v>-431.4</v>
      </c>
      <c r="E260" s="24">
        <f>-845.6-D260</f>
        <v>-414.20000000000005</v>
      </c>
      <c r="F260" s="24">
        <f>-1280.7-E260-D260</f>
        <v>-435.1</v>
      </c>
      <c r="G260" s="24">
        <f>-1806.6-F260-E260-D260</f>
        <v>-525.9</v>
      </c>
      <c r="H260" s="140">
        <f>SUM(D260:G260)</f>
        <v>-1806.6</v>
      </c>
      <c r="I260" s="24">
        <v>-394.3</v>
      </c>
      <c r="J260" s="24">
        <f>-758.3-I260</f>
        <v>-363.99999999999994</v>
      </c>
      <c r="K260" s="24">
        <f>-1138.4-J260-I260</f>
        <v>-380.10000000000008</v>
      </c>
      <c r="L260" s="24">
        <f>-L291*L16</f>
        <v>-361.27149794952459</v>
      </c>
      <c r="M260" s="140">
        <f>SUM(I260:L260)</f>
        <v>-1499.6714979495246</v>
      </c>
      <c r="N260" s="24">
        <f t="shared" ref="N260:Q260" si="1492">-N291*N16</f>
        <v>-441.23051271481103</v>
      </c>
      <c r="O260" s="24">
        <f t="shared" si="1492"/>
        <v>-398.47125978580146</v>
      </c>
      <c r="P260" s="24">
        <f t="shared" si="1492"/>
        <v>-309.03933522728715</v>
      </c>
      <c r="Q260" s="24">
        <f t="shared" si="1492"/>
        <v>-405.21150331590411</v>
      </c>
      <c r="R260" s="140">
        <f>SUM(N260:Q260)</f>
        <v>-1553.9526110438037</v>
      </c>
      <c r="S260" s="24">
        <f t="shared" ref="S260:V260" si="1493">-S291*S16</f>
        <v>-483.51359370603183</v>
      </c>
      <c r="T260" s="24">
        <f t="shared" si="1493"/>
        <v>-435.59312805889334</v>
      </c>
      <c r="U260" s="24">
        <f t="shared" si="1493"/>
        <v>-340.6253441693184</v>
      </c>
      <c r="V260" s="24">
        <f t="shared" si="1493"/>
        <v>-444.60983695633115</v>
      </c>
      <c r="W260" s="140">
        <f>SUM(S260:V260)</f>
        <v>-1704.3419028905746</v>
      </c>
      <c r="X260" s="24">
        <f t="shared" ref="X260:AA260" si="1494">-X291*X16</f>
        <v>-520.74435848065627</v>
      </c>
      <c r="Y260" s="24">
        <f t="shared" si="1494"/>
        <v>-466.90092481853696</v>
      </c>
      <c r="Z260" s="24">
        <f t="shared" si="1494"/>
        <v>-364.70883016580973</v>
      </c>
      <c r="AA260" s="24">
        <f t="shared" si="1494"/>
        <v>-477.11332025938492</v>
      </c>
      <c r="AB260" s="140">
        <f>SUM(X260:AA260)</f>
        <v>-1829.4674337243878</v>
      </c>
      <c r="AC260" s="24">
        <f t="shared" ref="AC260:AF260" si="1495">-AC291*AC16</f>
        <v>-557.8432752272962</v>
      </c>
      <c r="AD260" s="24">
        <f t="shared" si="1495"/>
        <v>-498.78269094914572</v>
      </c>
      <c r="AE260" s="24">
        <f t="shared" si="1495"/>
        <v>-389.31150422002378</v>
      </c>
      <c r="AF260" s="24">
        <f t="shared" si="1495"/>
        <v>-510.54445377783475</v>
      </c>
      <c r="AG260" s="140">
        <f>SUM(AC260:AF260)</f>
        <v>-1956.4819241743007</v>
      </c>
      <c r="AH260" s="24">
        <f t="shared" ref="AH260:AK260" si="1496">-AH291*AH16</f>
        <v>-596.81244837082613</v>
      </c>
      <c r="AI260" s="24">
        <f t="shared" si="1496"/>
        <v>-532.30047062631229</v>
      </c>
      <c r="AJ260" s="24">
        <f t="shared" si="1496"/>
        <v>-415.22547565737307</v>
      </c>
      <c r="AK260" s="24">
        <f t="shared" si="1496"/>
        <v>-545.84765688854577</v>
      </c>
      <c r="AL260" s="140">
        <f>SUM(AH260:AK260)</f>
        <v>-2090.1860515430571</v>
      </c>
    </row>
    <row r="261" spans="1:38" ht="18" outlineLevel="1" x14ac:dyDescent="0.35">
      <c r="A261" s="137"/>
      <c r="B261" s="310" t="s">
        <v>62</v>
      </c>
      <c r="C261" s="311"/>
      <c r="D261" s="27">
        <v>-16.600000000000001</v>
      </c>
      <c r="E261" s="27">
        <f>48.5-37.1-D261</f>
        <v>28</v>
      </c>
      <c r="F261" s="27">
        <f>684.2-72.9-E261-D261</f>
        <v>599.90000000000009</v>
      </c>
      <c r="G261" s="27">
        <f>684.3-56.2-F261-E261-D261</f>
        <v>16.79999999999982</v>
      </c>
      <c r="H261" s="28">
        <f>SUM(D261:G261)</f>
        <v>628.09999999999991</v>
      </c>
      <c r="I261" s="27">
        <v>-19.899999999999999</v>
      </c>
      <c r="J261" s="27">
        <f>-22.5-I261</f>
        <v>-2.6000000000000014</v>
      </c>
      <c r="K261" s="27">
        <f>-39.4-J261-I261</f>
        <v>-16.899999999999999</v>
      </c>
      <c r="L261" s="27">
        <f>-(L191-K191)-(L195-K195)-(L193-K193)+(L210-K210)-(L196-K196)-(L197-K197)</f>
        <v>54.754014719671204</v>
      </c>
      <c r="M261" s="28">
        <f>SUM(I261:L261)</f>
        <v>15.354014719671206</v>
      </c>
      <c r="N261" s="27">
        <f>-(N191-L191)-(N195-L195)-(N193-L193)+(N210-L210)-(N196-L196)-(N197-L197)</f>
        <v>35.806711863239798</v>
      </c>
      <c r="O261" s="27">
        <f t="shared" ref="O261:Q261" si="1497">-(O191-N191)-(O195-N195)-(O193-N193)+(O210-N210)-(O196-N196)-(O197-N197)</f>
        <v>55.075709982575688</v>
      </c>
      <c r="P261" s="27">
        <f t="shared" si="1497"/>
        <v>53.688788181520067</v>
      </c>
      <c r="Q261" s="27">
        <f t="shared" si="1497"/>
        <v>35.616678575369065</v>
      </c>
      <c r="R261" s="28">
        <f>SUM(N261:Q261)</f>
        <v>180.18788860270462</v>
      </c>
      <c r="S261" s="27">
        <f>-(S191-Q191)-(S195-Q195)-(S193-Q193)+(S210-Q210)-(S196-Q196)-(S197-Q197)</f>
        <v>18.540048450128609</v>
      </c>
      <c r="T261" s="27">
        <f t="shared" ref="T261:V261" si="1498">-(T191-S191)-(T195-S195)-(T193-S193)+(T210-S210)-(T196-S196)-(T197-S197)</f>
        <v>43.738837105625748</v>
      </c>
      <c r="U261" s="27">
        <f t="shared" si="1498"/>
        <v>44.313630786277884</v>
      </c>
      <c r="V261" s="27">
        <f t="shared" si="1498"/>
        <v>20.821892086322009</v>
      </c>
      <c r="W261" s="28">
        <f>SUM(S261:V261)</f>
        <v>127.41440842835425</v>
      </c>
      <c r="X261" s="27">
        <f>-(X191-V191)-(X195-V195)-(X193-V193)+(X210-V210)-(X196-V196)-(X197-V197)</f>
        <v>7.6202986336941763</v>
      </c>
      <c r="Y261" s="27">
        <f t="shared" ref="Y261:AA261" si="1499">-(Y191-X191)-(Y195-X195)-(Y193-X193)+(Y210-X210)-(Y196-X196)-(Y197-X197)</f>
        <v>37.588156142324124</v>
      </c>
      <c r="Z261" s="27">
        <f t="shared" si="1499"/>
        <v>38.392203239709943</v>
      </c>
      <c r="AA261" s="27">
        <f t="shared" si="1499"/>
        <v>13.491553800087274</v>
      </c>
      <c r="AB261" s="28">
        <f>SUM(X261:AA261)</f>
        <v>97.092211815815517</v>
      </c>
      <c r="AC261" s="27">
        <f>-(AC191-AA191)-(AC195-AA195)-(AC193-AA193)+(AC210-AA210)-(AC196-AA196)-(AC197-AA197)</f>
        <v>2.8916629288283957</v>
      </c>
      <c r="AD261" s="27">
        <f t="shared" ref="AD261:AF261" si="1500">-(AD191-AC191)-(AD195-AC195)-(AD193-AC193)+(AD210-AC210)-(AD196-AC196)-(AD197-AC197)</f>
        <v>35.312132631185619</v>
      </c>
      <c r="AE261" s="27">
        <f t="shared" si="1500"/>
        <v>36.266778327946582</v>
      </c>
      <c r="AF261" s="27">
        <f t="shared" si="1500"/>
        <v>9.7064713796254694</v>
      </c>
      <c r="AG261" s="28">
        <f>SUM(AC261:AF261)</f>
        <v>84.177045267586067</v>
      </c>
      <c r="AH261" s="27">
        <f>-(AH191-AF191)-(AH195-AF195)-(AH193-AF193)+(AH210-AF210)-(AH196-AF196)-(AH197-AF197)</f>
        <v>2.8244710090322656</v>
      </c>
      <c r="AI261" s="27">
        <f t="shared" ref="AI261:AK261" si="1501">-(AI191-AH191)-(AI195-AH195)-(AI193-AH193)+(AI210-AH210)-(AI196-AH196)-(AI197-AH197)</f>
        <v>38.206561159886832</v>
      </c>
      <c r="AJ261" s="27">
        <f t="shared" si="1501"/>
        <v>39.207253287940603</v>
      </c>
      <c r="AK261" s="27">
        <f t="shared" si="1501"/>
        <v>10.824095835090901</v>
      </c>
      <c r="AL261" s="28">
        <f>SUM(AH261:AK261)</f>
        <v>91.062381291950601</v>
      </c>
    </row>
    <row r="262" spans="1:38" outlineLevel="1" x14ac:dyDescent="0.2">
      <c r="A262" s="137"/>
      <c r="B262" s="302" t="s">
        <v>14</v>
      </c>
      <c r="C262" s="303"/>
      <c r="D262" s="31">
        <f t="shared" ref="D262:Q262" si="1502">SUM(D259:D261)</f>
        <v>-510.4</v>
      </c>
      <c r="E262" s="31">
        <f t="shared" si="1502"/>
        <v>-200.60000000000002</v>
      </c>
      <c r="F262" s="31">
        <f t="shared" si="1502"/>
        <v>204.5</v>
      </c>
      <c r="G262" s="31">
        <f t="shared" si="1502"/>
        <v>-504.30000000000007</v>
      </c>
      <c r="H262" s="32">
        <f t="shared" si="1502"/>
        <v>-1010.8</v>
      </c>
      <c r="I262" s="31">
        <f t="shared" si="1502"/>
        <v>-386.3</v>
      </c>
      <c r="J262" s="31">
        <f t="shared" si="1502"/>
        <v>-361.59999999999997</v>
      </c>
      <c r="K262" s="31">
        <f t="shared" si="1502"/>
        <v>-583.80000000000007</v>
      </c>
      <c r="L262" s="31">
        <f t="shared" si="1502"/>
        <v>-137.65364493391931</v>
      </c>
      <c r="M262" s="32">
        <f t="shared" si="1502"/>
        <v>-1469.3536449339194</v>
      </c>
      <c r="N262" s="31">
        <f t="shared" si="1502"/>
        <v>-407.30655879489188</v>
      </c>
      <c r="O262" s="31">
        <f t="shared" si="1502"/>
        <v>-333.98102189048353</v>
      </c>
      <c r="P262" s="31">
        <f t="shared" si="1502"/>
        <v>-245.6316476722406</v>
      </c>
      <c r="Q262" s="31">
        <f t="shared" si="1502"/>
        <v>-368.45984707027151</v>
      </c>
      <c r="R262" s="32">
        <f t="shared" ref="R262:V262" si="1503">SUM(R259:R261)</f>
        <v>-1355.3790754278875</v>
      </c>
      <c r="S262" s="31">
        <f t="shared" si="1503"/>
        <v>-471.95302099566851</v>
      </c>
      <c r="T262" s="31">
        <f t="shared" si="1503"/>
        <v>-384.63578811631692</v>
      </c>
      <c r="U262" s="31">
        <f t="shared" si="1503"/>
        <v>-287.97336102020921</v>
      </c>
      <c r="V262" s="31">
        <f t="shared" si="1503"/>
        <v>-427.10992105934753</v>
      </c>
      <c r="W262" s="32">
        <f t="shared" ref="W262:AL262" si="1504">SUM(W259:W261)</f>
        <v>-1571.6720911915422</v>
      </c>
      <c r="X262" s="31">
        <f t="shared" si="1504"/>
        <v>-333.44235647947676</v>
      </c>
      <c r="Y262" s="31">
        <f t="shared" si="1504"/>
        <v>-427.22677443367758</v>
      </c>
      <c r="Z262" s="31">
        <f t="shared" si="1504"/>
        <v>-323.91044134024571</v>
      </c>
      <c r="AA262" s="31">
        <f t="shared" si="1504"/>
        <v>-464.98633636173417</v>
      </c>
      <c r="AB262" s="32">
        <f t="shared" si="1504"/>
        <v>-1549.565908615134</v>
      </c>
      <c r="AC262" s="31">
        <f t="shared" si="1504"/>
        <v>-557.82763898648784</v>
      </c>
      <c r="AD262" s="31">
        <f t="shared" si="1504"/>
        <v>-461.03980392909477</v>
      </c>
      <c r="AE262" s="31">
        <f t="shared" si="1504"/>
        <v>-350.3106529736217</v>
      </c>
      <c r="AF262" s="31">
        <f t="shared" si="1504"/>
        <v>-502.17642708452308</v>
      </c>
      <c r="AG262" s="32">
        <f t="shared" si="1504"/>
        <v>-1871.3545229737279</v>
      </c>
      <c r="AH262" s="31">
        <f t="shared" si="1504"/>
        <v>-596.283843012327</v>
      </c>
      <c r="AI262" s="31">
        <f t="shared" si="1504"/>
        <v>-490.64684373048021</v>
      </c>
      <c r="AJ262" s="31">
        <f t="shared" si="1504"/>
        <v>-372.29242214916985</v>
      </c>
      <c r="AK262" s="31">
        <f t="shared" si="1504"/>
        <v>-535.68959149239163</v>
      </c>
      <c r="AL262" s="32">
        <f t="shared" si="1504"/>
        <v>-1994.9127003843682</v>
      </c>
    </row>
    <row r="263" spans="1:38" outlineLevel="1" x14ac:dyDescent="0.2">
      <c r="A263" s="137"/>
      <c r="B263" s="300" t="s">
        <v>15</v>
      </c>
      <c r="C263" s="301"/>
      <c r="D263" s="135"/>
      <c r="E263" s="131"/>
      <c r="F263" s="131"/>
      <c r="G263" s="131"/>
      <c r="H263" s="132"/>
      <c r="I263" s="131"/>
      <c r="J263" s="131"/>
      <c r="K263" s="131"/>
      <c r="L263" s="131"/>
      <c r="M263" s="132"/>
      <c r="N263" s="131"/>
      <c r="O263" s="131"/>
      <c r="P263" s="131"/>
      <c r="Q263" s="131"/>
      <c r="R263" s="132"/>
      <c r="S263" s="131"/>
      <c r="T263" s="131"/>
      <c r="U263" s="131"/>
      <c r="V263" s="131"/>
      <c r="W263" s="132"/>
      <c r="X263" s="131"/>
      <c r="Y263" s="131"/>
      <c r="Z263" s="131"/>
      <c r="AA263" s="131"/>
      <c r="AB263" s="132"/>
      <c r="AC263" s="131"/>
      <c r="AD263" s="131"/>
      <c r="AE263" s="131"/>
      <c r="AF263" s="131"/>
      <c r="AG263" s="132"/>
      <c r="AH263" s="131"/>
      <c r="AI263" s="131"/>
      <c r="AJ263" s="131"/>
      <c r="AK263" s="131"/>
      <c r="AL263" s="132"/>
    </row>
    <row r="264" spans="1:38" outlineLevel="1" x14ac:dyDescent="0.2">
      <c r="A264" s="137"/>
      <c r="B264" s="316" t="s">
        <v>238</v>
      </c>
      <c r="C264" s="317"/>
      <c r="D264" s="62">
        <v>0</v>
      </c>
      <c r="E264" s="62">
        <f>-D264</f>
        <v>0</v>
      </c>
      <c r="F264" s="62">
        <f>1996-350-E264-D264</f>
        <v>1646</v>
      </c>
      <c r="G264" s="62">
        <f>1996-F264-E264-D264</f>
        <v>350</v>
      </c>
      <c r="H264" s="63">
        <f t="shared" ref="H264:H268" si="1505">SUM(D264:G264)</f>
        <v>1996</v>
      </c>
      <c r="I264" s="62">
        <v>0</v>
      </c>
      <c r="J264" s="62">
        <f>1739.7-I264</f>
        <v>1739.7</v>
      </c>
      <c r="K264" s="62">
        <f>1157.2+4727.6-J264-I264</f>
        <v>4145.1000000000004</v>
      </c>
      <c r="L264" s="62">
        <f>+(L206-K206)+(L209-K209)</f>
        <v>-437</v>
      </c>
      <c r="M264" s="63">
        <f>SUM(I264:L264)</f>
        <v>5447.8</v>
      </c>
      <c r="N264" s="62">
        <f>+(N206-L206)+(N209-L209)</f>
        <v>-437</v>
      </c>
      <c r="O264" s="62">
        <f t="shared" ref="O264:P264" si="1506">+(O206-N206)+(O209-N209)</f>
        <v>-437</v>
      </c>
      <c r="P264" s="62">
        <f t="shared" si="1506"/>
        <v>-437</v>
      </c>
      <c r="Q264" s="62">
        <f>+(Q206-P206)+(Q209-P209)</f>
        <v>-438.09999999999991</v>
      </c>
      <c r="R264" s="63">
        <f>SUM(N264:Q264)</f>
        <v>-1749.1</v>
      </c>
      <c r="S264" s="62">
        <f>+(S206-Q206)+(S209-Q209)</f>
        <v>-250</v>
      </c>
      <c r="T264" s="62">
        <f t="shared" ref="T264:U264" si="1507">+(T206-S206)+(T209-S209)</f>
        <v>-250</v>
      </c>
      <c r="U264" s="62">
        <f t="shared" si="1507"/>
        <v>-250</v>
      </c>
      <c r="V264" s="62">
        <f>+(V206-U206)+(V209-U209)</f>
        <v>-250</v>
      </c>
      <c r="W264" s="63">
        <f>SUM(S264:V264)</f>
        <v>-1000</v>
      </c>
      <c r="X264" s="62">
        <f>+(X206-V206)+(X209-V209)</f>
        <v>-250</v>
      </c>
      <c r="Y264" s="62">
        <f t="shared" ref="Y264:Z264" si="1508">+(Y206-X206)+(Y209-X209)</f>
        <v>-250</v>
      </c>
      <c r="Z264" s="62">
        <f t="shared" si="1508"/>
        <v>-250</v>
      </c>
      <c r="AA264" s="62">
        <f>+(AA206-Z206)+(AA209-Z209)</f>
        <v>-250</v>
      </c>
      <c r="AB264" s="63">
        <f>SUM(X264:AA264)</f>
        <v>-1000</v>
      </c>
      <c r="AC264" s="62">
        <f>+(AC206-AA206)+(AC209-AA209)</f>
        <v>-386</v>
      </c>
      <c r="AD264" s="62">
        <f t="shared" ref="AD264:AE264" si="1509">+(AD206-AC206)+(AD209-AC209)</f>
        <v>-385</v>
      </c>
      <c r="AE264" s="62">
        <f t="shared" si="1509"/>
        <v>-386</v>
      </c>
      <c r="AF264" s="62">
        <f>+(AF206-AE206)+(AF209-AE209)</f>
        <v>-386</v>
      </c>
      <c r="AG264" s="63">
        <f>SUM(AC264:AF264)</f>
        <v>-1543</v>
      </c>
      <c r="AH264" s="62">
        <f>+(AH206-AF206)+(AH209-AF209)</f>
        <v>-750</v>
      </c>
      <c r="AI264" s="62">
        <f t="shared" ref="AI264:AJ264" si="1510">+(AI206-AH206)+(AI209-AH209)</f>
        <v>-750</v>
      </c>
      <c r="AJ264" s="62">
        <f t="shared" si="1510"/>
        <v>-750</v>
      </c>
      <c r="AK264" s="62">
        <f>+(AK206-AJ206)+(AK209-AJ209)</f>
        <v>-750</v>
      </c>
      <c r="AL264" s="63">
        <f>SUM(AH264:AK264)</f>
        <v>-3000</v>
      </c>
    </row>
    <row r="265" spans="1:38" outlineLevel="1" x14ac:dyDescent="0.2">
      <c r="A265" s="137"/>
      <c r="B265" s="179" t="s">
        <v>237</v>
      </c>
      <c r="C265" s="180"/>
      <c r="D265" s="62">
        <v>-350</v>
      </c>
      <c r="E265" s="62">
        <v>0</v>
      </c>
      <c r="F265" s="62">
        <f>-75-E265-D265</f>
        <v>275</v>
      </c>
      <c r="G265" s="62">
        <f>-350-F265-E265-D265</f>
        <v>-275</v>
      </c>
      <c r="H265" s="63">
        <f t="shared" si="1505"/>
        <v>-350</v>
      </c>
      <c r="I265" s="62"/>
      <c r="J265" s="62">
        <f t="shared" ref="J265" si="1511">0-I265</f>
        <v>0</v>
      </c>
      <c r="K265" s="62">
        <v>-220.7</v>
      </c>
      <c r="L265" s="62"/>
      <c r="M265" s="63">
        <f t="shared" ref="M265:M267" si="1512">SUM(I265:L265)</f>
        <v>-220.7</v>
      </c>
      <c r="N265" s="62"/>
      <c r="O265" s="62"/>
      <c r="P265" s="62"/>
      <c r="Q265" s="62"/>
      <c r="R265" s="63">
        <f t="shared" ref="R265:R267" si="1513">SUM(N265:Q265)</f>
        <v>0</v>
      </c>
      <c r="S265" s="62"/>
      <c r="T265" s="62"/>
      <c r="U265" s="62"/>
      <c r="V265" s="62"/>
      <c r="W265" s="63">
        <f t="shared" ref="W265:W267" si="1514">SUM(S265:V265)</f>
        <v>0</v>
      </c>
      <c r="X265" s="62"/>
      <c r="Y265" s="62"/>
      <c r="Z265" s="62"/>
      <c r="AA265" s="62"/>
      <c r="AB265" s="63">
        <f t="shared" ref="AB265:AB267" si="1515">SUM(X265:AA265)</f>
        <v>0</v>
      </c>
      <c r="AC265" s="62"/>
      <c r="AD265" s="62"/>
      <c r="AE265" s="62"/>
      <c r="AF265" s="62"/>
      <c r="AG265" s="63">
        <f t="shared" ref="AG265:AG267" si="1516">SUM(AC265:AF265)</f>
        <v>0</v>
      </c>
      <c r="AH265" s="62"/>
      <c r="AI265" s="62"/>
      <c r="AJ265" s="62"/>
      <c r="AK265" s="62"/>
      <c r="AL265" s="63">
        <f t="shared" ref="AL265:AL267" si="1517">SUM(AH265:AK265)</f>
        <v>0</v>
      </c>
    </row>
    <row r="266" spans="1:38" outlineLevel="1" x14ac:dyDescent="0.2">
      <c r="A266" s="137"/>
      <c r="B266" s="179" t="s">
        <v>235</v>
      </c>
      <c r="C266" s="180"/>
      <c r="D266" s="62"/>
      <c r="E266" s="62">
        <v>75</v>
      </c>
      <c r="F266" s="62">
        <v>0</v>
      </c>
      <c r="G266" s="62">
        <f>0-F266-E266-D266</f>
        <v>-75</v>
      </c>
      <c r="H266" s="63">
        <f t="shared" si="1505"/>
        <v>0</v>
      </c>
      <c r="I266" s="62">
        <f>398.9+99</f>
        <v>497.9</v>
      </c>
      <c r="J266" s="62">
        <f>613+494.1-I266</f>
        <v>609.19999999999993</v>
      </c>
      <c r="K266" s="62">
        <f t="shared" ref="K266" si="1518">0-J266-I266</f>
        <v>-1107.0999999999999</v>
      </c>
      <c r="L266" s="62"/>
      <c r="M266" s="63">
        <f t="shared" si="1512"/>
        <v>0</v>
      </c>
      <c r="N266" s="62"/>
      <c r="O266" s="62"/>
      <c r="P266" s="62"/>
      <c r="Q266" s="62"/>
      <c r="R266" s="63">
        <f t="shared" si="1513"/>
        <v>0</v>
      </c>
      <c r="S266" s="62"/>
      <c r="T266" s="62"/>
      <c r="U266" s="62"/>
      <c r="V266" s="62"/>
      <c r="W266" s="63">
        <f t="shared" si="1514"/>
        <v>0</v>
      </c>
      <c r="X266" s="62"/>
      <c r="Y266" s="62"/>
      <c r="Z266" s="62"/>
      <c r="AA266" s="62"/>
      <c r="AB266" s="63">
        <f t="shared" si="1515"/>
        <v>0</v>
      </c>
      <c r="AC266" s="62"/>
      <c r="AD266" s="62"/>
      <c r="AE266" s="62"/>
      <c r="AF266" s="62"/>
      <c r="AG266" s="63">
        <f t="shared" si="1516"/>
        <v>0</v>
      </c>
      <c r="AH266" s="62"/>
      <c r="AI266" s="62"/>
      <c r="AJ266" s="62"/>
      <c r="AK266" s="62"/>
      <c r="AL266" s="63">
        <f t="shared" si="1517"/>
        <v>0</v>
      </c>
    </row>
    <row r="267" spans="1:38" outlineLevel="1" x14ac:dyDescent="0.2">
      <c r="A267" s="137"/>
      <c r="B267" s="39" t="s">
        <v>187</v>
      </c>
      <c r="C267" s="36"/>
      <c r="D267" s="62">
        <v>108.4</v>
      </c>
      <c r="E267" s="62">
        <f>275.7-D267</f>
        <v>167.29999999999998</v>
      </c>
      <c r="F267" s="62">
        <f>358.5-E267-D267</f>
        <v>82.800000000000011</v>
      </c>
      <c r="G267" s="62">
        <f>409.8-F267-E267-D267</f>
        <v>51.300000000000011</v>
      </c>
      <c r="H267" s="63">
        <f t="shared" si="1505"/>
        <v>409.8</v>
      </c>
      <c r="I267" s="62">
        <v>33.1</v>
      </c>
      <c r="J267" s="62">
        <f>65.4-I267</f>
        <v>32.300000000000004</v>
      </c>
      <c r="K267" s="62">
        <f>98.9-J267-I267</f>
        <v>33.499999999999993</v>
      </c>
      <c r="L267" s="62"/>
      <c r="M267" s="63">
        <f t="shared" si="1512"/>
        <v>98.9</v>
      </c>
      <c r="N267" s="62"/>
      <c r="O267" s="62"/>
      <c r="P267" s="62"/>
      <c r="Q267" s="62"/>
      <c r="R267" s="63">
        <f t="shared" si="1513"/>
        <v>0</v>
      </c>
      <c r="S267" s="62"/>
      <c r="T267" s="62"/>
      <c r="U267" s="62"/>
      <c r="V267" s="62"/>
      <c r="W267" s="63">
        <f t="shared" si="1514"/>
        <v>0</v>
      </c>
      <c r="X267" s="62"/>
      <c r="Y267" s="62"/>
      <c r="Z267" s="62"/>
      <c r="AA267" s="62"/>
      <c r="AB267" s="63">
        <f t="shared" si="1515"/>
        <v>0</v>
      </c>
      <c r="AC267" s="62"/>
      <c r="AD267" s="62"/>
      <c r="AE267" s="62"/>
      <c r="AF267" s="62"/>
      <c r="AG267" s="63">
        <f t="shared" si="1516"/>
        <v>0</v>
      </c>
      <c r="AH267" s="62"/>
      <c r="AI267" s="62"/>
      <c r="AJ267" s="62"/>
      <c r="AK267" s="62"/>
      <c r="AL267" s="63">
        <f t="shared" si="1517"/>
        <v>0</v>
      </c>
    </row>
    <row r="268" spans="1:38" outlineLevel="1" x14ac:dyDescent="0.2">
      <c r="A268" s="137"/>
      <c r="B268" s="39" t="s">
        <v>193</v>
      </c>
      <c r="C268" s="36"/>
      <c r="D268" s="62">
        <v>-446.7</v>
      </c>
      <c r="E268" s="62">
        <f>-894.5-D268</f>
        <v>-447.8</v>
      </c>
      <c r="F268" s="62">
        <f>-1330.7-E268-D268</f>
        <v>-436.2000000000001</v>
      </c>
      <c r="G268" s="62">
        <f>-1761.3-F268-E268-D268</f>
        <v>-430.59999999999997</v>
      </c>
      <c r="H268" s="63">
        <f t="shared" si="1505"/>
        <v>-1761.3</v>
      </c>
      <c r="I268" s="62">
        <v>-484.2</v>
      </c>
      <c r="J268" s="62">
        <f>-965.2-I268</f>
        <v>-481.00000000000006</v>
      </c>
      <c r="K268" s="62">
        <f>-1444.2-J268-I268</f>
        <v>-479.00000000000006</v>
      </c>
      <c r="L268" s="62">
        <f>-L43*L38</f>
        <v>-512.17975033470282</v>
      </c>
      <c r="M268" s="63">
        <f>SUM(I268:L268)</f>
        <v>-1956.3797503347027</v>
      </c>
      <c r="N268" s="62">
        <f t="shared" ref="N268:AK268" si="1519">-N43*N38</f>
        <v>-509.28022296644593</v>
      </c>
      <c r="O268" s="62">
        <f t="shared" si="1519"/>
        <v>-507.64717011283801</v>
      </c>
      <c r="P268" s="62">
        <f t="shared" si="1519"/>
        <v>-505.93668624601327</v>
      </c>
      <c r="Q268" s="62">
        <f t="shared" si="1519"/>
        <v>-529.51161054604552</v>
      </c>
      <c r="R268" s="63">
        <f>SUM(N268:Q268)</f>
        <v>-2052.3756898713427</v>
      </c>
      <c r="S268" s="62">
        <f t="shared" si="1519"/>
        <v>-527.47650743331815</v>
      </c>
      <c r="T268" s="62">
        <f t="shared" si="1519"/>
        <v>-525.6795182131126</v>
      </c>
      <c r="U268" s="62">
        <f t="shared" si="1519"/>
        <v>-523.8528980200017</v>
      </c>
      <c r="V268" s="62">
        <f t="shared" si="1519"/>
        <v>-548.11974622283708</v>
      </c>
      <c r="W268" s="63">
        <f>SUM(S268:V268)</f>
        <v>-2125.1286698892695</v>
      </c>
      <c r="X268" s="62">
        <f t="shared" si="1519"/>
        <v>-546.16506534515133</v>
      </c>
      <c r="Y268" s="62">
        <f t="shared" si="1519"/>
        <v>-544.25517980845871</v>
      </c>
      <c r="Z268" s="62">
        <f t="shared" si="1519"/>
        <v>-542.3396846072219</v>
      </c>
      <c r="AA268" s="62">
        <f t="shared" si="1519"/>
        <v>-567.44608801682398</v>
      </c>
      <c r="AB268" s="63">
        <f>SUM(X268:AA268)</f>
        <v>-2200.2060177776557</v>
      </c>
      <c r="AC268" s="62">
        <f t="shared" si="1519"/>
        <v>-565.43838929780804</v>
      </c>
      <c r="AD268" s="62">
        <f t="shared" si="1519"/>
        <v>-563.44172980002918</v>
      </c>
      <c r="AE268" s="62">
        <f t="shared" si="1519"/>
        <v>-561.44726779804182</v>
      </c>
      <c r="AF268" s="62">
        <f t="shared" si="1519"/>
        <v>-587.42983932569337</v>
      </c>
      <c r="AG268" s="63">
        <f>SUM(AC268:AF268)</f>
        <v>-2277.7572262215726</v>
      </c>
      <c r="AH268" s="62">
        <f t="shared" si="1519"/>
        <v>-585.34534190661122</v>
      </c>
      <c r="AI268" s="62">
        <f t="shared" si="1519"/>
        <v>-583.26669586599371</v>
      </c>
      <c r="AJ268" s="62">
        <f t="shared" si="1519"/>
        <v>-581.19249130837443</v>
      </c>
      <c r="AK268" s="62">
        <f t="shared" si="1519"/>
        <v>-608.07941487385881</v>
      </c>
      <c r="AL268" s="63">
        <f>SUM(AH268:AK268)</f>
        <v>-2357.8839439548383</v>
      </c>
    </row>
    <row r="269" spans="1:38" outlineLevel="1" x14ac:dyDescent="0.2">
      <c r="A269" s="137"/>
      <c r="B269" s="39" t="s">
        <v>63</v>
      </c>
      <c r="C269" s="80"/>
      <c r="D269" s="62">
        <v>-5114.7</v>
      </c>
      <c r="E269" s="62">
        <f>-7827.9-D269</f>
        <v>-2713.2</v>
      </c>
      <c r="F269" s="62">
        <f>-7972.9-E269-D269</f>
        <v>-145</v>
      </c>
      <c r="G269" s="62">
        <f>-10222.3-F269-E269-D269</f>
        <v>-2249.3999999999996</v>
      </c>
      <c r="H269" s="63">
        <f>SUM(D269:G269)</f>
        <v>-10222.299999999999</v>
      </c>
      <c r="I269" s="62">
        <v>-1091.4000000000001</v>
      </c>
      <c r="J269" s="62">
        <f>-1698.9-I269</f>
        <v>-607.5</v>
      </c>
      <c r="K269" s="62">
        <f>-1698.9-J269-I269</f>
        <v>0</v>
      </c>
      <c r="L269" s="62">
        <f>-L160</f>
        <v>-100</v>
      </c>
      <c r="M269" s="63">
        <f>SUM(I269:L269)</f>
        <v>-1798.9</v>
      </c>
      <c r="N269" s="62">
        <f t="shared" ref="N269:AK269" si="1520">-N160</f>
        <v>-100</v>
      </c>
      <c r="O269" s="62">
        <f t="shared" si="1520"/>
        <v>-100</v>
      </c>
      <c r="P269" s="62">
        <f t="shared" si="1520"/>
        <v>-100</v>
      </c>
      <c r="Q269" s="62">
        <f t="shared" si="1520"/>
        <v>-100</v>
      </c>
      <c r="R269" s="63">
        <f>SUM(N269:Q269)</f>
        <v>-400</v>
      </c>
      <c r="S269" s="62">
        <f t="shared" si="1520"/>
        <v>-100</v>
      </c>
      <c r="T269" s="62">
        <f t="shared" si="1520"/>
        <v>-100</v>
      </c>
      <c r="U269" s="62">
        <f t="shared" si="1520"/>
        <v>-100</v>
      </c>
      <c r="V269" s="62">
        <f t="shared" si="1520"/>
        <v>-100</v>
      </c>
      <c r="W269" s="63">
        <f>SUM(S269:V269)</f>
        <v>-400</v>
      </c>
      <c r="X269" s="62">
        <f t="shared" si="1520"/>
        <v>-100</v>
      </c>
      <c r="Y269" s="62">
        <f t="shared" si="1520"/>
        <v>-100</v>
      </c>
      <c r="Z269" s="62">
        <f t="shared" si="1520"/>
        <v>-100</v>
      </c>
      <c r="AA269" s="62">
        <f t="shared" si="1520"/>
        <v>-100</v>
      </c>
      <c r="AB269" s="63">
        <f>SUM(X269:AA269)</f>
        <v>-400</v>
      </c>
      <c r="AC269" s="62">
        <f t="shared" si="1520"/>
        <v>-100</v>
      </c>
      <c r="AD269" s="62">
        <f t="shared" si="1520"/>
        <v>-100</v>
      </c>
      <c r="AE269" s="62">
        <f t="shared" si="1520"/>
        <v>-100</v>
      </c>
      <c r="AF269" s="62">
        <f t="shared" si="1520"/>
        <v>-100</v>
      </c>
      <c r="AG269" s="63">
        <f>SUM(AC269:AF269)</f>
        <v>-400</v>
      </c>
      <c r="AH269" s="62">
        <f t="shared" si="1520"/>
        <v>-100</v>
      </c>
      <c r="AI269" s="62">
        <f t="shared" si="1520"/>
        <v>-100</v>
      </c>
      <c r="AJ269" s="62">
        <f t="shared" si="1520"/>
        <v>-100</v>
      </c>
      <c r="AK269" s="62">
        <f t="shared" si="1520"/>
        <v>-100</v>
      </c>
      <c r="AL269" s="63">
        <f>SUM(AH269:AK269)</f>
        <v>-400</v>
      </c>
    </row>
    <row r="270" spans="1:38" outlineLevel="1" x14ac:dyDescent="0.2">
      <c r="A270" s="137"/>
      <c r="B270" s="39" t="s">
        <v>209</v>
      </c>
      <c r="C270" s="54"/>
      <c r="D270" s="62">
        <v>-55.3</v>
      </c>
      <c r="E270" s="62">
        <f>-56.3-D270</f>
        <v>-1</v>
      </c>
      <c r="F270" s="62">
        <f>-106.1-E270-D270</f>
        <v>-49.8</v>
      </c>
      <c r="G270" s="62">
        <f>-111.6-F270-E270-D270</f>
        <v>-5.5</v>
      </c>
      <c r="H270" s="63">
        <f t="shared" ref="H270" si="1521">SUM(D270:G270)</f>
        <v>-111.6</v>
      </c>
      <c r="I270" s="62">
        <v>-78.400000000000006</v>
      </c>
      <c r="J270" s="62">
        <f>-87.6-I270</f>
        <v>-9.1999999999999886</v>
      </c>
      <c r="K270" s="62">
        <f>-89.1-J270-I270</f>
        <v>-1.5</v>
      </c>
      <c r="L270" s="62">
        <f>(K270/K247)*L247</f>
        <v>-2.1391694769754657</v>
      </c>
      <c r="M270" s="63">
        <f>SUM(I270:L270)</f>
        <v>-91.239169476975462</v>
      </c>
      <c r="N270" s="62">
        <f>(L270/L247)*N247</f>
        <v>-2.6126247170531904</v>
      </c>
      <c r="O270" s="62">
        <f t="shared" ref="O270:Q270" si="1522">(N270/N247)*O247</f>
        <v>-2.3594376008727971</v>
      </c>
      <c r="P270" s="62">
        <f t="shared" si="1522"/>
        <v>-1.8298911396419264</v>
      </c>
      <c r="Q270" s="62">
        <f t="shared" si="1522"/>
        <v>-2.3993480928679096</v>
      </c>
      <c r="R270" s="63">
        <f>SUM(N270:Q270)</f>
        <v>-9.2013015504358222</v>
      </c>
      <c r="S270" s="62">
        <f>(Q270/Q247)*S247</f>
        <v>-2.8629923125105501</v>
      </c>
      <c r="T270" s="62">
        <f t="shared" ref="T270:V270" si="1523">(S270/S247)*T247</f>
        <v>-2.5792444995315917</v>
      </c>
      <c r="U270" s="62">
        <f t="shared" si="1523"/>
        <v>-2.0169189749728713</v>
      </c>
      <c r="V270" s="62">
        <f t="shared" si="1523"/>
        <v>-2.6326344529755992</v>
      </c>
      <c r="W270" s="63">
        <f>SUM(S270:V270)</f>
        <v>-10.091790239990612</v>
      </c>
      <c r="X270" s="62">
        <f>(V270/V247)*X247</f>
        <v>-3.083444011751594</v>
      </c>
      <c r="Y270" s="62">
        <f t="shared" ref="Y270:AA270" si="1524">(X270/X247)*Y247</f>
        <v>-2.7646249782012324</v>
      </c>
      <c r="Z270" s="62">
        <f t="shared" si="1524"/>
        <v>-2.1595226911123002</v>
      </c>
      <c r="AA270" s="62">
        <f t="shared" si="1524"/>
        <v>-2.8250948595449237</v>
      </c>
      <c r="AB270" s="63">
        <f>SUM(X270:AA270)</f>
        <v>-10.832686540610052</v>
      </c>
      <c r="AC270" s="62">
        <f>(AA270/AA247)*AC247</f>
        <v>-3.3031150092803121</v>
      </c>
      <c r="AD270" s="62">
        <f t="shared" ref="AD270:AF270" si="1525">(AC270/AC247)*AD247</f>
        <v>-2.9534040581058343</v>
      </c>
      <c r="AE270" s="62">
        <f t="shared" si="1525"/>
        <v>-2.3052006360580264</v>
      </c>
      <c r="AF270" s="62">
        <f t="shared" si="1525"/>
        <v>-3.0230480908661255</v>
      </c>
      <c r="AG270" s="63">
        <f>SUM(AC270:AF270)</f>
        <v>-11.584767794310299</v>
      </c>
      <c r="AH270" s="62">
        <f>(AF270/AF247)*AH247</f>
        <v>-3.5338602139387159</v>
      </c>
      <c r="AI270" s="62">
        <f t="shared" ref="AI270:AK270" si="1526">(AH270/AH247)*AI247</f>
        <v>-3.1518703407446074</v>
      </c>
      <c r="AJ270" s="62">
        <f t="shared" si="1526"/>
        <v>-2.4586430665863732</v>
      </c>
      <c r="AK270" s="62">
        <f t="shared" si="1526"/>
        <v>-3.2320862656530269</v>
      </c>
      <c r="AL270" s="63">
        <f>SUM(AH270:AK270)</f>
        <v>-12.376459886922724</v>
      </c>
    </row>
    <row r="271" spans="1:38" ht="18" outlineLevel="1" x14ac:dyDescent="0.35">
      <c r="A271" s="137"/>
      <c r="B271" s="316" t="s">
        <v>64</v>
      </c>
      <c r="C271" s="317"/>
      <c r="D271" s="133">
        <v>-0.3</v>
      </c>
      <c r="E271" s="133">
        <f>0.1-D271</f>
        <v>0.4</v>
      </c>
      <c r="F271" s="133">
        <f>-17.6-E271-D271</f>
        <v>-17.7</v>
      </c>
      <c r="G271" s="133">
        <f>-17.5-F271-E271-D271</f>
        <v>9.9999999999999256E-2</v>
      </c>
      <c r="H271" s="126">
        <f t="shared" ref="H271" si="1527">SUM(D271:G271)</f>
        <v>-17.5</v>
      </c>
      <c r="I271" s="133">
        <v>0</v>
      </c>
      <c r="J271" s="133">
        <f>-10.4-I271</f>
        <v>-10.4</v>
      </c>
      <c r="K271" s="133">
        <f>-37.8-J271-I271</f>
        <v>-27.4</v>
      </c>
      <c r="L271" s="133">
        <v>0</v>
      </c>
      <c r="M271" s="126">
        <f t="shared" ref="M271" si="1528">SUM(I271:L271)</f>
        <v>-37.799999999999997</v>
      </c>
      <c r="N271" s="133">
        <v>0</v>
      </c>
      <c r="O271" s="133">
        <v>0</v>
      </c>
      <c r="P271" s="133">
        <v>0</v>
      </c>
      <c r="Q271" s="133">
        <v>0</v>
      </c>
      <c r="R271" s="126">
        <f t="shared" ref="R271" si="1529">SUM(N271:Q271)</f>
        <v>0</v>
      </c>
      <c r="S271" s="133">
        <v>0</v>
      </c>
      <c r="T271" s="133">
        <v>0</v>
      </c>
      <c r="U271" s="133">
        <v>0</v>
      </c>
      <c r="V271" s="133">
        <v>0</v>
      </c>
      <c r="W271" s="126">
        <f t="shared" ref="W271" si="1530">SUM(S271:V271)</f>
        <v>0</v>
      </c>
      <c r="X271" s="133">
        <v>0</v>
      </c>
      <c r="Y271" s="133">
        <v>0</v>
      </c>
      <c r="Z271" s="133">
        <v>0</v>
      </c>
      <c r="AA271" s="133">
        <v>0</v>
      </c>
      <c r="AB271" s="126">
        <f t="shared" ref="AB271" si="1531">SUM(X271:AA271)</f>
        <v>0</v>
      </c>
      <c r="AC271" s="133">
        <v>0</v>
      </c>
      <c r="AD271" s="133">
        <v>0</v>
      </c>
      <c r="AE271" s="133">
        <v>0</v>
      </c>
      <c r="AF271" s="133">
        <v>0</v>
      </c>
      <c r="AG271" s="126">
        <f t="shared" ref="AG271" si="1532">SUM(AC271:AF271)</f>
        <v>0</v>
      </c>
      <c r="AH271" s="133">
        <v>0</v>
      </c>
      <c r="AI271" s="133">
        <v>0</v>
      </c>
      <c r="AJ271" s="133">
        <v>0</v>
      </c>
      <c r="AK271" s="133">
        <v>0</v>
      </c>
      <c r="AL271" s="126">
        <f t="shared" ref="AL271" si="1533">SUM(AH271:AK271)</f>
        <v>0</v>
      </c>
    </row>
    <row r="272" spans="1:38" outlineLevel="1" x14ac:dyDescent="0.2">
      <c r="A272" s="137"/>
      <c r="B272" s="320" t="s">
        <v>16</v>
      </c>
      <c r="C272" s="321"/>
      <c r="D272" s="61">
        <f t="shared" ref="D272:Q272" si="1534">SUM(D264:D271)</f>
        <v>-5858.6</v>
      </c>
      <c r="E272" s="61">
        <f t="shared" si="1534"/>
        <v>-2919.2999999999997</v>
      </c>
      <c r="F272" s="61">
        <f t="shared" si="1534"/>
        <v>1355.1</v>
      </c>
      <c r="G272" s="61">
        <f t="shared" si="1534"/>
        <v>-2634.1</v>
      </c>
      <c r="H272" s="127">
        <f t="shared" si="1534"/>
        <v>-10056.9</v>
      </c>
      <c r="I272" s="61">
        <f t="shared" si="1534"/>
        <v>-1123.0000000000002</v>
      </c>
      <c r="J272" s="61">
        <f t="shared" si="1534"/>
        <v>1273.1000000000001</v>
      </c>
      <c r="K272" s="61">
        <f t="shared" si="1534"/>
        <v>2342.9000000000005</v>
      </c>
      <c r="L272" s="61">
        <f t="shared" si="1534"/>
        <v>-1051.3189198116784</v>
      </c>
      <c r="M272" s="127">
        <f t="shared" si="1534"/>
        <v>1441.6810801883219</v>
      </c>
      <c r="N272" s="61">
        <f t="shared" si="1534"/>
        <v>-1048.8928476834992</v>
      </c>
      <c r="O272" s="61">
        <f t="shared" si="1534"/>
        <v>-1047.0066077137108</v>
      </c>
      <c r="P272" s="61">
        <f t="shared" si="1534"/>
        <v>-1044.7665773856552</v>
      </c>
      <c r="Q272" s="61">
        <f t="shared" si="1534"/>
        <v>-1070.0109586389135</v>
      </c>
      <c r="R272" s="127">
        <f t="shared" ref="R272:V272" si="1535">SUM(R264:R271)</f>
        <v>-4210.6769914217784</v>
      </c>
      <c r="S272" s="61">
        <f t="shared" si="1535"/>
        <v>-880.33949974582868</v>
      </c>
      <c r="T272" s="61">
        <f t="shared" si="1535"/>
        <v>-878.25876271264417</v>
      </c>
      <c r="U272" s="61">
        <f t="shared" si="1535"/>
        <v>-875.8698169949746</v>
      </c>
      <c r="V272" s="61">
        <f t="shared" si="1535"/>
        <v>-900.75238067581267</v>
      </c>
      <c r="W272" s="127">
        <f t="shared" ref="W272:AL272" si="1536">SUM(W264:W271)</f>
        <v>-3535.2204601292601</v>
      </c>
      <c r="X272" s="61">
        <f t="shared" si="1536"/>
        <v>-899.2485093569029</v>
      </c>
      <c r="Y272" s="61">
        <f t="shared" si="1536"/>
        <v>-897.01980478665996</v>
      </c>
      <c r="Z272" s="61">
        <f t="shared" si="1536"/>
        <v>-894.49920729833423</v>
      </c>
      <c r="AA272" s="61">
        <f t="shared" si="1536"/>
        <v>-920.27118287636893</v>
      </c>
      <c r="AB272" s="127">
        <f t="shared" si="1536"/>
        <v>-3611.0387043182659</v>
      </c>
      <c r="AC272" s="61">
        <f t="shared" si="1536"/>
        <v>-1054.7415043070885</v>
      </c>
      <c r="AD272" s="61">
        <f t="shared" si="1536"/>
        <v>-1051.3951338581351</v>
      </c>
      <c r="AE272" s="61">
        <f t="shared" si="1536"/>
        <v>-1049.7524684340999</v>
      </c>
      <c r="AF272" s="61">
        <f t="shared" si="1536"/>
        <v>-1076.4528874165594</v>
      </c>
      <c r="AG272" s="127">
        <f t="shared" si="1536"/>
        <v>-4232.3419940158828</v>
      </c>
      <c r="AH272" s="61">
        <f t="shared" si="1536"/>
        <v>-1438.87920212055</v>
      </c>
      <c r="AI272" s="61">
        <f t="shared" si="1536"/>
        <v>-1436.4185662067384</v>
      </c>
      <c r="AJ272" s="61">
        <f t="shared" si="1536"/>
        <v>-1433.6511343749607</v>
      </c>
      <c r="AK272" s="61">
        <f t="shared" si="1536"/>
        <v>-1461.3115011395116</v>
      </c>
      <c r="AL272" s="127">
        <f t="shared" si="1536"/>
        <v>-5770.2604038417612</v>
      </c>
    </row>
    <row r="273" spans="1:38" outlineLevel="1" x14ac:dyDescent="0.2">
      <c r="A273" s="137"/>
      <c r="B273" s="55" t="s">
        <v>66</v>
      </c>
      <c r="C273" s="56"/>
      <c r="D273" s="241">
        <f>-4.7-0.1</f>
        <v>-4.8</v>
      </c>
      <c r="E273" s="188">
        <f>18.3-0.1-D273</f>
        <v>23</v>
      </c>
      <c r="F273" s="188">
        <f>-2.5-E273-D273</f>
        <v>-20.7</v>
      </c>
      <c r="G273" s="188">
        <f>-49-F273-E273-D273</f>
        <v>-46.5</v>
      </c>
      <c r="H273" s="134">
        <f>SUM(D273:G273)</f>
        <v>-49</v>
      </c>
      <c r="I273" s="188">
        <v>27.1</v>
      </c>
      <c r="J273" s="188">
        <f>8.7-I273</f>
        <v>-18.400000000000002</v>
      </c>
      <c r="K273" s="188">
        <f>10.9-J273-I273</f>
        <v>2.2000000000000028</v>
      </c>
      <c r="L273" s="645">
        <v>0</v>
      </c>
      <c r="M273" s="140">
        <f>SUM(I273:L273)</f>
        <v>10.900000000000002</v>
      </c>
      <c r="N273" s="645">
        <v>0</v>
      </c>
      <c r="O273" s="645">
        <v>0</v>
      </c>
      <c r="P273" s="645">
        <v>0</v>
      </c>
      <c r="Q273" s="645">
        <v>0</v>
      </c>
      <c r="R273" s="140">
        <f>SUM(N273:Q273)</f>
        <v>0</v>
      </c>
      <c r="S273" s="645">
        <v>0</v>
      </c>
      <c r="T273" s="645">
        <v>0</v>
      </c>
      <c r="U273" s="645">
        <v>0</v>
      </c>
      <c r="V273" s="645">
        <v>0</v>
      </c>
      <c r="W273" s="140">
        <f>SUM(S273:V273)</f>
        <v>0</v>
      </c>
      <c r="X273" s="645">
        <v>0</v>
      </c>
      <c r="Y273" s="645">
        <v>0</v>
      </c>
      <c r="Z273" s="645">
        <v>0</v>
      </c>
      <c r="AA273" s="645">
        <v>0</v>
      </c>
      <c r="AB273" s="140">
        <f>SUM(X273:AA273)</f>
        <v>0</v>
      </c>
      <c r="AC273" s="645">
        <v>0</v>
      </c>
      <c r="AD273" s="645">
        <v>0</v>
      </c>
      <c r="AE273" s="645">
        <v>0</v>
      </c>
      <c r="AF273" s="645">
        <v>0</v>
      </c>
      <c r="AG273" s="140">
        <f>SUM(AC273:AF273)</f>
        <v>0</v>
      </c>
      <c r="AH273" s="645">
        <v>0</v>
      </c>
      <c r="AI273" s="645">
        <v>0</v>
      </c>
      <c r="AJ273" s="645">
        <v>0</v>
      </c>
      <c r="AK273" s="645">
        <v>0</v>
      </c>
      <c r="AL273" s="140">
        <f>SUM(AH273:AK273)</f>
        <v>0</v>
      </c>
    </row>
    <row r="274" spans="1:38" ht="18" outlineLevel="1" x14ac:dyDescent="0.35">
      <c r="A274" s="137"/>
      <c r="B274" s="310" t="s">
        <v>17</v>
      </c>
      <c r="C274" s="311"/>
      <c r="D274" s="27">
        <f t="shared" ref="D274:R274" si="1537">D272+D262+D257+D273</f>
        <v>-3994.7999999999997</v>
      </c>
      <c r="E274" s="27">
        <f t="shared" si="1537"/>
        <v>-2706.5</v>
      </c>
      <c r="F274" s="27">
        <f t="shared" si="1537"/>
        <v>2708.3000000000011</v>
      </c>
      <c r="G274" s="27">
        <f t="shared" si="1537"/>
        <v>-2076.7999999999993</v>
      </c>
      <c r="H274" s="28">
        <f t="shared" si="1537"/>
        <v>-6069.7999999999938</v>
      </c>
      <c r="I274" s="27">
        <f t="shared" si="1537"/>
        <v>353.89999999999839</v>
      </c>
      <c r="J274" s="27">
        <f t="shared" si="1537"/>
        <v>-468.20000000000061</v>
      </c>
      <c r="K274" s="27">
        <f t="shared" si="1537"/>
        <v>1393.600000000001</v>
      </c>
      <c r="L274" s="154">
        <f t="shared" si="1537"/>
        <v>-376.58446307126553</v>
      </c>
      <c r="M274" s="243">
        <f t="shared" si="1537"/>
        <v>902.71553692873385</v>
      </c>
      <c r="N274" s="154">
        <f t="shared" si="1537"/>
        <v>124.13960641067115</v>
      </c>
      <c r="O274" s="154">
        <f t="shared" si="1537"/>
        <v>-448.4347522058747</v>
      </c>
      <c r="P274" s="154">
        <f t="shared" si="1537"/>
        <v>-126.19906735649442</v>
      </c>
      <c r="Q274" s="154">
        <f>Q272+Q262+Q257+Q273</f>
        <v>-691.76498435164649</v>
      </c>
      <c r="R274" s="243">
        <f t="shared" si="1537"/>
        <v>-1142.2591975033438</v>
      </c>
      <c r="S274" s="154">
        <f t="shared" ref="S274:AL274" si="1538">S272+S262+S257+S273</f>
        <v>239.39322676076449</v>
      </c>
      <c r="T274" s="154">
        <f t="shared" si="1538"/>
        <v>-323.7872375480232</v>
      </c>
      <c r="U274" s="154">
        <f t="shared" si="1538"/>
        <v>-63.223789920959689</v>
      </c>
      <c r="V274" s="154">
        <f t="shared" si="1538"/>
        <v>-430.27723269819785</v>
      </c>
      <c r="W274" s="243">
        <f t="shared" si="1538"/>
        <v>-577.89503340641659</v>
      </c>
      <c r="X274" s="154">
        <f t="shared" si="1538"/>
        <v>658.93299810275994</v>
      </c>
      <c r="Y274" s="154">
        <f t="shared" si="1538"/>
        <v>-289.85403365648381</v>
      </c>
      <c r="Z274" s="154">
        <f t="shared" si="1538"/>
        <v>-12.686637627904247</v>
      </c>
      <c r="AA274" s="154">
        <f t="shared" si="1538"/>
        <v>-397.04236288567472</v>
      </c>
      <c r="AB274" s="243">
        <f t="shared" si="1538"/>
        <v>-40.650036067302608</v>
      </c>
      <c r="AC274" s="154">
        <f t="shared" si="1538"/>
        <v>419.93844377771529</v>
      </c>
      <c r="AD274" s="154">
        <f t="shared" si="1538"/>
        <v>-389.0581230072678</v>
      </c>
      <c r="AE274" s="154">
        <f t="shared" si="1538"/>
        <v>-89.740750991018558</v>
      </c>
      <c r="AF274" s="154">
        <f t="shared" si="1538"/>
        <v>-493.05609331086066</v>
      </c>
      <c r="AG274" s="243">
        <f t="shared" si="1538"/>
        <v>-551.91652353143218</v>
      </c>
      <c r="AH274" s="154">
        <f t="shared" si="1538"/>
        <v>170.20969634790117</v>
      </c>
      <c r="AI274" s="154">
        <f t="shared" si="1538"/>
        <v>-702.43872824628443</v>
      </c>
      <c r="AJ274" s="154">
        <f t="shared" si="1538"/>
        <v>-378.16147863342962</v>
      </c>
      <c r="AK274" s="154">
        <f t="shared" si="1538"/>
        <v>-801.38513570449823</v>
      </c>
      <c r="AL274" s="243">
        <f t="shared" si="1538"/>
        <v>-1711.7756462363104</v>
      </c>
    </row>
    <row r="275" spans="1:38" ht="18" outlineLevel="1" x14ac:dyDescent="0.35">
      <c r="A275" s="137"/>
      <c r="B275" s="310" t="s">
        <v>18</v>
      </c>
      <c r="C275" s="311"/>
      <c r="D275" s="27">
        <v>8756.2999999999993</v>
      </c>
      <c r="E275" s="27">
        <f>D276</f>
        <v>4761.6000000000004</v>
      </c>
      <c r="F275" s="27">
        <f>E276</f>
        <v>2055.1000000000004</v>
      </c>
      <c r="G275" s="27">
        <f>F276</f>
        <v>4763.4000000000015</v>
      </c>
      <c r="H275" s="28">
        <f>D275</f>
        <v>8756.2999999999993</v>
      </c>
      <c r="I275" s="154">
        <f>H276</f>
        <v>2686.5000000000055</v>
      </c>
      <c r="J275" s="27">
        <f>I276</f>
        <v>3040.5000000000036</v>
      </c>
      <c r="K275" s="27">
        <f>J276</f>
        <v>2572.3000000000029</v>
      </c>
      <c r="L275" s="154">
        <f t="shared" ref="L275:AK275" si="1539">K276</f>
        <v>3965.9000000000042</v>
      </c>
      <c r="M275" s="243">
        <f>H276</f>
        <v>2686.5000000000055</v>
      </c>
      <c r="N275" s="154">
        <f>L276</f>
        <v>3589.3155369287388</v>
      </c>
      <c r="O275" s="154">
        <f t="shared" si="1539"/>
        <v>3713.4551433394099</v>
      </c>
      <c r="P275" s="154">
        <f t="shared" si="1539"/>
        <v>3265.0203911335352</v>
      </c>
      <c r="Q275" s="154">
        <f t="shared" si="1539"/>
        <v>3138.8213237770406</v>
      </c>
      <c r="R275" s="243">
        <f>M276</f>
        <v>3589.2155369287393</v>
      </c>
      <c r="S275" s="154">
        <f t="shared" si="1539"/>
        <v>2446.9563394253955</v>
      </c>
      <c r="T275" s="154">
        <f t="shared" si="1539"/>
        <v>2686.3495661861598</v>
      </c>
      <c r="U275" s="154">
        <f t="shared" si="1539"/>
        <v>2362.5623286381365</v>
      </c>
      <c r="V275" s="154">
        <f t="shared" si="1539"/>
        <v>2299.3385387171766</v>
      </c>
      <c r="W275" s="243">
        <f>R276</f>
        <v>2446.9563394253955</v>
      </c>
      <c r="X275" s="154">
        <f t="shared" si="1539"/>
        <v>1869.0613060189789</v>
      </c>
      <c r="Y275" s="154">
        <f t="shared" si="1539"/>
        <v>2527.9943041217389</v>
      </c>
      <c r="Z275" s="154">
        <f t="shared" si="1539"/>
        <v>2238.1402704652551</v>
      </c>
      <c r="AA275" s="154">
        <f t="shared" si="1539"/>
        <v>2225.4536328373506</v>
      </c>
      <c r="AB275" s="243">
        <f>W276</f>
        <v>1869.0613060189789</v>
      </c>
      <c r="AC275" s="154">
        <f t="shared" si="1539"/>
        <v>1828.4112699516763</v>
      </c>
      <c r="AD275" s="154">
        <f t="shared" si="1539"/>
        <v>2248.3497137293916</v>
      </c>
      <c r="AE275" s="154">
        <f t="shared" si="1539"/>
        <v>1859.2915907221238</v>
      </c>
      <c r="AF275" s="154">
        <f t="shared" si="1539"/>
        <v>1769.5508397311053</v>
      </c>
      <c r="AG275" s="243">
        <f>AB276</f>
        <v>1828.4112699516763</v>
      </c>
      <c r="AH275" s="154">
        <f t="shared" si="1539"/>
        <v>1276.4947464202442</v>
      </c>
      <c r="AI275" s="154">
        <f t="shared" si="1539"/>
        <v>1446.7044427681453</v>
      </c>
      <c r="AJ275" s="154">
        <f t="shared" si="1539"/>
        <v>744.2657145218609</v>
      </c>
      <c r="AK275" s="154">
        <f t="shared" si="1539"/>
        <v>366.10423588843128</v>
      </c>
      <c r="AL275" s="243">
        <f>AG276</f>
        <v>1276.4947464202442</v>
      </c>
    </row>
    <row r="276" spans="1:38" outlineLevel="1" x14ac:dyDescent="0.2">
      <c r="A276" s="137"/>
      <c r="B276" s="329" t="s">
        <v>65</v>
      </c>
      <c r="C276" s="330"/>
      <c r="D276" s="169">
        <f>+D275+D274+0.1</f>
        <v>4761.6000000000004</v>
      </c>
      <c r="E276" s="169">
        <f t="shared" ref="E276" si="1540">+E275+E274</f>
        <v>2055.1000000000004</v>
      </c>
      <c r="F276" s="169">
        <f>+F275+F274</f>
        <v>4763.4000000000015</v>
      </c>
      <c r="G276" s="169">
        <f>+G275+G274</f>
        <v>2686.6000000000022</v>
      </c>
      <c r="H276" s="244">
        <f>+D275+H274</f>
        <v>2686.5000000000055</v>
      </c>
      <c r="I276" s="169">
        <f>+I275+I274+0.1</f>
        <v>3040.5000000000036</v>
      </c>
      <c r="J276" s="169">
        <f t="shared" ref="J276:L276" si="1541">+J275+J274</f>
        <v>2572.3000000000029</v>
      </c>
      <c r="K276" s="169">
        <f t="shared" si="1541"/>
        <v>3965.9000000000042</v>
      </c>
      <c r="L276" s="169">
        <f>+L275+L274</f>
        <v>3589.3155369287388</v>
      </c>
      <c r="M276" s="244">
        <f>+M275+M274</f>
        <v>3589.2155369287393</v>
      </c>
      <c r="N276" s="169">
        <f t="shared" ref="M276:T276" si="1542">+N275+N274</f>
        <v>3713.4551433394099</v>
      </c>
      <c r="O276" s="169">
        <f t="shared" si="1542"/>
        <v>3265.0203911335352</v>
      </c>
      <c r="P276" s="169">
        <f t="shared" si="1542"/>
        <v>3138.8213237770406</v>
      </c>
      <c r="Q276" s="169">
        <f t="shared" si="1542"/>
        <v>2447.0563394253941</v>
      </c>
      <c r="R276" s="244">
        <f t="shared" si="1542"/>
        <v>2446.9563394253955</v>
      </c>
      <c r="S276" s="169">
        <f t="shared" si="1542"/>
        <v>2686.3495661861598</v>
      </c>
      <c r="T276" s="169">
        <f t="shared" si="1542"/>
        <v>2362.5623286381365</v>
      </c>
      <c r="U276" s="169">
        <f t="shared" ref="U276:V276" si="1543">+U275+U274</f>
        <v>2299.3385387171766</v>
      </c>
      <c r="V276" s="169">
        <f t="shared" si="1543"/>
        <v>1869.0613060189787</v>
      </c>
      <c r="W276" s="244">
        <f>+W275+W274</f>
        <v>1869.0613060189789</v>
      </c>
      <c r="X276" s="169">
        <f t="shared" ref="X276:AA276" si="1544">+X275+X274</f>
        <v>2527.9943041217389</v>
      </c>
      <c r="Y276" s="169">
        <f t="shared" si="1544"/>
        <v>2238.1402704652551</v>
      </c>
      <c r="Z276" s="169">
        <f t="shared" si="1544"/>
        <v>2225.4536328373506</v>
      </c>
      <c r="AA276" s="169">
        <f t="shared" si="1544"/>
        <v>1828.4112699516759</v>
      </c>
      <c r="AB276" s="244">
        <f>+AB275+AB274</f>
        <v>1828.4112699516763</v>
      </c>
      <c r="AC276" s="169">
        <f t="shared" ref="AC276:AF276" si="1545">+AC275+AC274</f>
        <v>2248.3497137293916</v>
      </c>
      <c r="AD276" s="169">
        <f t="shared" si="1545"/>
        <v>1859.2915907221238</v>
      </c>
      <c r="AE276" s="169">
        <f t="shared" si="1545"/>
        <v>1769.5508397311053</v>
      </c>
      <c r="AF276" s="169">
        <f t="shared" si="1545"/>
        <v>1276.4947464202446</v>
      </c>
      <c r="AG276" s="244">
        <f>+AG275+AG274</f>
        <v>1276.4947464202442</v>
      </c>
      <c r="AH276" s="169">
        <f t="shared" ref="AH276:AK276" si="1546">+AH275+AH274</f>
        <v>1446.7044427681453</v>
      </c>
      <c r="AI276" s="169">
        <f t="shared" si="1546"/>
        <v>744.2657145218609</v>
      </c>
      <c r="AJ276" s="169">
        <f t="shared" si="1546"/>
        <v>366.10423588843128</v>
      </c>
      <c r="AK276" s="169">
        <f t="shared" si="1546"/>
        <v>-435.28089981606695</v>
      </c>
      <c r="AL276" s="244">
        <f>+AL275+AL274</f>
        <v>-435.28089981606627</v>
      </c>
    </row>
    <row r="277" spans="1:38" s="33" customFormat="1" outlineLevel="1" x14ac:dyDescent="0.2">
      <c r="A277" s="196"/>
      <c r="B277" s="325" t="s">
        <v>49</v>
      </c>
      <c r="C277" s="326"/>
      <c r="D277" s="135">
        <f t="shared" ref="D277:K277" si="1547">D257-(-D260)</f>
        <v>1947.6000000000004</v>
      </c>
      <c r="E277" s="135">
        <f t="shared" si="1547"/>
        <v>-23.800000000000352</v>
      </c>
      <c r="F277" s="135">
        <f t="shared" si="1547"/>
        <v>734.30000000000098</v>
      </c>
      <c r="G277" s="135">
        <f t="shared" si="1547"/>
        <v>582.20000000000084</v>
      </c>
      <c r="H277" s="132">
        <f t="shared" si="1547"/>
        <v>3240.3000000000052</v>
      </c>
      <c r="I277" s="135">
        <f t="shared" si="1547"/>
        <v>1441.7999999999986</v>
      </c>
      <c r="J277" s="135">
        <f t="shared" si="1547"/>
        <v>-1725.3000000000009</v>
      </c>
      <c r="K277" s="135">
        <f t="shared" si="1547"/>
        <v>-747.79999999999927</v>
      </c>
      <c r="L277" s="135">
        <f>L257-(-L260)+((-L30*(1-$C$314)))</f>
        <v>578.81625788725307</v>
      </c>
      <c r="M277" s="132">
        <f>SUM(I277:L277)</f>
        <v>-452.48374211274847</v>
      </c>
      <c r="N277" s="135">
        <f t="shared" ref="N277:AK277" si="1548">N257-(-N260)+((-N30*(1-$C$314)))</f>
        <v>1263.4926990428769</v>
      </c>
      <c r="O277" s="135">
        <f t="shared" si="1548"/>
        <v>655.15036118732371</v>
      </c>
      <c r="P277" s="135">
        <f t="shared" si="1548"/>
        <v>972.91311075509986</v>
      </c>
      <c r="Q277" s="135">
        <f t="shared" si="1548"/>
        <v>455.93215102880021</v>
      </c>
      <c r="R277" s="132">
        <f>SUM(N277:Q277)</f>
        <v>3347.4883220141005</v>
      </c>
      <c r="S277" s="135">
        <f t="shared" si="1548"/>
        <v>1219.2861859499344</v>
      </c>
      <c r="T277" s="135">
        <f t="shared" si="1548"/>
        <v>612.7315038209324</v>
      </c>
      <c r="U277" s="135">
        <f t="shared" si="1548"/>
        <v>867.31464896897671</v>
      </c>
      <c r="V277" s="135">
        <f t="shared" si="1548"/>
        <v>558.39912356988521</v>
      </c>
      <c r="W277" s="132">
        <f>SUM(S277:V277)</f>
        <v>3257.7314623097291</v>
      </c>
      <c r="X277" s="135">
        <f t="shared" si="1548"/>
        <v>1474.4066833929203</v>
      </c>
      <c r="Y277" s="135">
        <f t="shared" si="1548"/>
        <v>669.12208512493692</v>
      </c>
      <c r="Z277" s="135">
        <f t="shared" si="1548"/>
        <v>940.74793166966924</v>
      </c>
      <c r="AA277" s="135">
        <f t="shared" si="1548"/>
        <v>608.9388733630301</v>
      </c>
      <c r="AB277" s="132">
        <f>SUM(X277:AA277)</f>
        <v>3693.2155735505567</v>
      </c>
      <c r="AC277" s="135">
        <f t="shared" si="1548"/>
        <v>1570.6046355591652</v>
      </c>
      <c r="AD277" s="135">
        <f t="shared" si="1548"/>
        <v>717.60592181734876</v>
      </c>
      <c r="AE277" s="135">
        <f t="shared" si="1548"/>
        <v>1011.1017253087936</v>
      </c>
      <c r="AF277" s="135">
        <f t="shared" si="1548"/>
        <v>662.19110079586414</v>
      </c>
      <c r="AG277" s="132">
        <f>SUM(AC277:AF277)</f>
        <v>3961.5033834811716</v>
      </c>
      <c r="AH277" s="135">
        <f t="shared" si="1548"/>
        <v>1692.7941007647919</v>
      </c>
      <c r="AI277" s="135">
        <f t="shared" si="1548"/>
        <v>770.8698780550111</v>
      </c>
      <c r="AJ277" s="135">
        <f t="shared" si="1548"/>
        <v>1085.4101285592665</v>
      </c>
      <c r="AK277" s="135">
        <f t="shared" si="1548"/>
        <v>716.93168570034709</v>
      </c>
      <c r="AL277" s="132">
        <f>SUM(AH277:AK277)</f>
        <v>4266.0057930794164</v>
      </c>
    </row>
    <row r="278" spans="1:38" s="33" customFormat="1" outlineLevel="1" x14ac:dyDescent="0.2">
      <c r="A278" s="196"/>
      <c r="B278" s="39" t="s">
        <v>33</v>
      </c>
      <c r="C278" s="36"/>
      <c r="D278" s="62"/>
      <c r="E278" s="62"/>
      <c r="F278" s="189"/>
      <c r="G278" s="62"/>
      <c r="H278" s="63"/>
      <c r="I278" s="62"/>
      <c r="J278" s="62"/>
      <c r="K278" s="62"/>
      <c r="L278" s="62"/>
      <c r="M278" s="63"/>
      <c r="N278" s="295">
        <v>0.25</v>
      </c>
      <c r="O278" s="295">
        <v>0.5</v>
      </c>
      <c r="P278" s="295">
        <v>0.75</v>
      </c>
      <c r="Q278" s="295">
        <v>1</v>
      </c>
      <c r="R278" s="63"/>
      <c r="S278" s="295">
        <v>1.25</v>
      </c>
      <c r="T278" s="295">
        <v>1.5</v>
      </c>
      <c r="U278" s="295">
        <v>1.75</v>
      </c>
      <c r="V278" s="295">
        <v>2</v>
      </c>
      <c r="W278" s="63"/>
      <c r="X278" s="295">
        <v>2.25</v>
      </c>
      <c r="Y278" s="295">
        <v>2.5</v>
      </c>
      <c r="Z278" s="295">
        <v>2.75</v>
      </c>
      <c r="AA278" s="295">
        <v>3</v>
      </c>
      <c r="AB278" s="63"/>
      <c r="AC278" s="295">
        <v>3.25</v>
      </c>
      <c r="AD278" s="295">
        <v>3.5</v>
      </c>
      <c r="AE278" s="295">
        <v>3.75</v>
      </c>
      <c r="AF278" s="295">
        <v>4</v>
      </c>
      <c r="AG278" s="63"/>
      <c r="AH278" s="295">
        <v>5.25</v>
      </c>
      <c r="AI278" s="295">
        <v>5.5</v>
      </c>
      <c r="AJ278" s="295">
        <v>5.75</v>
      </c>
      <c r="AK278" s="295">
        <v>6</v>
      </c>
      <c r="AL278" s="63"/>
    </row>
    <row r="279" spans="1:38" s="33" customFormat="1" outlineLevel="1" x14ac:dyDescent="0.2">
      <c r="A279" s="196"/>
      <c r="B279" s="323" t="s">
        <v>24</v>
      </c>
      <c r="C279" s="324"/>
      <c r="D279" s="64"/>
      <c r="E279" s="64"/>
      <c r="F279" s="64"/>
      <c r="G279" s="64"/>
      <c r="H279" s="65"/>
      <c r="I279" s="64"/>
      <c r="J279" s="64"/>
      <c r="K279" s="64"/>
      <c r="L279" s="64"/>
      <c r="M279" s="65"/>
      <c r="N279" s="64">
        <f t="shared" ref="N279:Q279" si="1549">N277/(1+$C$317)^N278</f>
        <v>1238.0734970215797</v>
      </c>
      <c r="O279" s="64">
        <f t="shared" si="1549"/>
        <v>629.0546327878377</v>
      </c>
      <c r="P279" s="64">
        <f t="shared" si="1549"/>
        <v>915.36673620623287</v>
      </c>
      <c r="Q279" s="64">
        <f t="shared" si="1549"/>
        <v>420.33444379123688</v>
      </c>
      <c r="R279" s="65">
        <f>SUM(N279:Q279)</f>
        <v>3202.8293098068871</v>
      </c>
      <c r="S279" s="64">
        <f t="shared" ref="S279" si="1550">S277/(1+$C$317)^S278</f>
        <v>1101.473630016686</v>
      </c>
      <c r="T279" s="64">
        <f t="shared" ref="T279" si="1551">T277/(1+$C$317)^T278</f>
        <v>542.39084613305056</v>
      </c>
      <c r="U279" s="64">
        <f t="shared" ref="U279" si="1552">U277/(1+$C$317)^U278</f>
        <v>752.30251368423717</v>
      </c>
      <c r="V279" s="64">
        <f t="shared" ref="V279" si="1553">V277/(1+$C$317)^V278</f>
        <v>474.6071202467848</v>
      </c>
      <c r="W279" s="65">
        <f>SUM(S279:V279)</f>
        <v>2870.7741100807584</v>
      </c>
      <c r="X279" s="64">
        <f t="shared" ref="X279" si="1554">X277/(1+$C$317)^X278</f>
        <v>1227.9494882158958</v>
      </c>
      <c r="Y279" s="64">
        <f t="shared" ref="Y279" si="1555">Y277/(1+$C$317)^Y278</f>
        <v>546.06239087272456</v>
      </c>
      <c r="Z279" s="64">
        <f t="shared" ref="Z279" si="1556">Z277/(1+$C$317)^Z278</f>
        <v>752.28753196676928</v>
      </c>
      <c r="AA279" s="64">
        <f t="shared" ref="AA279" si="1557">AA277/(1+$C$317)^AA278</f>
        <v>477.1533546501779</v>
      </c>
      <c r="AB279" s="65">
        <f>SUM(X279:AA279)</f>
        <v>3003.4527657055673</v>
      </c>
      <c r="AC279" s="64">
        <f t="shared" ref="AC279" si="1558">AC277/(1+$C$317)^AC278</f>
        <v>1205.9376304209361</v>
      </c>
      <c r="AD279" s="64">
        <f t="shared" ref="AD279" si="1559">AD277/(1+$C$317)^AD278</f>
        <v>539.90540647933847</v>
      </c>
      <c r="AE279" s="64">
        <f t="shared" ref="AE279" si="1560">AE277/(1+$C$317)^AE278</f>
        <v>745.4185637157633</v>
      </c>
      <c r="AF279" s="64">
        <f t="shared" ref="AF279" si="1561">AF277/(1+$C$317)^AF278</f>
        <v>478.3682892328801</v>
      </c>
      <c r="AG279" s="65">
        <f>SUM(AC279:AF279)</f>
        <v>2969.6298898489181</v>
      </c>
      <c r="AH279" s="64">
        <f t="shared" ref="AH279" si="1562">AH277/(1+$C$317)^AH278</f>
        <v>1104.7185093772091</v>
      </c>
      <c r="AI279" s="64">
        <f t="shared" ref="AI279" si="1563">AI277/(1+$C$317)^AI278</f>
        <v>492.94930622887432</v>
      </c>
      <c r="AJ279" s="64">
        <f t="shared" ref="AJ279" si="1564">AJ277/(1+$C$317)^AJ278</f>
        <v>680.12500793253207</v>
      </c>
      <c r="AK279" s="64">
        <f t="shared" ref="AK279" si="1565">AK277/(1+$C$317)^AK278</f>
        <v>440.19625075638299</v>
      </c>
      <c r="AL279" s="65">
        <f>SUM(AH279:AK279)</f>
        <v>2717.9890742949983</v>
      </c>
    </row>
    <row r="280" spans="1:38" outlineLevel="1" x14ac:dyDescent="0.2">
      <c r="A280" s="137"/>
      <c r="B280" s="46" t="s">
        <v>39</v>
      </c>
      <c r="C280" s="56"/>
      <c r="D280" s="14"/>
      <c r="E280" s="14"/>
      <c r="F280" s="14"/>
      <c r="G280" s="14"/>
      <c r="H280" s="15"/>
      <c r="I280" s="14"/>
      <c r="J280" s="14"/>
      <c r="K280" s="14"/>
      <c r="L280" s="14"/>
      <c r="M280" s="15"/>
      <c r="N280" s="14"/>
      <c r="O280" s="14"/>
      <c r="P280" s="14"/>
      <c r="Q280" s="14"/>
      <c r="R280" s="15"/>
      <c r="S280" s="14"/>
      <c r="T280" s="14"/>
      <c r="U280" s="14"/>
      <c r="V280" s="14"/>
      <c r="W280" s="15"/>
      <c r="X280" s="14"/>
      <c r="Y280" s="14"/>
      <c r="Z280" s="14"/>
      <c r="AA280" s="14"/>
      <c r="AB280" s="15"/>
      <c r="AC280" s="14"/>
      <c r="AD280" s="14"/>
      <c r="AE280" s="14"/>
      <c r="AF280" s="14"/>
      <c r="AG280" s="15"/>
      <c r="AH280" s="14"/>
      <c r="AI280" s="14"/>
      <c r="AJ280" s="14"/>
      <c r="AK280" s="14"/>
      <c r="AL280" s="15"/>
    </row>
    <row r="281" spans="1:38" outlineLevel="1" x14ac:dyDescent="0.2">
      <c r="A281" s="137"/>
      <c r="B281" s="50" t="s">
        <v>210</v>
      </c>
      <c r="C281" s="51"/>
      <c r="D281" s="24">
        <f t="shared" ref="D281:M281" si="1566">+D184+D185+D190</f>
        <v>5256.8</v>
      </c>
      <c r="E281" s="24">
        <f t="shared" si="1566"/>
        <v>2383.6000000000004</v>
      </c>
      <c r="F281" s="24">
        <f t="shared" si="1566"/>
        <v>5058.1000000000022</v>
      </c>
      <c r="G281" s="24">
        <f t="shared" si="1566"/>
        <v>2977.1000000000022</v>
      </c>
      <c r="H281" s="25">
        <f t="shared" si="1566"/>
        <v>2977.1000000000022</v>
      </c>
      <c r="I281" s="24">
        <f t="shared" si="1566"/>
        <v>3308.7000000000039</v>
      </c>
      <c r="J281" s="24">
        <f t="shared" si="1566"/>
        <v>2824.0000000000032</v>
      </c>
      <c r="K281" s="24">
        <f t="shared" si="1566"/>
        <v>4419.2000000000035</v>
      </c>
      <c r="L281" s="24">
        <f t="shared" ref="L281:N281" si="1567">+L184+L185+L190</f>
        <v>3873.7516986328046</v>
      </c>
      <c r="M281" s="25">
        <f t="shared" si="1566"/>
        <v>3873.7516986328046</v>
      </c>
      <c r="N281" s="24">
        <f t="shared" si="1567"/>
        <v>3999.7740629867963</v>
      </c>
      <c r="O281" s="24">
        <f t="shared" ref="O281:R281" si="1568">+O184+O185+O190</f>
        <v>3541.9247828681796</v>
      </c>
      <c r="P281" s="24">
        <f t="shared" si="1568"/>
        <v>3406.0068161381587</v>
      </c>
      <c r="Q281" s="24">
        <f t="shared" si="1568"/>
        <v>2713.1068541162481</v>
      </c>
      <c r="R281" s="25">
        <f t="shared" si="1568"/>
        <v>2713.1068541162481</v>
      </c>
      <c r="S281" s="24">
        <f t="shared" ref="S281:W281" si="1569">+S184+S185+S190</f>
        <v>2959.3795566167796</v>
      </c>
      <c r="T281" s="24">
        <f t="shared" si="1569"/>
        <v>2628.3738162318054</v>
      </c>
      <c r="U281" s="24">
        <f t="shared" si="1569"/>
        <v>2556.8116739480142</v>
      </c>
      <c r="V281" s="24">
        <f t="shared" si="1569"/>
        <v>2129.8564174391545</v>
      </c>
      <c r="W281" s="25">
        <f t="shared" si="1569"/>
        <v>2129.8564174391545</v>
      </c>
      <c r="X281" s="24">
        <f t="shared" ref="X281:AB281" si="1570">+X184+X185+X190</f>
        <v>2609.1077121744297</v>
      </c>
      <c r="Y281" s="24">
        <f t="shared" si="1570"/>
        <v>2317.1676842754105</v>
      </c>
      <c r="Z281" s="24">
        <f t="shared" si="1570"/>
        <v>2302.074861061652</v>
      </c>
      <c r="AA281" s="24">
        <f t="shared" si="1570"/>
        <v>1906.3970680784137</v>
      </c>
      <c r="AB281" s="25">
        <f t="shared" si="1570"/>
        <v>1906.3970680784137</v>
      </c>
      <c r="AC281" s="24">
        <f t="shared" ref="AC281:AG281" si="1571">+AC184+AC185+AC190</f>
        <v>2329.2115385441498</v>
      </c>
      <c r="AD281" s="24">
        <f t="shared" si="1571"/>
        <v>1937.7226611480164</v>
      </c>
      <c r="AE281" s="24">
        <f t="shared" si="1571"/>
        <v>1845.2478372385424</v>
      </c>
      <c r="AF281" s="24">
        <f t="shared" si="1571"/>
        <v>1353.5301886139955</v>
      </c>
      <c r="AG281" s="25">
        <f t="shared" si="1571"/>
        <v>1353.5301886139955</v>
      </c>
      <c r="AH281" s="24">
        <f t="shared" ref="AH281:AL281" si="1572">+AH184+AH185+AH190</f>
        <v>1526.0357506124294</v>
      </c>
      <c r="AI281" s="24">
        <f t="shared" si="1572"/>
        <v>820.14995663019965</v>
      </c>
      <c r="AJ281" s="24">
        <f t="shared" si="1572"/>
        <v>438.26267777650742</v>
      </c>
      <c r="AK281" s="24">
        <f t="shared" si="1572"/>
        <v>-362.45642748905402</v>
      </c>
      <c r="AL281" s="25">
        <f t="shared" si="1572"/>
        <v>-362.45642748905402</v>
      </c>
    </row>
    <row r="282" spans="1:38" outlineLevel="1" x14ac:dyDescent="0.2">
      <c r="A282" s="137"/>
      <c r="B282" s="50" t="s">
        <v>50</v>
      </c>
      <c r="C282" s="51"/>
      <c r="D282" s="24">
        <f t="shared" ref="D282:M282" si="1573">D206+D209</f>
        <v>9130.7000000000007</v>
      </c>
      <c r="E282" s="24">
        <f t="shared" si="1573"/>
        <v>9216.5</v>
      </c>
      <c r="F282" s="24">
        <f t="shared" si="1573"/>
        <v>11159.1</v>
      </c>
      <c r="G282" s="24">
        <f t="shared" si="1573"/>
        <v>11167</v>
      </c>
      <c r="H282" s="25">
        <f t="shared" si="1573"/>
        <v>11167</v>
      </c>
      <c r="I282" s="24">
        <f t="shared" si="1573"/>
        <v>11649.800000000001</v>
      </c>
      <c r="J282" s="24">
        <f t="shared" si="1573"/>
        <v>14015.2</v>
      </c>
      <c r="K282" s="24">
        <f t="shared" si="1573"/>
        <v>16831.7</v>
      </c>
      <c r="L282" s="24">
        <f t="shared" ref="L282:N282" si="1574">L206+L209</f>
        <v>16394.7</v>
      </c>
      <c r="M282" s="25">
        <f t="shared" si="1573"/>
        <v>16394.7</v>
      </c>
      <c r="N282" s="24">
        <f t="shared" si="1574"/>
        <v>15957.7</v>
      </c>
      <c r="O282" s="24">
        <f t="shared" ref="O282:R282" si="1575">O206+O209</f>
        <v>15520.7</v>
      </c>
      <c r="P282" s="24">
        <f t="shared" si="1575"/>
        <v>15083.7</v>
      </c>
      <c r="Q282" s="24">
        <f t="shared" si="1575"/>
        <v>14645.6</v>
      </c>
      <c r="R282" s="25">
        <f t="shared" si="1575"/>
        <v>14645.6</v>
      </c>
      <c r="S282" s="24">
        <f t="shared" ref="S282:W282" si="1576">S206+S209</f>
        <v>14395.6</v>
      </c>
      <c r="T282" s="24">
        <f t="shared" si="1576"/>
        <v>14145.6</v>
      </c>
      <c r="U282" s="24">
        <f t="shared" si="1576"/>
        <v>13895.6</v>
      </c>
      <c r="V282" s="24">
        <f t="shared" si="1576"/>
        <v>13645.6</v>
      </c>
      <c r="W282" s="25">
        <f t="shared" si="1576"/>
        <v>13645.6</v>
      </c>
      <c r="X282" s="24">
        <f t="shared" ref="X282:AB282" si="1577">X206+X209</f>
        <v>13395.6</v>
      </c>
      <c r="Y282" s="24">
        <f t="shared" si="1577"/>
        <v>13145.6</v>
      </c>
      <c r="Z282" s="24">
        <f t="shared" si="1577"/>
        <v>12895.6</v>
      </c>
      <c r="AA282" s="24">
        <f t="shared" si="1577"/>
        <v>12645.6</v>
      </c>
      <c r="AB282" s="25">
        <f t="shared" si="1577"/>
        <v>12645.6</v>
      </c>
      <c r="AC282" s="24">
        <f t="shared" ref="AC282:AG282" si="1578">AC206+AC209</f>
        <v>12259.6</v>
      </c>
      <c r="AD282" s="24">
        <f t="shared" si="1578"/>
        <v>11874.6</v>
      </c>
      <c r="AE282" s="24">
        <f t="shared" si="1578"/>
        <v>11488.6</v>
      </c>
      <c r="AF282" s="24">
        <f t="shared" si="1578"/>
        <v>11102.6</v>
      </c>
      <c r="AG282" s="25">
        <f t="shared" si="1578"/>
        <v>11102.6</v>
      </c>
      <c r="AH282" s="24">
        <f t="shared" ref="AH282:AL282" si="1579">AH206+AH209</f>
        <v>10352.6</v>
      </c>
      <c r="AI282" s="24">
        <f t="shared" si="1579"/>
        <v>9602.6</v>
      </c>
      <c r="AJ282" s="24">
        <f t="shared" si="1579"/>
        <v>8852.6</v>
      </c>
      <c r="AK282" s="24">
        <f t="shared" si="1579"/>
        <v>8102.6</v>
      </c>
      <c r="AL282" s="25">
        <f t="shared" si="1579"/>
        <v>8102.6</v>
      </c>
    </row>
    <row r="283" spans="1:38" outlineLevel="1" x14ac:dyDescent="0.2">
      <c r="A283" s="137"/>
      <c r="B283" s="327" t="s">
        <v>51</v>
      </c>
      <c r="C283" s="328"/>
      <c r="D283" s="47">
        <f t="shared" ref="D283:M283" si="1580">(D281-D282)/D39</f>
        <v>-3.0907132599329823</v>
      </c>
      <c r="E283" s="47">
        <f t="shared" si="1580"/>
        <v>-5.4632605740785154</v>
      </c>
      <c r="F283" s="47">
        <f t="shared" si="1580"/>
        <v>-4.9885527391659839</v>
      </c>
      <c r="G283" s="47">
        <f t="shared" si="1580"/>
        <v>-6.6975821179389685</v>
      </c>
      <c r="H283" s="48">
        <f t="shared" si="1580"/>
        <v>-6.6411774245864397</v>
      </c>
      <c r="I283" s="47">
        <f t="shared" si="1580"/>
        <v>-7.0034424853064623</v>
      </c>
      <c r="J283" s="47">
        <f t="shared" si="1580"/>
        <v>-9.4784449902600123</v>
      </c>
      <c r="K283" s="47">
        <f t="shared" si="1580"/>
        <v>-10.62259306803594</v>
      </c>
      <c r="L283" s="47">
        <f t="shared" ref="L283:N283" si="1581">(L281-L282)/L39</f>
        <v>-10.751876743133277</v>
      </c>
      <c r="M283" s="48">
        <f t="shared" si="1580"/>
        <v>-10.427155356656828</v>
      </c>
      <c r="N283" s="47">
        <f t="shared" si="1581"/>
        <v>-10.359423985212565</v>
      </c>
      <c r="O283" s="47">
        <f t="shared" ref="O283:R283" si="1582">(O281-O282)/O39</f>
        <v>-10.449168486214921</v>
      </c>
      <c r="P283" s="47">
        <f t="shared" si="1582"/>
        <v>-10.264377226153199</v>
      </c>
      <c r="Q283" s="47">
        <f t="shared" si="1582"/>
        <v>-10.558367679748294</v>
      </c>
      <c r="R283" s="48">
        <f t="shared" si="1582"/>
        <v>-10.443129116259389</v>
      </c>
      <c r="S283" s="47">
        <f t="shared" ref="S283:W283" si="1583">(S281-S282)/S39</f>
        <v>-10.195193684681769</v>
      </c>
      <c r="T283" s="47">
        <f t="shared" si="1583"/>
        <v>-10.341175553270691</v>
      </c>
      <c r="U283" s="47">
        <f t="shared" si="1583"/>
        <v>-10.254997280111491</v>
      </c>
      <c r="V283" s="47">
        <f t="shared" si="1583"/>
        <v>-10.489819658351108</v>
      </c>
      <c r="W283" s="48">
        <f t="shared" si="1583"/>
        <v>-10.373075017300652</v>
      </c>
      <c r="X283" s="47">
        <f t="shared" ref="X283:AB283" si="1584">(X281-X282)/X39</f>
        <v>-9.8973235843798708</v>
      </c>
      <c r="Y283" s="47">
        <f t="shared" si="1584"/>
        <v>-10.007906127623198</v>
      </c>
      <c r="Z283" s="47">
        <f t="shared" si="1584"/>
        <v>-9.8620246046221034</v>
      </c>
      <c r="AA283" s="47">
        <f t="shared" si="1584"/>
        <v>-10.070381255798351</v>
      </c>
      <c r="AB283" s="48">
        <f t="shared" si="1584"/>
        <v>-9.9573253773360815</v>
      </c>
      <c r="AC283" s="47">
        <f t="shared" ref="AC283:AG283" si="1585">(AC281-AC282)/AC39</f>
        <v>-9.3799116980794182</v>
      </c>
      <c r="AD283" s="47">
        <f t="shared" si="1585"/>
        <v>-9.454541128348529</v>
      </c>
      <c r="AE283" s="47">
        <f t="shared" si="1585"/>
        <v>-9.2423226080428247</v>
      </c>
      <c r="AF283" s="47">
        <f t="shared" si="1585"/>
        <v>-9.4120144129915886</v>
      </c>
      <c r="AG283" s="48">
        <f t="shared" si="1585"/>
        <v>-9.3059041263983353</v>
      </c>
      <c r="AH283" s="47">
        <f t="shared" ref="AH283:AL283" si="1586">(AH281-AH282)/AH39</f>
        <v>-8.5838472856895009</v>
      </c>
      <c r="AI283" s="47">
        <f t="shared" si="1586"/>
        <v>-8.6035961871131423</v>
      </c>
      <c r="AJ283" s="47">
        <f t="shared" si="1586"/>
        <v>-8.3035225699569271</v>
      </c>
      <c r="AK283" s="47">
        <f t="shared" si="1586"/>
        <v>-8.4150054553252591</v>
      </c>
      <c r="AL283" s="48">
        <f t="shared" si="1586"/>
        <v>-8.3198953779378098</v>
      </c>
    </row>
    <row r="284" spans="1:38" x14ac:dyDescent="0.2">
      <c r="A284" s="137"/>
      <c r="B284" s="322"/>
      <c r="C284" s="322"/>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row>
    <row r="285" spans="1:38" ht="16" x14ac:dyDescent="0.2">
      <c r="A285" s="137"/>
      <c r="B285" s="314" t="s">
        <v>22</v>
      </c>
      <c r="C285" s="315"/>
      <c r="D285" s="21" t="s">
        <v>59</v>
      </c>
      <c r="E285" s="21" t="s">
        <v>212</v>
      </c>
      <c r="F285" s="21" t="s">
        <v>214</v>
      </c>
      <c r="G285" s="21" t="s">
        <v>73</v>
      </c>
      <c r="H285" s="66" t="s">
        <v>73</v>
      </c>
      <c r="I285" s="21" t="s">
        <v>74</v>
      </c>
      <c r="J285" s="21" t="s">
        <v>75</v>
      </c>
      <c r="K285" s="21" t="s">
        <v>76</v>
      </c>
      <c r="L285" s="23" t="s">
        <v>77</v>
      </c>
      <c r="M285" s="68" t="s">
        <v>77</v>
      </c>
      <c r="N285" s="23" t="s">
        <v>78</v>
      </c>
      <c r="O285" s="23" t="s">
        <v>79</v>
      </c>
      <c r="P285" s="23" t="s">
        <v>80</v>
      </c>
      <c r="Q285" s="23" t="s">
        <v>81</v>
      </c>
      <c r="R285" s="68" t="s">
        <v>81</v>
      </c>
      <c r="S285" s="23" t="s">
        <v>82</v>
      </c>
      <c r="T285" s="23" t="s">
        <v>83</v>
      </c>
      <c r="U285" s="23" t="s">
        <v>84</v>
      </c>
      <c r="V285" s="23" t="s">
        <v>85</v>
      </c>
      <c r="W285" s="68" t="s">
        <v>85</v>
      </c>
      <c r="X285" s="23" t="s">
        <v>86</v>
      </c>
      <c r="Y285" s="23" t="s">
        <v>87</v>
      </c>
      <c r="Z285" s="23" t="s">
        <v>88</v>
      </c>
      <c r="AA285" s="23" t="s">
        <v>89</v>
      </c>
      <c r="AB285" s="68" t="s">
        <v>89</v>
      </c>
      <c r="AC285" s="23" t="s">
        <v>216</v>
      </c>
      <c r="AD285" s="23" t="s">
        <v>217</v>
      </c>
      <c r="AE285" s="23" t="s">
        <v>218</v>
      </c>
      <c r="AF285" s="23" t="s">
        <v>219</v>
      </c>
      <c r="AG285" s="68" t="s">
        <v>219</v>
      </c>
      <c r="AH285" s="23" t="s">
        <v>249</v>
      </c>
      <c r="AI285" s="23" t="s">
        <v>250</v>
      </c>
      <c r="AJ285" s="23" t="s">
        <v>251</v>
      </c>
      <c r="AK285" s="23" t="s">
        <v>252</v>
      </c>
      <c r="AL285" s="68" t="s">
        <v>252</v>
      </c>
    </row>
    <row r="286" spans="1:38" ht="18" x14ac:dyDescent="0.35">
      <c r="A286" s="137"/>
      <c r="B286" s="306"/>
      <c r="C286" s="307"/>
      <c r="D286" s="22" t="s">
        <v>72</v>
      </c>
      <c r="E286" s="22" t="s">
        <v>211</v>
      </c>
      <c r="F286" s="22" t="s">
        <v>215</v>
      </c>
      <c r="G286" s="22" t="s">
        <v>225</v>
      </c>
      <c r="H286" s="67" t="s">
        <v>226</v>
      </c>
      <c r="I286" s="22" t="s">
        <v>227</v>
      </c>
      <c r="J286" s="22" t="s">
        <v>228</v>
      </c>
      <c r="K286" s="22" t="s">
        <v>229</v>
      </c>
      <c r="L286" s="20" t="s">
        <v>90</v>
      </c>
      <c r="M286" s="69" t="s">
        <v>91</v>
      </c>
      <c r="N286" s="20" t="s">
        <v>92</v>
      </c>
      <c r="O286" s="20" t="s">
        <v>93</v>
      </c>
      <c r="P286" s="20" t="s">
        <v>94</v>
      </c>
      <c r="Q286" s="20" t="s">
        <v>95</v>
      </c>
      <c r="R286" s="69" t="s">
        <v>96</v>
      </c>
      <c r="S286" s="20" t="s">
        <v>97</v>
      </c>
      <c r="T286" s="20" t="s">
        <v>98</v>
      </c>
      <c r="U286" s="20" t="s">
        <v>99</v>
      </c>
      <c r="V286" s="20" t="s">
        <v>100</v>
      </c>
      <c r="W286" s="69" t="s">
        <v>101</v>
      </c>
      <c r="X286" s="20" t="s">
        <v>102</v>
      </c>
      <c r="Y286" s="20" t="s">
        <v>103</v>
      </c>
      <c r="Z286" s="20" t="s">
        <v>104</v>
      </c>
      <c r="AA286" s="20" t="s">
        <v>105</v>
      </c>
      <c r="AB286" s="69" t="s">
        <v>106</v>
      </c>
      <c r="AC286" s="20" t="s">
        <v>220</v>
      </c>
      <c r="AD286" s="20" t="s">
        <v>221</v>
      </c>
      <c r="AE286" s="20" t="s">
        <v>222</v>
      </c>
      <c r="AF286" s="20" t="s">
        <v>223</v>
      </c>
      <c r="AG286" s="69" t="s">
        <v>224</v>
      </c>
      <c r="AH286" s="20" t="s">
        <v>253</v>
      </c>
      <c r="AI286" s="20" t="s">
        <v>254</v>
      </c>
      <c r="AJ286" s="20" t="s">
        <v>255</v>
      </c>
      <c r="AK286" s="20" t="s">
        <v>256</v>
      </c>
      <c r="AL286" s="69" t="s">
        <v>257</v>
      </c>
    </row>
    <row r="287" spans="1:38" ht="18" outlineLevel="1" x14ac:dyDescent="0.35">
      <c r="A287" s="137"/>
      <c r="B287" s="304" t="s">
        <v>53</v>
      </c>
      <c r="C287" s="305"/>
      <c r="D287" s="9"/>
      <c r="E287" s="9"/>
      <c r="F287" s="9"/>
      <c r="G287" s="9"/>
      <c r="H287" s="10"/>
      <c r="I287" s="9"/>
      <c r="J287" s="9"/>
      <c r="K287" s="9"/>
      <c r="L287" s="276"/>
      <c r="M287" s="277"/>
      <c r="N287" s="276"/>
      <c r="O287" s="276"/>
      <c r="P287" s="276"/>
      <c r="Q287" s="276"/>
      <c r="R287" s="277"/>
      <c r="S287" s="276"/>
      <c r="T287" s="276"/>
      <c r="U287" s="276"/>
      <c r="V287" s="276"/>
      <c r="W287" s="277"/>
      <c r="X287" s="276"/>
      <c r="Y287" s="276"/>
      <c r="Z287" s="276"/>
      <c r="AA287" s="276"/>
      <c r="AB287" s="277"/>
      <c r="AC287" s="276"/>
      <c r="AD287" s="276"/>
      <c r="AE287" s="276"/>
      <c r="AF287" s="276"/>
      <c r="AG287" s="277"/>
      <c r="AH287" s="276"/>
      <c r="AI287" s="276"/>
      <c r="AJ287" s="276"/>
      <c r="AK287" s="276"/>
      <c r="AL287" s="277"/>
    </row>
    <row r="288" spans="1:38" s="33" customFormat="1" outlineLevel="1" x14ac:dyDescent="0.2">
      <c r="A288" s="196"/>
      <c r="B288" s="50" t="s">
        <v>56</v>
      </c>
      <c r="C288" s="51"/>
      <c r="D288" s="38">
        <f t="shared" ref="D288:M288" si="1587">D247/D16</f>
        <v>1.4669742337208073E-2</v>
      </c>
      <c r="E288" s="194">
        <f t="shared" si="1587"/>
        <v>1.5033540018078308E-2</v>
      </c>
      <c r="F288" s="162">
        <f t="shared" si="1587"/>
        <v>9.2774439396160081E-3</v>
      </c>
      <c r="G288" s="162">
        <f t="shared" si="1587"/>
        <v>7.7960575070401619E-3</v>
      </c>
      <c r="H288" s="195">
        <f t="shared" si="1587"/>
        <v>1.1618870857004896E-2</v>
      </c>
      <c r="I288" s="162">
        <f t="shared" si="1587"/>
        <v>1.2723506784461259E-2</v>
      </c>
      <c r="J288" s="162">
        <f t="shared" si="1587"/>
        <v>9.3900628783961833E-3</v>
      </c>
      <c r="K288" s="162">
        <f t="shared" si="1587"/>
        <v>9.8055470026763899E-3</v>
      </c>
      <c r="L288" s="646">
        <f>K288</f>
        <v>9.8055470026763899E-3</v>
      </c>
      <c r="M288" s="195">
        <f t="shared" si="1587"/>
        <v>1.0586223325441287E-2</v>
      </c>
      <c r="N288" s="646">
        <f>L288</f>
        <v>9.8055470026763899E-3</v>
      </c>
      <c r="O288" s="646">
        <f>N288</f>
        <v>9.8055470026763899E-3</v>
      </c>
      <c r="P288" s="646">
        <f>O288</f>
        <v>9.8055470026763899E-3</v>
      </c>
      <c r="Q288" s="646">
        <f>P288</f>
        <v>9.8055470026763899E-3</v>
      </c>
      <c r="R288" s="195">
        <f t="shared" ref="R288" si="1588">R247/R16</f>
        <v>9.8055470026763899E-3</v>
      </c>
      <c r="S288" s="646">
        <f>Q288</f>
        <v>9.8055470026763899E-3</v>
      </c>
      <c r="T288" s="646">
        <f>S288</f>
        <v>9.8055470026763899E-3</v>
      </c>
      <c r="U288" s="646">
        <f>T288</f>
        <v>9.8055470026763899E-3</v>
      </c>
      <c r="V288" s="646">
        <f>U288</f>
        <v>9.8055470026763899E-3</v>
      </c>
      <c r="W288" s="195">
        <f t="shared" ref="W288" si="1589">W247/W16</f>
        <v>9.8055470026763916E-3</v>
      </c>
      <c r="X288" s="646">
        <f>V288</f>
        <v>9.8055470026763899E-3</v>
      </c>
      <c r="Y288" s="646">
        <f>X288</f>
        <v>9.8055470026763899E-3</v>
      </c>
      <c r="Z288" s="646">
        <f>Y288</f>
        <v>9.8055470026763899E-3</v>
      </c>
      <c r="AA288" s="646">
        <f>Z288</f>
        <v>9.8055470026763899E-3</v>
      </c>
      <c r="AB288" s="195">
        <f t="shared" ref="AB288" si="1590">AB247/AB16</f>
        <v>9.8055470026763882E-3</v>
      </c>
      <c r="AC288" s="646">
        <f>AA288</f>
        <v>9.8055470026763899E-3</v>
      </c>
      <c r="AD288" s="646">
        <f>AC288</f>
        <v>9.8055470026763899E-3</v>
      </c>
      <c r="AE288" s="646">
        <f>AD288</f>
        <v>9.8055470026763899E-3</v>
      </c>
      <c r="AF288" s="646">
        <f>AE288</f>
        <v>9.8055470026763899E-3</v>
      </c>
      <c r="AG288" s="195">
        <f t="shared" ref="AG288" si="1591">AG247/AG16</f>
        <v>9.8055470026763899E-3</v>
      </c>
      <c r="AH288" s="646">
        <f>AF288</f>
        <v>9.8055470026763899E-3</v>
      </c>
      <c r="AI288" s="646">
        <f>AH288</f>
        <v>9.8055470026763899E-3</v>
      </c>
      <c r="AJ288" s="646">
        <f>AI288</f>
        <v>9.8055470026763899E-3</v>
      </c>
      <c r="AK288" s="646">
        <f>AJ288</f>
        <v>9.8055470026763899E-3</v>
      </c>
      <c r="AL288" s="195">
        <f t="shared" ref="AL288" si="1592">AL247/AL16</f>
        <v>9.8055470026763899E-3</v>
      </c>
    </row>
    <row r="289" spans="1:38" s="33" customFormat="1" outlineLevel="1" x14ac:dyDescent="0.2">
      <c r="A289" s="196"/>
      <c r="B289" s="50" t="s">
        <v>199</v>
      </c>
      <c r="C289" s="51"/>
      <c r="D289" s="38">
        <f>+D245/-D244</f>
        <v>1.1581818181818182</v>
      </c>
      <c r="E289" s="38">
        <f>+E245/-E244</f>
        <v>0.55639097744360888</v>
      </c>
      <c r="F289" s="162">
        <f t="shared" ref="F289:M289" si="1593">+F245/-F244</f>
        <v>1.0682852807283763</v>
      </c>
      <c r="G289" s="162">
        <f t="shared" si="1593"/>
        <v>0.69411764705882406</v>
      </c>
      <c r="H289" s="195">
        <f t="shared" si="1593"/>
        <v>0.86512370311252995</v>
      </c>
      <c r="I289" s="162">
        <f t="shared" si="1593"/>
        <v>1.0222575516693164</v>
      </c>
      <c r="J289" s="162">
        <f t="shared" si="1593"/>
        <v>0.63295880149812733</v>
      </c>
      <c r="K289" s="162">
        <f>+K245/-K244</f>
        <v>1.0227272727272729</v>
      </c>
      <c r="L289" s="646">
        <v>1</v>
      </c>
      <c r="M289" s="195">
        <f t="shared" si="1593"/>
        <v>0.9352273829147677</v>
      </c>
      <c r="N289" s="646">
        <v>1</v>
      </c>
      <c r="O289" s="646">
        <v>1</v>
      </c>
      <c r="P289" s="646">
        <v>1</v>
      </c>
      <c r="Q289" s="646">
        <v>1</v>
      </c>
      <c r="R289" s="195">
        <f t="shared" ref="R289" si="1594">+R245/-R244</f>
        <v>1</v>
      </c>
      <c r="S289" s="646">
        <v>1</v>
      </c>
      <c r="T289" s="646">
        <v>1</v>
      </c>
      <c r="U289" s="646">
        <v>1</v>
      </c>
      <c r="V289" s="646">
        <v>1</v>
      </c>
      <c r="W289" s="195">
        <f t="shared" ref="W289" si="1595">+W245/-W244</f>
        <v>1</v>
      </c>
      <c r="X289" s="646">
        <v>1</v>
      </c>
      <c r="Y289" s="646">
        <v>1</v>
      </c>
      <c r="Z289" s="646">
        <v>1</v>
      </c>
      <c r="AA289" s="646">
        <v>1</v>
      </c>
      <c r="AB289" s="195">
        <f t="shared" ref="AB289" si="1596">+AB245/-AB244</f>
        <v>1</v>
      </c>
      <c r="AC289" s="646">
        <v>1</v>
      </c>
      <c r="AD289" s="646">
        <v>1</v>
      </c>
      <c r="AE289" s="646">
        <v>1</v>
      </c>
      <c r="AF289" s="646">
        <v>1</v>
      </c>
      <c r="AG289" s="195">
        <f t="shared" ref="AG289" si="1597">+AG245/-AG244</f>
        <v>1</v>
      </c>
      <c r="AH289" s="646">
        <v>1</v>
      </c>
      <c r="AI289" s="646">
        <v>1</v>
      </c>
      <c r="AJ289" s="646">
        <v>1</v>
      </c>
      <c r="AK289" s="646">
        <v>1</v>
      </c>
      <c r="AL289" s="195">
        <f t="shared" ref="AL289" si="1598">+AL245/-AL244</f>
        <v>1</v>
      </c>
    </row>
    <row r="290" spans="1:38" s="33" customFormat="1" outlineLevel="1" x14ac:dyDescent="0.2">
      <c r="A290" s="196"/>
      <c r="B290" s="310" t="s">
        <v>42</v>
      </c>
      <c r="C290" s="311"/>
      <c r="D290" s="40"/>
      <c r="E290" s="40"/>
      <c r="F290" s="40"/>
      <c r="G290" s="40"/>
      <c r="H290" s="45"/>
      <c r="I290" s="40">
        <f t="shared" ref="I290:K290" si="1599">I257/D257-1</f>
        <v>-0.22820512820512895</v>
      </c>
      <c r="J290" s="40">
        <f t="shared" si="1599"/>
        <v>-4.4869364754098413</v>
      </c>
      <c r="K290" s="40">
        <f t="shared" si="1599"/>
        <v>-1.314434752864716</v>
      </c>
      <c r="L290" s="278">
        <f t="shared" ref="L290:N290" si="1600">L257/G257-1</f>
        <v>-0.26686390968835694</v>
      </c>
      <c r="M290" s="355">
        <f t="shared" si="1600"/>
        <v>-0.81781130958126169</v>
      </c>
      <c r="N290" s="355">
        <f t="shared" si="1600"/>
        <v>-0.13929578296984713</v>
      </c>
      <c r="O290" s="357">
        <f t="shared" ref="O290" si="1601">O257/J257-1</f>
        <v>-1.6850458219336804</v>
      </c>
      <c r="P290" s="357">
        <f t="shared" ref="P290" si="1602">P257/K257-1</f>
        <v>-4.1661657810753434</v>
      </c>
      <c r="Q290" s="356">
        <f t="shared" ref="Q290:R290" si="1603">Q257/L257-1</f>
        <v>-8.0850864483887119E-2</v>
      </c>
      <c r="R290" s="355">
        <f t="shared" si="1603"/>
        <v>3.8111518368653803</v>
      </c>
      <c r="S290" s="355">
        <f t="shared" ref="S290" si="1604">S257/N257-1</f>
        <v>7.1799370392406914E-3</v>
      </c>
      <c r="T290" s="357">
        <f t="shared" ref="T290" si="1605">T257/O257-1</f>
        <v>7.0284871147512362E-3</v>
      </c>
      <c r="U290" s="357">
        <f t="shared" ref="U290" si="1606">U257/P257-1</f>
        <v>-5.4612451131393458E-2</v>
      </c>
      <c r="V290" s="356">
        <f t="shared" ref="V290:W290" si="1607">V257/Q257-1</f>
        <v>0.20205982511977716</v>
      </c>
      <c r="W290" s="355">
        <f t="shared" si="1607"/>
        <v>2.3780623675790258E-2</v>
      </c>
      <c r="X290" s="355">
        <f t="shared" ref="X290" si="1608">X257/S257-1</f>
        <v>0.18844053664962002</v>
      </c>
      <c r="Y290" s="357">
        <f t="shared" ref="Y290" si="1609">Y257/T257-1</f>
        <v>0.10146362501429129</v>
      </c>
      <c r="Z290" s="357">
        <f t="shared" ref="Z290" si="1610">Z257/U257-1</f>
        <v>9.5494976786156371E-2</v>
      </c>
      <c r="AA290" s="356">
        <f t="shared" ref="AA290:AB290" si="1611">AA257/V257-1</f>
        <v>0.1009710281975893</v>
      </c>
      <c r="AB290" s="355">
        <f t="shared" si="1611"/>
        <v>0.13048297258150154</v>
      </c>
      <c r="AC290" s="355">
        <f t="shared" ref="AC290" si="1612">AC257/X257-1</f>
        <v>7.4477662191665406E-2</v>
      </c>
      <c r="AD290" s="357">
        <f t="shared" ref="AD290" si="1613">AD257/Y257-1</f>
        <v>8.602562885601861E-2</v>
      </c>
      <c r="AE290" s="357">
        <f t="shared" ref="AE290" si="1614">AE257/Z257-1</f>
        <v>8.6752395409911642E-2</v>
      </c>
      <c r="AF290" s="356">
        <f t="shared" ref="AF290:AG290" si="1615">AF257/AA257-1</f>
        <v>9.8519096992145672E-2</v>
      </c>
      <c r="AG290" s="355">
        <f t="shared" si="1615"/>
        <v>8.434164993244897E-2</v>
      </c>
      <c r="AH290" s="355">
        <f t="shared" ref="AH290" si="1616">AH257/AC257-1</f>
        <v>8.5050188992688458E-2</v>
      </c>
      <c r="AI290" s="357">
        <f t="shared" ref="AI290" si="1617">AI257/AD257-1</f>
        <v>9.0129923974622939E-2</v>
      </c>
      <c r="AJ290" s="357">
        <f t="shared" ref="AJ290" si="1618">AJ257/AE257-1</f>
        <v>8.9641839386931821E-2</v>
      </c>
      <c r="AK290" s="356">
        <f t="shared" ref="AK290:AL290" si="1619">AK257/AF257-1</f>
        <v>0.10136832190511513</v>
      </c>
      <c r="AL290" s="355">
        <f t="shared" si="1619"/>
        <v>9.0352547313242049E-2</v>
      </c>
    </row>
    <row r="291" spans="1:38" outlineLevel="1" x14ac:dyDescent="0.2">
      <c r="A291" s="137"/>
      <c r="B291" s="59" t="s">
        <v>54</v>
      </c>
      <c r="C291" s="123"/>
      <c r="D291" s="38">
        <f t="shared" ref="D291:M291" si="1620">-D260/D16</f>
        <v>6.5041385860961587E-2</v>
      </c>
      <c r="E291" s="38">
        <f t="shared" si="1620"/>
        <v>6.5684517673924428E-2</v>
      </c>
      <c r="F291" s="162">
        <f t="shared" si="1620"/>
        <v>6.3769602814011436E-2</v>
      </c>
      <c r="G291" s="162">
        <f t="shared" si="1620"/>
        <v>7.7945753668297008E-2</v>
      </c>
      <c r="H291" s="192">
        <f t="shared" si="1620"/>
        <v>6.8151467825535855E-2</v>
      </c>
      <c r="I291" s="193">
        <f t="shared" si="1620"/>
        <v>5.555790393259219E-2</v>
      </c>
      <c r="J291" s="171">
        <f t="shared" si="1620"/>
        <v>6.0710175625865198E-2</v>
      </c>
      <c r="K291" s="171">
        <f t="shared" si="1620"/>
        <v>9.0026290234717338E-2</v>
      </c>
      <c r="L291" s="647">
        <v>0.06</v>
      </c>
      <c r="M291" s="192">
        <f t="shared" si="1620"/>
        <v>6.4264038793087896E-2</v>
      </c>
      <c r="N291" s="648">
        <v>0.06</v>
      </c>
      <c r="O291" s="647">
        <v>0.06</v>
      </c>
      <c r="P291" s="647">
        <v>0.06</v>
      </c>
      <c r="Q291" s="647">
        <v>0.06</v>
      </c>
      <c r="R291" s="192">
        <f t="shared" ref="R291" si="1621">-R260/R16</f>
        <v>5.9999999999999991E-2</v>
      </c>
      <c r="S291" s="648">
        <v>0.06</v>
      </c>
      <c r="T291" s="647">
        <v>0.06</v>
      </c>
      <c r="U291" s="647">
        <v>0.06</v>
      </c>
      <c r="V291" s="647">
        <v>0.06</v>
      </c>
      <c r="W291" s="192">
        <f t="shared" ref="W291" si="1622">-W260/W16</f>
        <v>0.06</v>
      </c>
      <c r="X291" s="648">
        <v>0.06</v>
      </c>
      <c r="Y291" s="647">
        <v>0.06</v>
      </c>
      <c r="Z291" s="647">
        <v>0.06</v>
      </c>
      <c r="AA291" s="647">
        <v>0.06</v>
      </c>
      <c r="AB291" s="649">
        <f t="shared" ref="AB291" si="1623">-AB260/AB16</f>
        <v>5.9999999999999991E-2</v>
      </c>
      <c r="AC291" s="648">
        <v>0.06</v>
      </c>
      <c r="AD291" s="647">
        <v>0.06</v>
      </c>
      <c r="AE291" s="647">
        <v>0.06</v>
      </c>
      <c r="AF291" s="647">
        <v>0.06</v>
      </c>
      <c r="AG291" s="649">
        <f t="shared" ref="AG291" si="1624">-AG260/AG16</f>
        <v>6.0000000000000005E-2</v>
      </c>
      <c r="AH291" s="648">
        <v>0.06</v>
      </c>
      <c r="AI291" s="647">
        <v>0.06</v>
      </c>
      <c r="AJ291" s="647">
        <v>0.06</v>
      </c>
      <c r="AK291" s="647">
        <v>0.06</v>
      </c>
      <c r="AL291" s="649">
        <f t="shared" ref="AL291" si="1625">-AL260/AL16</f>
        <v>0.06</v>
      </c>
    </row>
    <row r="292" spans="1:38" ht="18" x14ac:dyDescent="0.35">
      <c r="A292" s="137"/>
      <c r="B292" s="12"/>
      <c r="C292" s="12"/>
      <c r="D292" s="19"/>
      <c r="E292" s="19"/>
      <c r="F292" s="19"/>
      <c r="G292" s="19"/>
      <c r="H292" s="18"/>
      <c r="I292" s="19"/>
      <c r="J292" s="19"/>
      <c r="K292" s="19"/>
      <c r="L292" s="279"/>
      <c r="M292" s="280"/>
      <c r="N292" s="279"/>
      <c r="O292" s="279"/>
      <c r="P292" s="279"/>
      <c r="Q292" s="279"/>
      <c r="R292" s="280"/>
      <c r="S292" s="279"/>
      <c r="T292" s="279"/>
      <c r="U292" s="279"/>
      <c r="V292" s="279"/>
      <c r="W292" s="280"/>
      <c r="X292" s="279"/>
      <c r="Y292" s="279"/>
      <c r="Z292" s="279"/>
      <c r="AA292" s="279"/>
      <c r="AB292" s="280"/>
      <c r="AC292" s="279"/>
      <c r="AD292" s="279"/>
      <c r="AE292" s="279"/>
      <c r="AF292" s="279"/>
      <c r="AG292" s="280"/>
      <c r="AH292" s="279"/>
      <c r="AI292" s="279"/>
      <c r="AJ292" s="279"/>
      <c r="AK292" s="279"/>
      <c r="AL292" s="280"/>
    </row>
    <row r="294" spans="1:38" x14ac:dyDescent="0.2">
      <c r="B294" s="699" t="s">
        <v>289</v>
      </c>
      <c r="C294" s="700"/>
      <c r="K294" s="382"/>
      <c r="L294" s="382"/>
      <c r="N294" s="383"/>
      <c r="O294" s="382"/>
      <c r="P294" s="382"/>
      <c r="Q294" s="382"/>
      <c r="S294" s="383"/>
      <c r="T294" s="382"/>
      <c r="U294" s="382"/>
      <c r="V294" s="382"/>
      <c r="X294" s="383"/>
      <c r="Y294" s="382"/>
      <c r="Z294" s="382"/>
      <c r="AA294" s="382"/>
    </row>
    <row r="295" spans="1:38" x14ac:dyDescent="0.2">
      <c r="B295" s="359" t="s">
        <v>290</v>
      </c>
      <c r="C295" s="394">
        <f>PEs!H62</f>
        <v>37.41757682621531</v>
      </c>
      <c r="N295" s="3"/>
      <c r="O295" s="3"/>
    </row>
    <row r="296" spans="1:38" x14ac:dyDescent="0.2">
      <c r="B296" s="359" t="s">
        <v>291</v>
      </c>
      <c r="C296" s="394">
        <f>PEs!H63</f>
        <v>40.52678526785715</v>
      </c>
      <c r="P296" s="1"/>
      <c r="Q296" s="1"/>
    </row>
    <row r="297" spans="1:38" x14ac:dyDescent="0.2">
      <c r="B297" s="359" t="s">
        <v>292</v>
      </c>
      <c r="C297" s="394">
        <f>PEs!H64</f>
        <v>33.842340990990998</v>
      </c>
      <c r="L297" s="384"/>
      <c r="N297" s="384"/>
      <c r="O297" s="384"/>
      <c r="P297" s="384"/>
      <c r="Q297" s="384"/>
    </row>
    <row r="298" spans="1:38" x14ac:dyDescent="0.2">
      <c r="B298" s="359" t="s">
        <v>293</v>
      </c>
      <c r="C298" s="395">
        <f>PEs!J62</f>
        <v>30.929375907421097</v>
      </c>
      <c r="L298" s="385"/>
      <c r="N298" s="385"/>
      <c r="O298" s="385"/>
      <c r="P298" s="385"/>
      <c r="Q298" s="385"/>
    </row>
    <row r="299" spans="1:38" x14ac:dyDescent="0.2">
      <c r="B299" s="359" t="s">
        <v>294</v>
      </c>
      <c r="C299" s="361">
        <v>0</v>
      </c>
    </row>
    <row r="300" spans="1:38" x14ac:dyDescent="0.2">
      <c r="B300" s="362" t="s">
        <v>295</v>
      </c>
      <c r="C300" s="363">
        <f>C298*R42</f>
        <v>76.498751357201598</v>
      </c>
    </row>
    <row r="301" spans="1:38" x14ac:dyDescent="0.2">
      <c r="B301" s="2" t="s">
        <v>574</v>
      </c>
      <c r="C301" s="387">
        <f>C304-C327</f>
        <v>5.0807802537633506E-4</v>
      </c>
    </row>
    <row r="302" spans="1:38" x14ac:dyDescent="0.2">
      <c r="B302" s="699" t="s">
        <v>296</v>
      </c>
      <c r="C302" s="700"/>
    </row>
    <row r="303" spans="1:38" x14ac:dyDescent="0.2">
      <c r="B303" s="367" t="s">
        <v>297</v>
      </c>
      <c r="C303" s="26"/>
    </row>
    <row r="304" spans="1:38" x14ac:dyDescent="0.2">
      <c r="B304" s="359" t="s">
        <v>319</v>
      </c>
      <c r="C304" s="368">
        <v>64.055884647582687</v>
      </c>
    </row>
    <row r="305" spans="2:3" x14ac:dyDescent="0.2">
      <c r="B305" s="359" t="s">
        <v>298</v>
      </c>
      <c r="C305" s="375">
        <f>K39</f>
        <v>1168.5</v>
      </c>
    </row>
    <row r="306" spans="2:3" x14ac:dyDescent="0.2">
      <c r="B306" s="369" t="s">
        <v>299</v>
      </c>
      <c r="C306" s="693">
        <f>C305*C304</f>
        <v>74849.301210700374</v>
      </c>
    </row>
    <row r="307" spans="2:3" x14ac:dyDescent="0.2">
      <c r="B307" s="358" t="s">
        <v>300</v>
      </c>
      <c r="C307" s="386">
        <v>1.0715868899282599</v>
      </c>
    </row>
    <row r="308" spans="2:3" x14ac:dyDescent="0.2">
      <c r="B308" s="359" t="s">
        <v>320</v>
      </c>
      <c r="C308" s="381">
        <f>'Constant Sharpe'!E73</f>
        <v>0.34481121670378745</v>
      </c>
    </row>
    <row r="309" spans="2:3" x14ac:dyDescent="0.2">
      <c r="B309" s="359" t="s">
        <v>301</v>
      </c>
      <c r="C309" s="376">
        <f>'Constant Sharpe'!J12/100</f>
        <v>0.24915649086282904</v>
      </c>
    </row>
    <row r="310" spans="2:3" x14ac:dyDescent="0.2">
      <c r="B310" s="369" t="s">
        <v>302</v>
      </c>
      <c r="C310" s="377">
        <f>C309*C308</f>
        <v>8.5911952764058178E-2</v>
      </c>
    </row>
    <row r="311" spans="2:3" x14ac:dyDescent="0.2">
      <c r="B311" s="359" t="s">
        <v>303</v>
      </c>
      <c r="C311" s="376">
        <f>'Constant Sharpe'!O12</f>
        <v>6.0000000000000001E-3</v>
      </c>
    </row>
    <row r="312" spans="2:3" x14ac:dyDescent="0.2">
      <c r="B312" s="372" t="s">
        <v>304</v>
      </c>
      <c r="C312" s="378">
        <f>C311+C307*C310</f>
        <v>9.8062122270100679E-2</v>
      </c>
    </row>
    <row r="313" spans="2:3" x14ac:dyDescent="0.2">
      <c r="B313" s="359" t="s">
        <v>305</v>
      </c>
      <c r="C313" s="370">
        <f>C306/(C306+K206+K209)</f>
        <v>0.81641016374463926</v>
      </c>
    </row>
    <row r="314" spans="2:3" x14ac:dyDescent="0.2">
      <c r="B314" s="359" t="s">
        <v>306</v>
      </c>
      <c r="C314" s="370">
        <f>K152*4</f>
        <v>3.1328917978792031E-2</v>
      </c>
    </row>
    <row r="315" spans="2:3" x14ac:dyDescent="0.2">
      <c r="B315" s="359" t="s">
        <v>2</v>
      </c>
      <c r="C315" s="376">
        <f>$R$150</f>
        <v>0.19500000000000001</v>
      </c>
    </row>
    <row r="316" spans="2:3" x14ac:dyDescent="0.2">
      <c r="B316" s="359" t="s">
        <v>307</v>
      </c>
      <c r="C316" s="370">
        <f>C314*(1-C315)</f>
        <v>2.5219778972927584E-2</v>
      </c>
    </row>
    <row r="317" spans="2:3" x14ac:dyDescent="0.2">
      <c r="B317" s="369" t="s">
        <v>308</v>
      </c>
      <c r="C317" s="380">
        <f>(C313*C312)+((1-C313)*C316)</f>
        <v>8.4689008391715906E-2</v>
      </c>
    </row>
    <row r="318" spans="2:3" x14ac:dyDescent="0.2">
      <c r="B318" s="373" t="s">
        <v>309</v>
      </c>
      <c r="C318" s="379"/>
    </row>
    <row r="319" spans="2:3" x14ac:dyDescent="0.2">
      <c r="B319" s="359" t="s">
        <v>310</v>
      </c>
      <c r="C319" s="376">
        <v>5.5E-2</v>
      </c>
    </row>
    <row r="320" spans="2:3" x14ac:dyDescent="0.2">
      <c r="B320" s="359" t="s">
        <v>311</v>
      </c>
      <c r="C320" s="376">
        <v>5.5E-2</v>
      </c>
    </row>
    <row r="321" spans="2:3" x14ac:dyDescent="0.2">
      <c r="B321" s="359" t="s">
        <v>312</v>
      </c>
      <c r="C321" s="376">
        <v>0.05</v>
      </c>
    </row>
    <row r="322" spans="2:3" x14ac:dyDescent="0.2">
      <c r="B322" s="359" t="s">
        <v>313</v>
      </c>
      <c r="C322" s="376">
        <f>(C313*(0.062+(0.85*(0.312*0.19))))+((1-C313)*C316)</f>
        <v>9.6384800574968676E-2</v>
      </c>
    </row>
    <row r="323" spans="2:3" x14ac:dyDescent="0.2">
      <c r="B323" s="369" t="s">
        <v>314</v>
      </c>
      <c r="C323" s="360"/>
    </row>
    <row r="324" spans="2:3" x14ac:dyDescent="0.2">
      <c r="B324" s="359" t="s">
        <v>315</v>
      </c>
      <c r="C324" s="694">
        <f>((((AL257*(1+C320))-(C321*AL16*(1+C319))+(C316*(AL206+AL209))))/(C322-C319))/(1+$C$322)^5</f>
        <v>72496.532371790585</v>
      </c>
    </row>
    <row r="325" spans="2:3" x14ac:dyDescent="0.2">
      <c r="B325" s="359" t="s">
        <v>316</v>
      </c>
      <c r="C325" s="694">
        <f>R279+W279+AB279+AG279+AL279</f>
        <v>14764.67514973713</v>
      </c>
    </row>
    <row r="326" spans="2:3" ht="18" x14ac:dyDescent="0.35">
      <c r="B326" s="359" t="s">
        <v>317</v>
      </c>
      <c r="C326" s="371">
        <f>+K283</f>
        <v>-10.62259306803594</v>
      </c>
    </row>
    <row r="327" spans="2:3" x14ac:dyDescent="0.2">
      <c r="B327" s="362" t="s">
        <v>318</v>
      </c>
      <c r="C327" s="777">
        <f>(C324+C325)/C305+C326</f>
        <v>64.055376569557311</v>
      </c>
    </row>
    <row r="329" spans="2:3" x14ac:dyDescent="0.2">
      <c r="B329" s="699" t="s">
        <v>321</v>
      </c>
      <c r="C329" s="700"/>
    </row>
    <row r="330" spans="2:3" x14ac:dyDescent="0.2">
      <c r="B330" s="392" t="s">
        <v>322</v>
      </c>
      <c r="C330" s="689">
        <f>'Std Dev'!E17</f>
        <v>-1.2922113843220997E-2</v>
      </c>
    </row>
    <row r="331" spans="2:3" x14ac:dyDescent="0.2">
      <c r="B331" s="43" t="s">
        <v>323</v>
      </c>
      <c r="C331" s="690">
        <f>'Std Dev'!G20</f>
        <v>7.8710018493084066E-2</v>
      </c>
    </row>
    <row r="332" spans="2:3" x14ac:dyDescent="0.2">
      <c r="B332" s="43" t="s">
        <v>324</v>
      </c>
      <c r="C332" s="691">
        <f>AVERAGE(C327,C300)</f>
        <v>70.277063963379447</v>
      </c>
    </row>
    <row r="333" spans="2:3" x14ac:dyDescent="0.2">
      <c r="B333" s="43" t="s">
        <v>325</v>
      </c>
      <c r="C333" s="691">
        <f>C332*(1+(C330+(2*C331)))</f>
        <v>80.431953750671823</v>
      </c>
    </row>
    <row r="334" spans="2:3" x14ac:dyDescent="0.2">
      <c r="B334" s="393" t="s">
        <v>326</v>
      </c>
      <c r="C334" s="692">
        <f>C332*(1+(C330-(2*C331)))</f>
        <v>58.305917733882836</v>
      </c>
    </row>
  </sheetData>
  <dataConsolidate/>
  <mergeCells count="119">
    <mergeCell ref="B264:C264"/>
    <mergeCell ref="B171:C171"/>
    <mergeCell ref="B178:C178"/>
    <mergeCell ref="B168:C168"/>
    <mergeCell ref="B169:C169"/>
    <mergeCell ref="B227:C227"/>
    <mergeCell ref="B228:C228"/>
    <mergeCell ref="B46:C46"/>
    <mergeCell ref="B45:C45"/>
    <mergeCell ref="B56:C56"/>
    <mergeCell ref="B101:C101"/>
    <mergeCell ref="B102:C102"/>
    <mergeCell ref="B80:C80"/>
    <mergeCell ref="B81:C81"/>
    <mergeCell ref="B89:C89"/>
    <mergeCell ref="B92:C92"/>
    <mergeCell ref="B96:C96"/>
    <mergeCell ref="B97:C97"/>
    <mergeCell ref="B214:C214"/>
    <mergeCell ref="B213:C213"/>
    <mergeCell ref="B201:C201"/>
    <mergeCell ref="B200:C200"/>
    <mergeCell ref="B198:C198"/>
    <mergeCell ref="B64:C64"/>
    <mergeCell ref="B217:C217"/>
    <mergeCell ref="B216:C216"/>
    <mergeCell ref="B215:C215"/>
    <mergeCell ref="B68:C68"/>
    <mergeCell ref="B69:C69"/>
    <mergeCell ref="B48:C48"/>
    <mergeCell ref="B59:C59"/>
    <mergeCell ref="B63:C63"/>
    <mergeCell ref="B131:C131"/>
    <mergeCell ref="B117:C117"/>
    <mergeCell ref="B128:C128"/>
    <mergeCell ref="B129:C129"/>
    <mergeCell ref="B115:C115"/>
    <mergeCell ref="B114:C114"/>
    <mergeCell ref="B257:C257"/>
    <mergeCell ref="B252:C252"/>
    <mergeCell ref="B253:C253"/>
    <mergeCell ref="B250:C250"/>
    <mergeCell ref="B249:C249"/>
    <mergeCell ref="B238:C238"/>
    <mergeCell ref="B230:C230"/>
    <mergeCell ref="B229:C229"/>
    <mergeCell ref="B226:C226"/>
    <mergeCell ref="B256:C256"/>
    <mergeCell ref="B4:C4"/>
    <mergeCell ref="B5:C5"/>
    <mergeCell ref="B12:C12"/>
    <mergeCell ref="B41:C41"/>
    <mergeCell ref="B40:C40"/>
    <mergeCell ref="B39:C39"/>
    <mergeCell ref="B38:C38"/>
    <mergeCell ref="B33:C33"/>
    <mergeCell ref="B16:C16"/>
    <mergeCell ref="B32:C32"/>
    <mergeCell ref="B31:C31"/>
    <mergeCell ref="B13:C13"/>
    <mergeCell ref="B14:C14"/>
    <mergeCell ref="B15:C15"/>
    <mergeCell ref="B17:C17"/>
    <mergeCell ref="B24:C24"/>
    <mergeCell ref="B146:C146"/>
    <mergeCell ref="B11:C11"/>
    <mergeCell ref="B184:C184"/>
    <mergeCell ref="B183:C183"/>
    <mergeCell ref="B181:C181"/>
    <mergeCell ref="B225:C225"/>
    <mergeCell ref="B219:C219"/>
    <mergeCell ref="B2:C2"/>
    <mergeCell ref="B274:C274"/>
    <mergeCell ref="B272:C272"/>
    <mergeCell ref="B271:C271"/>
    <mergeCell ref="B290:C290"/>
    <mergeCell ref="B287:C287"/>
    <mergeCell ref="B286:C286"/>
    <mergeCell ref="B285:C285"/>
    <mergeCell ref="B284:C284"/>
    <mergeCell ref="B279:C279"/>
    <mergeCell ref="B277:C277"/>
    <mergeCell ref="B283:C283"/>
    <mergeCell ref="B276:C276"/>
    <mergeCell ref="B275:C275"/>
    <mergeCell ref="B161:C161"/>
    <mergeCell ref="B160:C160"/>
    <mergeCell ref="B260:C260"/>
    <mergeCell ref="B222:C222"/>
    <mergeCell ref="B197:C197"/>
    <mergeCell ref="B3:C3"/>
    <mergeCell ref="B162:C162"/>
    <mergeCell ref="B163:C163"/>
    <mergeCell ref="B164:C164"/>
    <mergeCell ref="B261:C261"/>
    <mergeCell ref="A11:A12"/>
    <mergeCell ref="B47:C47"/>
    <mergeCell ref="B263:C263"/>
    <mergeCell ref="B262:C262"/>
    <mergeCell ref="B240:C240"/>
    <mergeCell ref="B223:C223"/>
    <mergeCell ref="B220:C220"/>
    <mergeCell ref="B158:C158"/>
    <mergeCell ref="B157:C157"/>
    <mergeCell ref="B150:C150"/>
    <mergeCell ref="B152:C152"/>
    <mergeCell ref="B140:C140"/>
    <mergeCell ref="B212:C212"/>
    <mergeCell ref="B149:C149"/>
    <mergeCell ref="B159:C159"/>
    <mergeCell ref="B148:C148"/>
    <mergeCell ref="B151:C151"/>
    <mergeCell ref="B156:C156"/>
    <mergeCell ref="B188:C188"/>
    <mergeCell ref="B186:C186"/>
    <mergeCell ref="B147:C147"/>
    <mergeCell ref="B231:C231"/>
    <mergeCell ref="B258:C258"/>
    <mergeCell ref="B199:C199"/>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workbookViewId="0"/>
  </sheetViews>
  <sheetFormatPr baseColWidth="10" defaultColWidth="8.83203125" defaultRowHeight="15" x14ac:dyDescent="0.2"/>
  <cols>
    <col min="1" max="1" width="1.33203125" customWidth="1"/>
    <col min="2" max="2" width="12.33203125" customWidth="1"/>
    <col min="4" max="4" width="9.5" customWidth="1"/>
    <col min="7" max="7" width="9.5" bestFit="1" customWidth="1"/>
  </cols>
  <sheetData>
    <row r="1" spans="2:7" x14ac:dyDescent="0.2">
      <c r="B1" t="s">
        <v>327</v>
      </c>
    </row>
    <row r="2" spans="2:7" x14ac:dyDescent="0.2">
      <c r="B2" t="s">
        <v>328</v>
      </c>
    </row>
    <row r="3" spans="2:7" ht="30" x14ac:dyDescent="0.2">
      <c r="B3" s="396" t="s">
        <v>329</v>
      </c>
      <c r="C3" s="396" t="s">
        <v>330</v>
      </c>
      <c r="D3" s="396" t="s">
        <v>331</v>
      </c>
      <c r="E3" s="396" t="s">
        <v>332</v>
      </c>
      <c r="F3" s="396" t="s">
        <v>333</v>
      </c>
      <c r="G3" s="396" t="s">
        <v>334</v>
      </c>
    </row>
    <row r="4" spans="2:7" x14ac:dyDescent="0.2">
      <c r="B4" s="397">
        <v>43677</v>
      </c>
      <c r="C4" s="398">
        <v>92.400169000000005</v>
      </c>
      <c r="D4" s="399"/>
      <c r="E4" s="400"/>
      <c r="F4" s="401"/>
      <c r="G4" s="402"/>
    </row>
    <row r="5" spans="2:7" x14ac:dyDescent="0.2">
      <c r="B5" s="397">
        <v>43707</v>
      </c>
      <c r="C5" s="398">
        <v>94.582076999999998</v>
      </c>
      <c r="D5" s="365">
        <v>2.3613679754200367E-2</v>
      </c>
      <c r="E5" s="366">
        <f>+C5/C4-1</f>
        <v>2.3613679754200367E-2</v>
      </c>
      <c r="F5" s="403">
        <f t="shared" ref="F5:F16" si="0">E5-$E$17</f>
        <v>3.6535793597421366E-2</v>
      </c>
      <c r="G5" s="404">
        <f>F5^2</f>
        <v>1.3348642137933761E-3</v>
      </c>
    </row>
    <row r="6" spans="2:7" x14ac:dyDescent="0.2">
      <c r="B6" s="397">
        <v>43738</v>
      </c>
      <c r="C6" s="398">
        <v>86.608810000000005</v>
      </c>
      <c r="D6" s="365">
        <v>-8.429997789115995E-2</v>
      </c>
      <c r="E6" s="366">
        <f>+C6/C5-1</f>
        <v>-8.429997789115995E-2</v>
      </c>
      <c r="F6" s="403">
        <f t="shared" si="0"/>
        <v>-7.1377864047938958E-2</v>
      </c>
      <c r="G6" s="404">
        <f>F6^2</f>
        <v>5.0947994760460564E-3</v>
      </c>
    </row>
    <row r="7" spans="2:7" x14ac:dyDescent="0.2">
      <c r="B7" s="397">
        <v>43769</v>
      </c>
      <c r="C7" s="398">
        <v>82.827881000000005</v>
      </c>
      <c r="D7" s="365">
        <v>-4.3655247081676785E-2</v>
      </c>
      <c r="E7" s="366">
        <f t="shared" ref="E7:E16" si="1">+C7/C6-1</f>
        <v>-4.3655247081676785E-2</v>
      </c>
      <c r="F7" s="403">
        <f t="shared" si="0"/>
        <v>-3.0733133238455786E-2</v>
      </c>
      <c r="G7" s="404">
        <f t="shared" ref="G7:G15" si="2">F7^2</f>
        <v>9.4452547865267586E-4</v>
      </c>
    </row>
    <row r="8" spans="2:7" x14ac:dyDescent="0.2">
      <c r="B8" s="397">
        <v>43798</v>
      </c>
      <c r="C8" s="405">
        <v>84.098358000000005</v>
      </c>
      <c r="D8" s="365">
        <v>1.5338760145270358E-2</v>
      </c>
      <c r="E8" s="366">
        <f t="shared" si="1"/>
        <v>1.5338760145270358E-2</v>
      </c>
      <c r="F8" s="403">
        <f t="shared" si="0"/>
        <v>2.8260873988491357E-2</v>
      </c>
      <c r="G8" s="404">
        <f t="shared" si="2"/>
        <v>7.9867699859338735E-4</v>
      </c>
    </row>
    <row r="9" spans="2:7" x14ac:dyDescent="0.2">
      <c r="B9" s="397">
        <v>43830</v>
      </c>
      <c r="C9" s="405">
        <v>86.549553000000003</v>
      </c>
      <c r="D9" s="365">
        <v>2.9146764078318954E-2</v>
      </c>
      <c r="E9" s="366">
        <f t="shared" si="1"/>
        <v>2.9146764078318954E-2</v>
      </c>
      <c r="F9" s="403">
        <f t="shared" si="0"/>
        <v>4.2068877921539953E-2</v>
      </c>
      <c r="G9" s="404">
        <f t="shared" si="2"/>
        <v>1.7697904895774318E-3</v>
      </c>
    </row>
    <row r="10" spans="2:7" x14ac:dyDescent="0.2">
      <c r="B10" s="397">
        <v>43861</v>
      </c>
      <c r="C10" s="405">
        <v>83.507712999999995</v>
      </c>
      <c r="D10" s="365">
        <v>-3.5145646563882416E-2</v>
      </c>
      <c r="E10" s="366">
        <f t="shared" si="1"/>
        <v>-3.5145646563882416E-2</v>
      </c>
      <c r="F10" s="403">
        <f t="shared" si="0"/>
        <v>-2.2223532720661417E-2</v>
      </c>
      <c r="G10" s="404">
        <f t="shared" si="2"/>
        <v>4.9388540658630868E-4</v>
      </c>
    </row>
    <row r="11" spans="2:7" x14ac:dyDescent="0.2">
      <c r="B11" s="397">
        <v>43889</v>
      </c>
      <c r="C11" s="405">
        <v>77.567307</v>
      </c>
      <c r="D11" s="365">
        <v>-7.1136015903105809E-2</v>
      </c>
      <c r="E11" s="366">
        <f t="shared" si="1"/>
        <v>-7.1136015903105809E-2</v>
      </c>
      <c r="F11" s="403">
        <f t="shared" si="0"/>
        <v>-5.821390205988481E-2</v>
      </c>
      <c r="G11" s="404">
        <f t="shared" si="2"/>
        <v>3.3888583930378612E-3</v>
      </c>
    </row>
    <row r="12" spans="2:7" x14ac:dyDescent="0.2">
      <c r="B12" s="397">
        <v>43921</v>
      </c>
      <c r="C12" s="405">
        <v>65.016891000000001</v>
      </c>
      <c r="D12" s="365">
        <v>-0.16180033167839636</v>
      </c>
      <c r="E12" s="366">
        <f t="shared" si="1"/>
        <v>-0.16180033167839636</v>
      </c>
      <c r="F12" s="403">
        <f t="shared" si="0"/>
        <v>-0.14887821783517535</v>
      </c>
      <c r="G12" s="404">
        <f t="shared" si="2"/>
        <v>2.2164723745777923E-2</v>
      </c>
    </row>
    <row r="13" spans="2:7" x14ac:dyDescent="0.2">
      <c r="B13" s="397">
        <v>43951</v>
      </c>
      <c r="C13" s="405">
        <v>75.886009000000001</v>
      </c>
      <c r="D13" s="365">
        <v>0.1671737579700634</v>
      </c>
      <c r="E13" s="366">
        <f t="shared" si="1"/>
        <v>0.1671737579700634</v>
      </c>
      <c r="F13" s="403">
        <f t="shared" si="0"/>
        <v>0.1800958718132844</v>
      </c>
      <c r="G13" s="404">
        <f t="shared" si="2"/>
        <v>3.2434523044186966E-2</v>
      </c>
    </row>
    <row r="14" spans="2:7" x14ac:dyDescent="0.2">
      <c r="B14" s="397">
        <v>43980</v>
      </c>
      <c r="C14" s="405">
        <v>77.568047000000007</v>
      </c>
      <c r="D14" s="365">
        <v>2.2165324308990986E-2</v>
      </c>
      <c r="E14" s="366">
        <f>+C14/C13-1</f>
        <v>2.2165324308990986E-2</v>
      </c>
      <c r="F14" s="403">
        <f t="shared" si="0"/>
        <v>3.5087438152211985E-2</v>
      </c>
      <c r="G14" s="404">
        <f t="shared" si="2"/>
        <v>1.2311283160853011E-3</v>
      </c>
    </row>
    <row r="15" spans="2:7" x14ac:dyDescent="0.2">
      <c r="B15" s="397">
        <v>44012</v>
      </c>
      <c r="C15" s="405">
        <v>73.191849000000005</v>
      </c>
      <c r="D15" s="365">
        <v>-5.6417534916149203E-2</v>
      </c>
      <c r="E15" s="366">
        <f t="shared" si="1"/>
        <v>-5.6417534916149203E-2</v>
      </c>
      <c r="F15" s="403">
        <f t="shared" si="0"/>
        <v>-4.3495421072928205E-2</v>
      </c>
      <c r="G15" s="404">
        <f t="shared" si="2"/>
        <v>1.8918516543113269E-3</v>
      </c>
    </row>
    <row r="16" spans="2:7" x14ac:dyDescent="0.2">
      <c r="B16" s="406">
        <v>44043</v>
      </c>
      <c r="C16" s="407">
        <v>76.115943999999999</v>
      </c>
      <c r="D16" s="408">
        <v>3.9951101658874499E-2</v>
      </c>
      <c r="E16" s="409">
        <f t="shared" si="1"/>
        <v>3.9951101658874499E-2</v>
      </c>
      <c r="F16" s="410">
        <f t="shared" si="0"/>
        <v>5.2873215502095498E-2</v>
      </c>
      <c r="G16" s="411">
        <f>F16^2</f>
        <v>2.7955769175310318E-3</v>
      </c>
    </row>
    <row r="17" spans="3:7" x14ac:dyDescent="0.2">
      <c r="C17" s="412"/>
      <c r="D17" s="413" t="s">
        <v>335</v>
      </c>
      <c r="E17" s="414">
        <f>AVERAGE(E5:E16)</f>
        <v>-1.2922113843220997E-2</v>
      </c>
      <c r="G17" s="415"/>
    </row>
    <row r="18" spans="3:7" x14ac:dyDescent="0.2">
      <c r="C18" s="412"/>
      <c r="F18" s="416" t="s">
        <v>336</v>
      </c>
      <c r="G18" s="417">
        <f>SUM(G5:G16)</f>
        <v>7.4343204134179636E-2</v>
      </c>
    </row>
    <row r="19" spans="3:7" x14ac:dyDescent="0.2">
      <c r="C19" s="412"/>
      <c r="F19" s="416" t="s">
        <v>337</v>
      </c>
      <c r="G19" s="418">
        <f>G18/12</f>
        <v>6.1952670111816363E-3</v>
      </c>
    </row>
    <row r="20" spans="3:7" x14ac:dyDescent="0.2">
      <c r="C20" s="412"/>
      <c r="E20" s="419"/>
      <c r="F20" s="420" t="s">
        <v>338</v>
      </c>
      <c r="G20" s="421">
        <f>SQRT(G19)</f>
        <v>7.8710018493084066E-2</v>
      </c>
    </row>
    <row r="21" spans="3:7" x14ac:dyDescent="0.2">
      <c r="C21" s="422"/>
      <c r="D21" s="423"/>
      <c r="E21" s="423"/>
      <c r="F21" s="424" t="s">
        <v>339</v>
      </c>
      <c r="G21" s="425">
        <f>_xlfn.STDEV.P(E5:E16)-G20</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120" zoomScaleNormal="120" workbookViewId="0"/>
  </sheetViews>
  <sheetFormatPr baseColWidth="10" defaultColWidth="8.83203125" defaultRowHeight="15" x14ac:dyDescent="0.2"/>
  <cols>
    <col min="1" max="1" width="12" customWidth="1"/>
    <col min="2" max="2" width="12" style="429" customWidth="1"/>
    <col min="3" max="3" width="12" customWidth="1"/>
    <col min="7" max="7" width="19" customWidth="1"/>
  </cols>
  <sheetData>
    <row r="1" spans="1:15" s="427" customFormat="1" ht="30" x14ac:dyDescent="0.2">
      <c r="A1" s="426" t="s">
        <v>329</v>
      </c>
      <c r="B1" s="426" t="s">
        <v>340</v>
      </c>
      <c r="C1" s="426" t="s">
        <v>341</v>
      </c>
      <c r="D1" s="426" t="s">
        <v>342</v>
      </c>
      <c r="E1" s="426" t="s">
        <v>343</v>
      </c>
      <c r="G1"/>
      <c r="H1"/>
      <c r="I1"/>
      <c r="J1"/>
      <c r="K1"/>
      <c r="L1"/>
      <c r="M1"/>
      <c r="N1"/>
      <c r="O1"/>
    </row>
    <row r="2" spans="1:15" x14ac:dyDescent="0.2">
      <c r="A2" s="428">
        <v>43770</v>
      </c>
      <c r="B2" s="429">
        <f>VLOOKUP(A2,[2]SBUX!$A$1:$B$3217,2,FALSE)</f>
        <v>81.505538999999999</v>
      </c>
      <c r="C2" s="364">
        <v>-3.8145921072951117E-2</v>
      </c>
      <c r="D2">
        <f>VLOOKUP(A2,'[2]S&amp;P500'!$A$1:$D$3740,4,FALSE)</f>
        <v>3066.91</v>
      </c>
      <c r="E2" s="365">
        <v>4.3077969560411544E-2</v>
      </c>
      <c r="G2" t="s">
        <v>344</v>
      </c>
    </row>
    <row r="3" spans="1:15" ht="16" thickBot="1" x14ac:dyDescent="0.25">
      <c r="A3" s="428">
        <v>43801</v>
      </c>
      <c r="B3" s="429">
        <f>VLOOKUP(A3,[2]SBUX!$A$1:$B$3217,2,FALSE)</f>
        <v>83.251761999999999</v>
      </c>
      <c r="C3" s="364">
        <f t="shared" ref="C3:C13" si="0">B3/B2-1</f>
        <v>2.1424592996066139E-2</v>
      </c>
      <c r="D3">
        <f>VLOOKUP(A3,'[2]S&amp;P500'!$A$1:$D$3740,4,FALSE)</f>
        <v>3113.87</v>
      </c>
      <c r="E3" s="365">
        <f t="shared" ref="E3:E13" si="1">D3/D2-1</f>
        <v>1.531182851795454E-2</v>
      </c>
    </row>
    <row r="4" spans="1:15" x14ac:dyDescent="0.2">
      <c r="A4" s="428">
        <v>43832</v>
      </c>
      <c r="B4" s="429">
        <f>VLOOKUP(A4,[2]SBUX!$A$1:$B$3217,2,FALSE)</f>
        <v>87.957260000000005</v>
      </c>
      <c r="C4" s="364">
        <f t="shared" si="0"/>
        <v>5.6521302215801761E-2</v>
      </c>
      <c r="D4">
        <f>VLOOKUP(A4,'[2]S&amp;P500'!$A$1:$D$3740,4,FALSE)</f>
        <v>3257.85</v>
      </c>
      <c r="E4" s="365">
        <f t="shared" si="1"/>
        <v>4.6238282266118924E-2</v>
      </c>
      <c r="G4" s="430" t="s">
        <v>345</v>
      </c>
      <c r="H4" s="430"/>
    </row>
    <row r="5" spans="1:15" x14ac:dyDescent="0.2">
      <c r="A5" s="428">
        <v>43864</v>
      </c>
      <c r="B5" s="429">
        <f>VLOOKUP(A5,[2]SBUX!$A$1:$B$3217,2,FALSE)</f>
        <v>84.669319000000002</v>
      </c>
      <c r="C5" s="364">
        <f t="shared" si="0"/>
        <v>-3.7381121240020465E-2</v>
      </c>
      <c r="D5">
        <f>VLOOKUP(A5,'[2]S&amp;P500'!$A$1:$D$3740,4,FALSE)</f>
        <v>3248.92</v>
      </c>
      <c r="E5" s="365">
        <f t="shared" si="1"/>
        <v>-2.7410715656029927E-3</v>
      </c>
      <c r="G5" s="431" t="s">
        <v>346</v>
      </c>
      <c r="H5" s="431">
        <v>0.88759717287646434</v>
      </c>
    </row>
    <row r="6" spans="1:15" x14ac:dyDescent="0.2">
      <c r="A6" s="428">
        <v>43893</v>
      </c>
      <c r="B6" s="429">
        <f>VLOOKUP(A6,[2]SBUX!$A$1:$B$3217,2,FALSE)</f>
        <v>77.735434999999995</v>
      </c>
      <c r="C6" s="364">
        <f t="shared" si="0"/>
        <v>-8.1893702251225164E-2</v>
      </c>
      <c r="D6">
        <f>VLOOKUP(A6,'[2]S&amp;P500'!$A$1:$D$3740,4,FALSE)</f>
        <v>3003.37</v>
      </c>
      <c r="E6" s="365">
        <f t="shared" si="1"/>
        <v>-7.5578961624170549E-2</v>
      </c>
      <c r="G6" s="431" t="s">
        <v>347</v>
      </c>
      <c r="H6" s="431">
        <v>0.78782874129829217</v>
      </c>
    </row>
    <row r="7" spans="1:15" x14ac:dyDescent="0.2">
      <c r="A7" s="428">
        <v>43922</v>
      </c>
      <c r="B7" s="429">
        <f>VLOOKUP(A7,[2]SBUX!$A$1:$B$3217,2,FALSE)</f>
        <v>61.93121</v>
      </c>
      <c r="C7" s="364">
        <f t="shared" si="0"/>
        <v>-0.20330786082305963</v>
      </c>
      <c r="D7">
        <f>VLOOKUP(A7,'[2]S&amp;P500'!$A$1:$D$3740,4,FALSE)</f>
        <v>2470.5</v>
      </c>
      <c r="E7" s="365">
        <f t="shared" si="1"/>
        <v>-0.17742402700965909</v>
      </c>
      <c r="G7" s="431" t="s">
        <v>348</v>
      </c>
      <c r="H7" s="431">
        <v>0.69691965038920134</v>
      </c>
    </row>
    <row r="8" spans="1:15" x14ac:dyDescent="0.2">
      <c r="A8" s="428">
        <v>43952</v>
      </c>
      <c r="B8" s="429">
        <f>VLOOKUP(A8,[2]SBUX!$A$1:$B$3217,2,FALSE)</f>
        <v>72.978347999999997</v>
      </c>
      <c r="C8" s="364">
        <f t="shared" si="0"/>
        <v>0.17837755793888088</v>
      </c>
      <c r="D8">
        <f>VLOOKUP(A8,'[2]S&amp;P500'!$A$1:$D$3740,4,FALSE)</f>
        <v>2830.71</v>
      </c>
      <c r="E8" s="365">
        <f t="shared" si="1"/>
        <v>0.14580449301760789</v>
      </c>
      <c r="G8" s="431" t="s">
        <v>349</v>
      </c>
      <c r="H8" s="431">
        <v>4.7232756084426383E-2</v>
      </c>
    </row>
    <row r="9" spans="1:15" ht="16" thickBot="1" x14ac:dyDescent="0.25">
      <c r="A9" s="428">
        <v>43983</v>
      </c>
      <c r="B9" s="429">
        <f>VLOOKUP(A9,[2]SBUX!$A$1:$B$3217,2,FALSE)</f>
        <v>77.896254999999996</v>
      </c>
      <c r="C9" s="364">
        <f t="shared" si="0"/>
        <v>6.7388576677564593E-2</v>
      </c>
      <c r="D9">
        <f>VLOOKUP(A9,'[2]S&amp;P500'!$A$1:$D$3740,4,FALSE)</f>
        <v>3055.73</v>
      </c>
      <c r="E9" s="365">
        <f t="shared" si="1"/>
        <v>7.9492424162135977E-2</v>
      </c>
      <c r="G9" s="432" t="s">
        <v>350</v>
      </c>
      <c r="H9" s="432">
        <v>12</v>
      </c>
    </row>
    <row r="10" spans="1:15" x14ac:dyDescent="0.2">
      <c r="A10" s="428">
        <v>44013</v>
      </c>
      <c r="B10" s="429">
        <f>VLOOKUP(A10,[2]SBUX!$A$1:$B$3217,2,FALSE)</f>
        <v>73.629470999999995</v>
      </c>
      <c r="C10" s="364">
        <f t="shared" si="0"/>
        <v>-5.4775213519571708E-2</v>
      </c>
      <c r="D10">
        <f>VLOOKUP(A10,'[2]S&amp;P500'!$A$1:$D$3740,4,FALSE)</f>
        <v>3115.86</v>
      </c>
      <c r="E10" s="365">
        <f t="shared" si="1"/>
        <v>1.9677785668236414E-2</v>
      </c>
    </row>
    <row r="11" spans="1:15" ht="16" thickBot="1" x14ac:dyDescent="0.25">
      <c r="A11" s="428">
        <v>44046</v>
      </c>
      <c r="B11" s="429">
        <f>VLOOKUP(A11,[2]SBUX!$A$1:$B$3217,2,FALSE)</f>
        <v>75.091515000000001</v>
      </c>
      <c r="C11" s="364">
        <f t="shared" si="0"/>
        <v>1.9856777186406882E-2</v>
      </c>
      <c r="D11">
        <f>VLOOKUP(A11,'[2]S&amp;P500'!$A$1:$D$3740,4,FALSE)</f>
        <v>3294.61</v>
      </c>
      <c r="E11" s="365">
        <f t="shared" si="1"/>
        <v>5.73677893101745E-2</v>
      </c>
      <c r="G11" t="s">
        <v>351</v>
      </c>
    </row>
    <row r="12" spans="1:15" x14ac:dyDescent="0.2">
      <c r="A12" s="428">
        <v>44075</v>
      </c>
      <c r="B12" s="429">
        <f>VLOOKUP(A12,[2]SBUX!$A$1:$B$3217,2,FALSE)</f>
        <v>86.050003000000004</v>
      </c>
      <c r="C12" s="364">
        <f t="shared" si="0"/>
        <v>0.14593510332026205</v>
      </c>
      <c r="D12">
        <f>VLOOKUP(A12,'[2]S&amp;P500'!$A$1:$D$3740,4,FALSE)</f>
        <v>3526.65</v>
      </c>
      <c r="E12" s="365">
        <f t="shared" si="1"/>
        <v>7.0430187488048634E-2</v>
      </c>
      <c r="G12" s="433"/>
      <c r="H12" s="433" t="s">
        <v>352</v>
      </c>
      <c r="I12" s="433" t="s">
        <v>353</v>
      </c>
      <c r="J12" s="433" t="s">
        <v>354</v>
      </c>
      <c r="K12" s="433" t="s">
        <v>355</v>
      </c>
      <c r="L12" s="433" t="s">
        <v>356</v>
      </c>
    </row>
    <row r="13" spans="1:15" x14ac:dyDescent="0.2">
      <c r="A13" s="428">
        <v>44105</v>
      </c>
      <c r="B13" s="429">
        <f>VLOOKUP(A13,[2]SBUX!$A$1:$B$3217,2,FALSE)</f>
        <v>86.739998</v>
      </c>
      <c r="C13" s="364">
        <f t="shared" si="0"/>
        <v>8.0185354554838106E-3</v>
      </c>
      <c r="D13">
        <f>VLOOKUP(A13,'[2]S&amp;P500'!$A$1:$D$3740,4,FALSE)</f>
        <v>3380.8</v>
      </c>
      <c r="E13" s="365">
        <f t="shared" si="1"/>
        <v>-4.135652814994395E-2</v>
      </c>
      <c r="G13" s="431" t="s">
        <v>357</v>
      </c>
      <c r="H13" s="431">
        <v>1</v>
      </c>
      <c r="I13" s="431">
        <v>9.1122269680261325E-2</v>
      </c>
      <c r="J13" s="431">
        <v>9.1122269680261325E-2</v>
      </c>
      <c r="K13" s="431">
        <v>40.844910886186199</v>
      </c>
      <c r="L13" s="431">
        <v>7.9233118365677941E-5</v>
      </c>
    </row>
    <row r="14" spans="1:15" x14ac:dyDescent="0.2">
      <c r="G14" s="431" t="s">
        <v>358</v>
      </c>
      <c r="H14" s="431">
        <v>11</v>
      </c>
      <c r="I14" s="431">
        <v>2.4540265720640095E-2</v>
      </c>
      <c r="J14" s="431">
        <v>2.2309332473309175E-3</v>
      </c>
      <c r="K14" s="431"/>
      <c r="L14" s="431"/>
    </row>
    <row r="15" spans="1:15" ht="16" thickBot="1" x14ac:dyDescent="0.25">
      <c r="G15" s="432" t="s">
        <v>359</v>
      </c>
      <c r="H15" s="432">
        <v>12</v>
      </c>
      <c r="I15" s="432">
        <v>0.11566253540090142</v>
      </c>
      <c r="J15" s="432"/>
      <c r="K15" s="432"/>
      <c r="L15" s="432"/>
    </row>
    <row r="16" spans="1:15" ht="16" thickBot="1" x14ac:dyDescent="0.25"/>
    <row r="17" spans="7:15" x14ac:dyDescent="0.2">
      <c r="G17" s="433"/>
      <c r="H17" s="433" t="s">
        <v>360</v>
      </c>
      <c r="I17" s="433" t="s">
        <v>349</v>
      </c>
      <c r="J17" s="433" t="s">
        <v>361</v>
      </c>
      <c r="K17" s="433" t="s">
        <v>362</v>
      </c>
      <c r="L17" s="433" t="s">
        <v>363</v>
      </c>
      <c r="M17" s="433" t="s">
        <v>364</v>
      </c>
      <c r="N17" s="433" t="s">
        <v>365</v>
      </c>
      <c r="O17" s="433" t="s">
        <v>366</v>
      </c>
    </row>
    <row r="18" spans="7:15" x14ac:dyDescent="0.2">
      <c r="G18" s="431" t="s">
        <v>367</v>
      </c>
      <c r="H18" s="431">
        <v>0</v>
      </c>
      <c r="I18" s="431" t="e">
        <v>#N/A</v>
      </c>
      <c r="J18" s="431" t="e">
        <v>#N/A</v>
      </c>
      <c r="K18" s="431" t="e">
        <v>#N/A</v>
      </c>
      <c r="L18" s="431" t="e">
        <v>#N/A</v>
      </c>
      <c r="M18" s="431" t="e">
        <v>#N/A</v>
      </c>
      <c r="N18" s="431" t="e">
        <v>#N/A</v>
      </c>
      <c r="O18" s="431" t="e">
        <v>#N/A</v>
      </c>
    </row>
    <row r="19" spans="7:15" ht="16" thickBot="1" x14ac:dyDescent="0.25">
      <c r="G19" s="434" t="s">
        <v>343</v>
      </c>
      <c r="H19" s="434">
        <v>1.0715868899282599</v>
      </c>
      <c r="I19" s="432">
        <v>0.16767117788899819</v>
      </c>
      <c r="J19" s="432">
        <v>6.3910023381458867</v>
      </c>
      <c r="K19" s="432">
        <v>5.1441595124218044E-5</v>
      </c>
      <c r="L19" s="432">
        <v>0.70254511561949218</v>
      </c>
      <c r="M19" s="432">
        <v>1.4406286642370325</v>
      </c>
      <c r="N19" s="432">
        <v>0.70254511561949218</v>
      </c>
      <c r="O19" s="432">
        <v>1.4406286642370325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120" zoomScaleNormal="120" workbookViewId="0"/>
  </sheetViews>
  <sheetFormatPr baseColWidth="10" defaultColWidth="8.83203125" defaultRowHeight="15" x14ac:dyDescent="0.2"/>
  <cols>
    <col min="1" max="1" width="12" customWidth="1"/>
    <col min="2" max="2" width="12" style="429" customWidth="1"/>
    <col min="3" max="3" width="12" customWidth="1"/>
    <col min="7" max="7" width="16" customWidth="1"/>
  </cols>
  <sheetData>
    <row r="1" spans="1:12" s="427" customFormat="1" ht="30" x14ac:dyDescent="0.2">
      <c r="A1" s="426" t="s">
        <v>329</v>
      </c>
      <c r="B1" s="426" t="s">
        <v>340</v>
      </c>
      <c r="C1" s="426" t="s">
        <v>341</v>
      </c>
      <c r="D1" s="426" t="s">
        <v>342</v>
      </c>
      <c r="E1" s="426" t="s">
        <v>343</v>
      </c>
    </row>
    <row r="2" spans="1:12" x14ac:dyDescent="0.2">
      <c r="A2" s="428">
        <v>42278</v>
      </c>
      <c r="B2" s="429">
        <f>VLOOKUP(A2,[2]SBUX!$A$1:$B$3217,2,FALSE)</f>
        <v>52.338154000000003</v>
      </c>
      <c r="C2" s="364">
        <v>7.4392589590956959E-2</v>
      </c>
      <c r="D2">
        <f>VLOOKUP(A2,'[2]S&amp;P500'!$A$1:$D$3740,4,FALSE)</f>
        <v>1923.82</v>
      </c>
      <c r="E2" s="365">
        <v>5.2093946756537335E-3</v>
      </c>
      <c r="G2" t="s">
        <v>344</v>
      </c>
    </row>
    <row r="3" spans="1:12" ht="16" thickBot="1" x14ac:dyDescent="0.25">
      <c r="A3" s="428">
        <v>42311</v>
      </c>
      <c r="B3" s="429">
        <f>VLOOKUP(A3,[2]SBUX!$A$1:$B$3217,2,FALSE)</f>
        <v>57.182259000000002</v>
      </c>
      <c r="C3" s="364">
        <f t="shared" ref="C3:C62" si="0">B3/B2-1</f>
        <v>9.2553990345169534E-2</v>
      </c>
      <c r="D3">
        <f>VLOOKUP(A3,'[2]S&amp;P500'!$A$1:$D$3740,4,FALSE)</f>
        <v>2109.79</v>
      </c>
      <c r="E3" s="365">
        <f t="shared" ref="E3:E62" si="1">D3/D2-1</f>
        <v>9.6667047852709631E-2</v>
      </c>
    </row>
    <row r="4" spans="1:12" x14ac:dyDescent="0.2">
      <c r="A4" s="428">
        <v>42339</v>
      </c>
      <c r="B4" s="429">
        <f>VLOOKUP(A4,[2]SBUX!$A$1:$B$3217,2,FALSE)</f>
        <v>56.061104</v>
      </c>
      <c r="C4" s="364">
        <f t="shared" si="0"/>
        <v>-1.9606693047925949E-2</v>
      </c>
      <c r="D4">
        <f>VLOOKUP(A4,'[2]S&amp;P500'!$A$1:$D$3740,4,FALSE)</f>
        <v>2102.63</v>
      </c>
      <c r="E4" s="365">
        <f t="shared" si="1"/>
        <v>-3.393702690789091E-3</v>
      </c>
      <c r="G4" s="430" t="s">
        <v>345</v>
      </c>
      <c r="H4" s="430"/>
    </row>
    <row r="5" spans="1:12" x14ac:dyDescent="0.2">
      <c r="A5" s="428">
        <v>42373</v>
      </c>
      <c r="B5" s="429">
        <f>VLOOKUP(A5,[2]SBUX!$A$1:$B$3217,2,FALSE)</f>
        <v>53.220139000000003</v>
      </c>
      <c r="C5" s="364">
        <f t="shared" si="0"/>
        <v>-5.0676222858543674E-2</v>
      </c>
      <c r="D5">
        <f>VLOOKUP(A5,'[2]S&amp;P500'!$A$1:$D$3740,4,FALSE)</f>
        <v>2012.66</v>
      </c>
      <c r="E5" s="365">
        <f t="shared" si="1"/>
        <v>-4.2789268677798753E-2</v>
      </c>
      <c r="G5" s="431" t="s">
        <v>346</v>
      </c>
      <c r="H5" s="431">
        <v>0.59950428429478519</v>
      </c>
    </row>
    <row r="6" spans="1:12" x14ac:dyDescent="0.2">
      <c r="A6" s="428">
        <v>42401</v>
      </c>
      <c r="B6" s="429">
        <f>VLOOKUP(A6,[2]SBUX!$A$1:$B$3217,2,FALSE)</f>
        <v>56.088520000000003</v>
      </c>
      <c r="C6" s="364">
        <f t="shared" si="0"/>
        <v>5.3896533415668024E-2</v>
      </c>
      <c r="D6">
        <f>VLOOKUP(A6,'[2]S&amp;P500'!$A$1:$D$3740,4,FALSE)</f>
        <v>1939.38</v>
      </c>
      <c r="E6" s="365">
        <f t="shared" si="1"/>
        <v>-3.6409527689724053E-2</v>
      </c>
      <c r="G6" s="431" t="s">
        <v>347</v>
      </c>
      <c r="H6" s="431">
        <v>0.3594053868878026</v>
      </c>
    </row>
    <row r="7" spans="1:12" x14ac:dyDescent="0.2">
      <c r="A7" s="428">
        <v>42430</v>
      </c>
      <c r="B7" s="429">
        <f>VLOOKUP(A7,[2]SBUX!$A$1:$B$3217,2,FALSE)</f>
        <v>55.025398000000003</v>
      </c>
      <c r="C7" s="364">
        <f t="shared" si="0"/>
        <v>-1.8954360000941417E-2</v>
      </c>
      <c r="D7">
        <f>VLOOKUP(A7,'[2]S&amp;P500'!$A$1:$D$3740,4,FALSE)</f>
        <v>1978.35</v>
      </c>
      <c r="E7" s="365">
        <f t="shared" si="1"/>
        <v>2.0094050675989239E-2</v>
      </c>
      <c r="G7" s="431" t="s">
        <v>348</v>
      </c>
      <c r="H7" s="431">
        <v>0.34273872022113594</v>
      </c>
    </row>
    <row r="8" spans="1:12" x14ac:dyDescent="0.2">
      <c r="A8" s="428">
        <v>42461</v>
      </c>
      <c r="B8" s="429">
        <f>VLOOKUP(A8,[2]SBUX!$A$1:$B$3217,2,FALSE)</f>
        <v>55.923549999999999</v>
      </c>
      <c r="C8" s="364">
        <f t="shared" si="0"/>
        <v>1.632249893040294E-2</v>
      </c>
      <c r="D8">
        <f>VLOOKUP(A8,'[2]S&amp;P500'!$A$1:$D$3740,4,FALSE)</f>
        <v>2072.7800000000002</v>
      </c>
      <c r="E8" s="365">
        <f t="shared" si="1"/>
        <v>4.7731695604923408E-2</v>
      </c>
      <c r="G8" s="431" t="s">
        <v>349</v>
      </c>
      <c r="H8" s="431">
        <v>5.6168693756110777E-2</v>
      </c>
    </row>
    <row r="9" spans="1:12" ht="16" thickBot="1" x14ac:dyDescent="0.25">
      <c r="A9" s="428">
        <v>42492</v>
      </c>
      <c r="B9" s="429">
        <f>VLOOKUP(A9,[2]SBUX!$A$1:$B$3217,2,FALSE)</f>
        <v>52.569237000000001</v>
      </c>
      <c r="C9" s="364">
        <f t="shared" si="0"/>
        <v>-5.9980330290190786E-2</v>
      </c>
      <c r="D9">
        <f>VLOOKUP(A9,'[2]S&amp;P500'!$A$1:$D$3740,4,FALSE)</f>
        <v>2081.4299999999998</v>
      </c>
      <c r="E9" s="365">
        <f t="shared" si="1"/>
        <v>4.1731394552242396E-3</v>
      </c>
      <c r="G9" s="432" t="s">
        <v>350</v>
      </c>
      <c r="H9" s="432">
        <v>61</v>
      </c>
    </row>
    <row r="10" spans="1:12" x14ac:dyDescent="0.2">
      <c r="A10" s="428">
        <v>42522</v>
      </c>
      <c r="B10" s="429">
        <f>VLOOKUP(A10,[2]SBUX!$A$1:$B$3217,2,FALSE)</f>
        <v>50.417171000000003</v>
      </c>
      <c r="C10" s="364">
        <f t="shared" si="0"/>
        <v>-4.0937744635707762E-2</v>
      </c>
      <c r="D10">
        <f>VLOOKUP(A10,'[2]S&amp;P500'!$A$1:$D$3740,4,FALSE)</f>
        <v>2099.33</v>
      </c>
      <c r="E10" s="365">
        <f t="shared" si="1"/>
        <v>8.5998568291991706E-3</v>
      </c>
    </row>
    <row r="11" spans="1:12" ht="16" thickBot="1" x14ac:dyDescent="0.25">
      <c r="A11" s="428">
        <v>42552</v>
      </c>
      <c r="B11" s="429">
        <f>VLOOKUP(A11,[2]SBUX!$A$1:$B$3217,2,FALSE)</f>
        <v>52.412891000000002</v>
      </c>
      <c r="C11" s="364">
        <f t="shared" si="0"/>
        <v>3.9584132953433659E-2</v>
      </c>
      <c r="D11">
        <f>VLOOKUP(A11,'[2]S&amp;P500'!$A$1:$D$3740,4,FALSE)</f>
        <v>2102.9499999999998</v>
      </c>
      <c r="E11" s="365">
        <f t="shared" si="1"/>
        <v>1.7243596766587377E-3</v>
      </c>
      <c r="G11" t="s">
        <v>351</v>
      </c>
    </row>
    <row r="12" spans="1:12" x14ac:dyDescent="0.2">
      <c r="A12" s="428">
        <v>42583</v>
      </c>
      <c r="B12" s="429">
        <f>VLOOKUP(A12,[2]SBUX!$A$1:$B$3217,2,FALSE)</f>
        <v>53.001480000000001</v>
      </c>
      <c r="C12" s="364">
        <f t="shared" si="0"/>
        <v>1.1229851831680016E-2</v>
      </c>
      <c r="D12">
        <f>VLOOKUP(A12,'[2]S&amp;P500'!$A$1:$D$3740,4,FALSE)</f>
        <v>2170.84</v>
      </c>
      <c r="E12" s="365">
        <f t="shared" si="1"/>
        <v>3.2283221189281841E-2</v>
      </c>
      <c r="G12" s="433"/>
      <c r="H12" s="433" t="s">
        <v>352</v>
      </c>
      <c r="I12" s="433" t="s">
        <v>353</v>
      </c>
      <c r="J12" s="433" t="s">
        <v>354</v>
      </c>
      <c r="K12" s="433" t="s">
        <v>355</v>
      </c>
      <c r="L12" s="433" t="s">
        <v>356</v>
      </c>
    </row>
    <row r="13" spans="1:12" x14ac:dyDescent="0.2">
      <c r="A13" s="428">
        <v>42614</v>
      </c>
      <c r="B13" s="429">
        <f>VLOOKUP(A13,[2]SBUX!$A$1:$B$3217,2,FALSE)</f>
        <v>51.967846000000002</v>
      </c>
      <c r="C13" s="364">
        <f t="shared" si="0"/>
        <v>-1.9501983718190452E-2</v>
      </c>
      <c r="D13">
        <f>VLOOKUP(A13,'[2]S&amp;P500'!$A$1:$D$3740,4,FALSE)</f>
        <v>2170.86</v>
      </c>
      <c r="E13" s="365">
        <f t="shared" si="1"/>
        <v>9.2130235300746932E-6</v>
      </c>
      <c r="G13" s="431" t="s">
        <v>357</v>
      </c>
      <c r="H13" s="431">
        <v>1</v>
      </c>
      <c r="I13" s="431">
        <v>0.10620407936785392</v>
      </c>
      <c r="J13" s="431">
        <v>0.10620407936785392</v>
      </c>
      <c r="K13" s="431">
        <v>33.662979319326965</v>
      </c>
      <c r="L13" s="431">
        <v>2.7493988856116638E-7</v>
      </c>
    </row>
    <row r="14" spans="1:12" x14ac:dyDescent="0.2">
      <c r="A14" s="428">
        <v>42646</v>
      </c>
      <c r="B14" s="429">
        <f>VLOOKUP(A14,[2]SBUX!$A$1:$B$3217,2,FALSE)</f>
        <v>49.688319999999997</v>
      </c>
      <c r="C14" s="364">
        <f t="shared" si="0"/>
        <v>-4.3864161697215742E-2</v>
      </c>
      <c r="D14">
        <f>VLOOKUP(A14,'[2]S&amp;P500'!$A$1:$D$3740,4,FALSE)</f>
        <v>2161.1999999999998</v>
      </c>
      <c r="E14" s="365">
        <f t="shared" si="1"/>
        <v>-4.4498493684531626E-3</v>
      </c>
      <c r="G14" s="431" t="s">
        <v>358</v>
      </c>
      <c r="H14" s="431">
        <v>60</v>
      </c>
      <c r="I14" s="431">
        <v>0.18929532949606548</v>
      </c>
      <c r="J14" s="431">
        <v>3.1549221582677579E-3</v>
      </c>
      <c r="K14" s="431"/>
      <c r="L14" s="431"/>
    </row>
    <row r="15" spans="1:12" ht="16" thickBot="1" x14ac:dyDescent="0.25">
      <c r="A15" s="428">
        <v>42675</v>
      </c>
      <c r="B15" s="429">
        <f>VLOOKUP(A15,[2]SBUX!$A$1:$B$3217,2,FALSE)</f>
        <v>48.451644999999999</v>
      </c>
      <c r="C15" s="364">
        <f t="shared" si="0"/>
        <v>-2.4888645862850667E-2</v>
      </c>
      <c r="D15">
        <f>VLOOKUP(A15,'[2]S&amp;P500'!$A$1:$D$3740,4,FALSE)</f>
        <v>2111.7199999999998</v>
      </c>
      <c r="E15" s="365">
        <f t="shared" si="1"/>
        <v>-2.2894688136220642E-2</v>
      </c>
      <c r="G15" s="432" t="s">
        <v>359</v>
      </c>
      <c r="H15" s="432">
        <v>61</v>
      </c>
      <c r="I15" s="432">
        <v>0.2954994088639194</v>
      </c>
      <c r="J15" s="432"/>
      <c r="K15" s="432"/>
      <c r="L15" s="432"/>
    </row>
    <row r="16" spans="1:12" ht="16" thickBot="1" x14ac:dyDescent="0.25">
      <c r="A16" s="428">
        <v>42705</v>
      </c>
      <c r="B16" s="429">
        <f>VLOOKUP(A16,[2]SBUX!$A$1:$B$3217,2,FALSE)</f>
        <v>54.248336999999999</v>
      </c>
      <c r="C16" s="364">
        <f t="shared" si="0"/>
        <v>0.11963870370139129</v>
      </c>
      <c r="D16">
        <f>VLOOKUP(A16,'[2]S&amp;P500'!$A$1:$D$3740,4,FALSE)</f>
        <v>2191.08</v>
      </c>
      <c r="E16" s="365">
        <f t="shared" si="1"/>
        <v>3.7580739870816338E-2</v>
      </c>
    </row>
    <row r="17" spans="1:15" x14ac:dyDescent="0.2">
      <c r="A17" s="428">
        <v>42738</v>
      </c>
      <c r="B17" s="429">
        <f>VLOOKUP(A17,[2]SBUX!$A$1:$B$3217,2,FALSE)</f>
        <v>51.318497000000001</v>
      </c>
      <c r="C17" s="364">
        <f t="shared" si="0"/>
        <v>-5.4007922860381807E-2</v>
      </c>
      <c r="D17">
        <f>VLOOKUP(A17,'[2]S&amp;P500'!$A$1:$D$3740,4,FALSE)</f>
        <v>2257.83</v>
      </c>
      <c r="E17" s="365">
        <f t="shared" si="1"/>
        <v>3.0464428501013163E-2</v>
      </c>
      <c r="G17" s="433"/>
      <c r="H17" s="433" t="s">
        <v>360</v>
      </c>
      <c r="I17" s="433" t="s">
        <v>349</v>
      </c>
      <c r="J17" s="433" t="s">
        <v>361</v>
      </c>
      <c r="K17" s="433" t="s">
        <v>362</v>
      </c>
      <c r="L17" s="433" t="s">
        <v>363</v>
      </c>
      <c r="M17" s="433" t="s">
        <v>364</v>
      </c>
      <c r="N17" s="433" t="s">
        <v>365</v>
      </c>
      <c r="O17" s="433" t="s">
        <v>366</v>
      </c>
    </row>
    <row r="18" spans="1:15" x14ac:dyDescent="0.2">
      <c r="A18" s="428">
        <v>42767</v>
      </c>
      <c r="B18" s="429">
        <f>VLOOKUP(A18,[2]SBUX!$A$1:$B$3217,2,FALSE)</f>
        <v>49.974120999999997</v>
      </c>
      <c r="C18" s="364">
        <f t="shared" si="0"/>
        <v>-2.6196714217877504E-2</v>
      </c>
      <c r="D18">
        <f>VLOOKUP(A18,'[2]S&amp;P500'!$A$1:$D$3740,4,FALSE)</f>
        <v>2279.5500000000002</v>
      </c>
      <c r="E18" s="365">
        <f t="shared" si="1"/>
        <v>9.619856233640478E-3</v>
      </c>
      <c r="G18" s="431" t="s">
        <v>367</v>
      </c>
      <c r="H18" s="431">
        <v>0</v>
      </c>
      <c r="I18" s="431" t="e">
        <v>#N/A</v>
      </c>
      <c r="J18" s="431" t="e">
        <v>#N/A</v>
      </c>
      <c r="K18" s="431" t="e">
        <v>#N/A</v>
      </c>
      <c r="L18" s="431" t="e">
        <v>#N/A</v>
      </c>
      <c r="M18" s="431" t="e">
        <v>#N/A</v>
      </c>
      <c r="N18" s="431" t="e">
        <v>#N/A</v>
      </c>
      <c r="O18" s="431" t="e">
        <v>#N/A</v>
      </c>
    </row>
    <row r="19" spans="1:15" ht="16" thickBot="1" x14ac:dyDescent="0.25">
      <c r="A19" s="428">
        <v>42795</v>
      </c>
      <c r="B19" s="429">
        <f>VLOOKUP(A19,[2]SBUX!$A$1:$B$3217,2,FALSE)</f>
        <v>53.216853999999998</v>
      </c>
      <c r="C19" s="364">
        <f t="shared" si="0"/>
        <v>6.4888244857773447E-2</v>
      </c>
      <c r="D19">
        <f>VLOOKUP(A19,'[2]S&amp;P500'!$A$1:$D$3740,4,FALSE)</f>
        <v>2395.96</v>
      </c>
      <c r="E19" s="365">
        <f t="shared" si="1"/>
        <v>5.1067096576078441E-2</v>
      </c>
      <c r="G19" s="434" t="s">
        <v>343</v>
      </c>
      <c r="H19" s="434">
        <v>0.84910956009744787</v>
      </c>
      <c r="I19" s="432">
        <v>0.1463482236723968</v>
      </c>
      <c r="J19" s="432">
        <v>5.8019806376208249</v>
      </c>
      <c r="K19" s="432">
        <v>2.624477144038896E-7</v>
      </c>
      <c r="L19" s="432">
        <v>0.55636952702989673</v>
      </c>
      <c r="M19" s="432">
        <v>1.141849593164999</v>
      </c>
      <c r="N19" s="432">
        <v>0.55636952702989673</v>
      </c>
      <c r="O19" s="432">
        <v>1.141849593164999</v>
      </c>
    </row>
    <row r="20" spans="1:15" x14ac:dyDescent="0.2">
      <c r="A20" s="428">
        <v>42828</v>
      </c>
      <c r="B20" s="429">
        <f>VLOOKUP(A20,[2]SBUX!$A$1:$B$3217,2,FALSE)</f>
        <v>54.427593000000002</v>
      </c>
      <c r="C20" s="364">
        <f t="shared" si="0"/>
        <v>2.2751044246245744E-2</v>
      </c>
      <c r="D20">
        <f>VLOOKUP(A20,'[2]S&amp;P500'!$A$1:$D$3740,4,FALSE)</f>
        <v>2358.84</v>
      </c>
      <c r="E20" s="365">
        <f t="shared" si="1"/>
        <v>-1.5492746122639733E-2</v>
      </c>
    </row>
    <row r="21" spans="1:15" x14ac:dyDescent="0.2">
      <c r="A21" s="428">
        <v>42856</v>
      </c>
      <c r="B21" s="429">
        <f>VLOOKUP(A21,[2]SBUX!$A$1:$B$3217,2,FALSE)</f>
        <v>56.048126000000003</v>
      </c>
      <c r="C21" s="364">
        <f t="shared" si="0"/>
        <v>2.9774107409085815E-2</v>
      </c>
      <c r="D21">
        <f>VLOOKUP(A21,'[2]S&amp;P500'!$A$1:$D$3740,4,FALSE)</f>
        <v>2388.33</v>
      </c>
      <c r="E21" s="365">
        <f t="shared" si="1"/>
        <v>1.250190771735249E-2</v>
      </c>
    </row>
    <row r="22" spans="1:15" x14ac:dyDescent="0.2">
      <c r="A22" s="428">
        <v>42887</v>
      </c>
      <c r="B22" s="429">
        <f>VLOOKUP(A22,[2]SBUX!$A$1:$B$3217,2,FALSE)</f>
        <v>59.617598999999998</v>
      </c>
      <c r="C22" s="364">
        <f t="shared" si="0"/>
        <v>6.3685858114149951E-2</v>
      </c>
      <c r="D22">
        <f>VLOOKUP(A22,'[2]S&amp;P500'!$A$1:$D$3740,4,FALSE)</f>
        <v>2430.06</v>
      </c>
      <c r="E22" s="365">
        <f t="shared" si="1"/>
        <v>1.7472459835952359E-2</v>
      </c>
    </row>
    <row r="23" spans="1:15" x14ac:dyDescent="0.2">
      <c r="A23" s="428">
        <v>42919</v>
      </c>
      <c r="B23" s="429">
        <f>VLOOKUP(A23,[2]SBUX!$A$1:$B$3217,2,FALSE)</f>
        <v>54.474113000000003</v>
      </c>
      <c r="C23" s="364">
        <f t="shared" si="0"/>
        <v>-8.6274625048217701E-2</v>
      </c>
      <c r="D23">
        <f>VLOOKUP(A23,'[2]S&amp;P500'!$A$1:$D$3740,4,FALSE)</f>
        <v>2429.0100000000002</v>
      </c>
      <c r="E23" s="365">
        <f t="shared" si="1"/>
        <v>-4.3208809659012193E-4</v>
      </c>
    </row>
    <row r="24" spans="1:15" x14ac:dyDescent="0.2">
      <c r="A24" s="428">
        <v>42948</v>
      </c>
      <c r="B24" s="429">
        <f>VLOOKUP(A24,[2]SBUX!$A$1:$B$3217,2,FALSE)</f>
        <v>51.182281000000003</v>
      </c>
      <c r="C24" s="364">
        <f t="shared" si="0"/>
        <v>-6.0429290514560585E-2</v>
      </c>
      <c r="D24">
        <f>VLOOKUP(A24,'[2]S&amp;P500'!$A$1:$D$3740,4,FALSE)</f>
        <v>2476.35</v>
      </c>
      <c r="E24" s="365">
        <f t="shared" si="1"/>
        <v>1.9489421616213809E-2</v>
      </c>
    </row>
    <row r="25" spans="1:15" x14ac:dyDescent="0.2">
      <c r="A25" s="428">
        <v>42979</v>
      </c>
      <c r="B25" s="429">
        <f>VLOOKUP(A25,[2]SBUX!$A$1:$B$3217,2,FALSE)</f>
        <v>51.601215000000003</v>
      </c>
      <c r="C25" s="364">
        <f t="shared" si="0"/>
        <v>8.1851373525145821E-3</v>
      </c>
      <c r="D25">
        <f>VLOOKUP(A25,'[2]S&amp;P500'!$A$1:$D$3740,4,FALSE)</f>
        <v>2476.5500000000002</v>
      </c>
      <c r="E25" s="365">
        <f t="shared" si="1"/>
        <v>8.0764027702073804E-5</v>
      </c>
    </row>
    <row r="26" spans="1:15" x14ac:dyDescent="0.2">
      <c r="A26" s="428">
        <v>43010</v>
      </c>
      <c r="B26" s="429">
        <f>VLOOKUP(A26,[2]SBUX!$A$1:$B$3217,2,FALSE)</f>
        <v>50.549087999999998</v>
      </c>
      <c r="C26" s="364">
        <f t="shared" si="0"/>
        <v>-2.0389578036098643E-2</v>
      </c>
      <c r="D26">
        <f>VLOOKUP(A26,'[2]S&amp;P500'!$A$1:$D$3740,4,FALSE)</f>
        <v>2529.12</v>
      </c>
      <c r="E26" s="365">
        <f t="shared" si="1"/>
        <v>2.1227110294562923E-2</v>
      </c>
    </row>
    <row r="27" spans="1:15" x14ac:dyDescent="0.2">
      <c r="A27" s="428">
        <v>43040</v>
      </c>
      <c r="B27" s="429">
        <f>VLOOKUP(A27,[2]SBUX!$A$1:$B$3217,2,FALSE)</f>
        <v>51.789101000000002</v>
      </c>
      <c r="C27" s="364">
        <f t="shared" si="0"/>
        <v>2.4530867896172648E-2</v>
      </c>
      <c r="D27">
        <f>VLOOKUP(A27,'[2]S&amp;P500'!$A$1:$D$3740,4,FALSE)</f>
        <v>2579.36</v>
      </c>
      <c r="E27" s="365">
        <f t="shared" si="1"/>
        <v>1.9864616941861257E-2</v>
      </c>
    </row>
    <row r="28" spans="1:15" x14ac:dyDescent="0.2">
      <c r="A28" s="428">
        <v>43070</v>
      </c>
      <c r="B28" s="429">
        <f>VLOOKUP(A28,[2]SBUX!$A$1:$B$3217,2,FALSE)</f>
        <v>54.131633999999998</v>
      </c>
      <c r="C28" s="364">
        <f t="shared" si="0"/>
        <v>4.5232161879002142E-2</v>
      </c>
      <c r="D28">
        <f>VLOOKUP(A28,'[2]S&amp;P500'!$A$1:$D$3740,4,FALSE)</f>
        <v>2642.22</v>
      </c>
      <c r="E28" s="365">
        <f t="shared" si="1"/>
        <v>2.4370386452453152E-2</v>
      </c>
    </row>
    <row r="29" spans="1:15" x14ac:dyDescent="0.2">
      <c r="A29" s="428">
        <v>43102</v>
      </c>
      <c r="B29" s="429">
        <f>VLOOKUP(A29,[2]SBUX!$A$1:$B$3217,2,FALSE)</f>
        <v>54.424399999999999</v>
      </c>
      <c r="C29" s="364">
        <f t="shared" si="0"/>
        <v>5.4084086949970356E-3</v>
      </c>
      <c r="D29">
        <f>VLOOKUP(A29,'[2]S&amp;P500'!$A$1:$D$3740,4,FALSE)</f>
        <v>2695.81</v>
      </c>
      <c r="E29" s="365">
        <f t="shared" si="1"/>
        <v>2.0282186948853642E-2</v>
      </c>
    </row>
    <row r="30" spans="1:15" x14ac:dyDescent="0.2">
      <c r="A30" s="428">
        <v>43132</v>
      </c>
      <c r="B30" s="429">
        <f>VLOOKUP(A30,[2]SBUX!$A$1:$B$3217,2,FALSE)</f>
        <v>52.885063000000002</v>
      </c>
      <c r="C30" s="364">
        <f t="shared" si="0"/>
        <v>-2.8283949846024892E-2</v>
      </c>
      <c r="D30">
        <f>VLOOKUP(A30,'[2]S&amp;P500'!$A$1:$D$3740,4,FALSE)</f>
        <v>2821.98</v>
      </c>
      <c r="E30" s="365">
        <f t="shared" si="1"/>
        <v>4.6802259803176094E-2</v>
      </c>
    </row>
    <row r="31" spans="1:15" x14ac:dyDescent="0.2">
      <c r="A31" s="428">
        <v>43160</v>
      </c>
      <c r="B31" s="429">
        <f>VLOOKUP(A31,[2]SBUX!$A$1:$B$3217,2,FALSE)</f>
        <v>53.333312999999997</v>
      </c>
      <c r="C31" s="364">
        <f t="shared" si="0"/>
        <v>8.4759282597430818E-3</v>
      </c>
      <c r="D31">
        <f>VLOOKUP(A31,'[2]S&amp;P500'!$A$1:$D$3740,4,FALSE)</f>
        <v>2677.67</v>
      </c>
      <c r="E31" s="365">
        <f t="shared" si="1"/>
        <v>-5.1137853563809843E-2</v>
      </c>
    </row>
    <row r="32" spans="1:15" x14ac:dyDescent="0.2">
      <c r="A32" s="428">
        <v>43192</v>
      </c>
      <c r="B32" s="429">
        <f>VLOOKUP(A32,[2]SBUX!$A$1:$B$3217,2,FALSE)</f>
        <v>53.399788000000001</v>
      </c>
      <c r="C32" s="364">
        <f t="shared" si="0"/>
        <v>1.2464067251927169E-3</v>
      </c>
      <c r="D32">
        <f>VLOOKUP(A32,'[2]S&amp;P500'!$A$1:$D$3740,4,FALSE)</f>
        <v>2581.88</v>
      </c>
      <c r="E32" s="365">
        <f t="shared" si="1"/>
        <v>-3.5773639021985493E-2</v>
      </c>
    </row>
    <row r="33" spans="1:5" x14ac:dyDescent="0.2">
      <c r="A33" s="428">
        <v>43221</v>
      </c>
      <c r="B33" s="429">
        <f>VLOOKUP(A33,[2]SBUX!$A$1:$B$3217,2,FALSE)</f>
        <v>55.194344000000001</v>
      </c>
      <c r="C33" s="364">
        <f t="shared" si="0"/>
        <v>3.3606051020277361E-2</v>
      </c>
      <c r="D33">
        <f>VLOOKUP(A33,'[2]S&amp;P500'!$A$1:$D$3740,4,FALSE)</f>
        <v>2654.8</v>
      </c>
      <c r="E33" s="365">
        <f t="shared" si="1"/>
        <v>2.8242985731327552E-2</v>
      </c>
    </row>
    <row r="34" spans="1:5" x14ac:dyDescent="0.2">
      <c r="A34" s="428">
        <v>43252</v>
      </c>
      <c r="B34" s="429">
        <f>VLOOKUP(A34,[2]SBUX!$A$1:$B$3217,2,FALSE)</f>
        <v>54.318511999999998</v>
      </c>
      <c r="C34" s="364">
        <f t="shared" si="0"/>
        <v>-1.5868147649331643E-2</v>
      </c>
      <c r="D34">
        <f>VLOOKUP(A34,'[2]S&amp;P500'!$A$1:$D$3740,4,FALSE)</f>
        <v>2734.62</v>
      </c>
      <c r="E34" s="365">
        <f t="shared" si="1"/>
        <v>3.0066295012806776E-2</v>
      </c>
    </row>
    <row r="35" spans="1:5" x14ac:dyDescent="0.2">
      <c r="A35" s="428">
        <v>43283</v>
      </c>
      <c r="B35" s="429">
        <f>VLOOKUP(A35,[2]SBUX!$A$1:$B$3217,2,FALSE)</f>
        <v>46.825980999999999</v>
      </c>
      <c r="C35" s="364">
        <f t="shared" si="0"/>
        <v>-0.13793697073292432</v>
      </c>
      <c r="D35">
        <f>VLOOKUP(A35,'[2]S&amp;P500'!$A$1:$D$3740,4,FALSE)</f>
        <v>2726.71</v>
      </c>
      <c r="E35" s="365">
        <f t="shared" si="1"/>
        <v>-2.892540828341672E-3</v>
      </c>
    </row>
    <row r="36" spans="1:5" x14ac:dyDescent="0.2">
      <c r="A36" s="428">
        <v>43313</v>
      </c>
      <c r="B36" s="429">
        <f>VLOOKUP(A36,[2]SBUX!$A$1:$B$3217,2,FALSE)</f>
        <v>49.565289</v>
      </c>
      <c r="C36" s="364">
        <f t="shared" si="0"/>
        <v>5.8499746113167328E-2</v>
      </c>
      <c r="D36">
        <f>VLOOKUP(A36,'[2]S&amp;P500'!$A$1:$D$3740,4,FALSE)</f>
        <v>2813.36</v>
      </c>
      <c r="E36" s="365">
        <f t="shared" si="1"/>
        <v>3.1778223573464048E-2</v>
      </c>
    </row>
    <row r="37" spans="1:5" x14ac:dyDescent="0.2">
      <c r="A37" s="428">
        <v>43347</v>
      </c>
      <c r="B37" s="429">
        <f>VLOOKUP(A37,[2]SBUX!$A$1:$B$3217,2,FALSE)</f>
        <v>51.448127999999997</v>
      </c>
      <c r="C37" s="364">
        <f t="shared" si="0"/>
        <v>3.7987047750291492E-2</v>
      </c>
      <c r="D37">
        <f>VLOOKUP(A37,'[2]S&amp;P500'!$A$1:$D$3740,4,FALSE)</f>
        <v>2896.72</v>
      </c>
      <c r="E37" s="365">
        <f t="shared" si="1"/>
        <v>2.9630050899991378E-2</v>
      </c>
    </row>
    <row r="38" spans="1:5" x14ac:dyDescent="0.2">
      <c r="A38" s="428">
        <v>43374</v>
      </c>
      <c r="B38" s="429">
        <f>VLOOKUP(A38,[2]SBUX!$A$1:$B$3217,2,FALSE)</f>
        <v>53.418399999999998</v>
      </c>
      <c r="C38" s="364">
        <f t="shared" si="0"/>
        <v>3.829628164507759E-2</v>
      </c>
      <c r="D38">
        <f>VLOOKUP(A38,'[2]S&amp;P500'!$A$1:$D$3740,4,FALSE)</f>
        <v>2924.59</v>
      </c>
      <c r="E38" s="365">
        <f t="shared" si="1"/>
        <v>9.6212267668260854E-3</v>
      </c>
    </row>
    <row r="39" spans="1:5" x14ac:dyDescent="0.2">
      <c r="A39" s="428">
        <v>43405</v>
      </c>
      <c r="B39" s="429">
        <f>VLOOKUP(A39,[2]SBUX!$A$1:$B$3217,2,FALSE)</f>
        <v>56.349777000000003</v>
      </c>
      <c r="C39" s="364">
        <f t="shared" si="0"/>
        <v>5.4875791861980217E-2</v>
      </c>
      <c r="D39">
        <f>VLOOKUP(A39,'[2]S&amp;P500'!$A$1:$D$3740,4,FALSE)</f>
        <v>2740.37</v>
      </c>
      <c r="E39" s="365">
        <f t="shared" si="1"/>
        <v>-6.299002595235581E-2</v>
      </c>
    </row>
    <row r="40" spans="1:5" x14ac:dyDescent="0.2">
      <c r="A40" s="428">
        <v>43437</v>
      </c>
      <c r="B40" s="429">
        <f>VLOOKUP(A40,[2]SBUX!$A$1:$B$3217,2,FALSE)</f>
        <v>65.223122000000004</v>
      </c>
      <c r="C40" s="364">
        <f t="shared" si="0"/>
        <v>0.15746903488189501</v>
      </c>
      <c r="D40">
        <f>VLOOKUP(A40,'[2]S&amp;P500'!$A$1:$D$3740,4,FALSE)</f>
        <v>2790.37</v>
      </c>
      <c r="E40" s="365">
        <f t="shared" si="1"/>
        <v>1.824571134554831E-2</v>
      </c>
    </row>
    <row r="41" spans="1:5" x14ac:dyDescent="0.2">
      <c r="A41" s="428">
        <v>43467</v>
      </c>
      <c r="B41" s="429">
        <f>VLOOKUP(A41,[2]SBUX!$A$1:$B$3217,2,FALSE)</f>
        <v>62.150398000000003</v>
      </c>
      <c r="C41" s="364">
        <f t="shared" si="0"/>
        <v>-4.7110961661724793E-2</v>
      </c>
      <c r="D41">
        <f>VLOOKUP(A41,'[2]S&amp;P500'!$A$1:$D$3740,4,FALSE)</f>
        <v>2510.0300000000002</v>
      </c>
      <c r="E41" s="365">
        <f t="shared" si="1"/>
        <v>-0.10046696316259118</v>
      </c>
    </row>
    <row r="42" spans="1:5" x14ac:dyDescent="0.2">
      <c r="A42" s="428">
        <v>43497</v>
      </c>
      <c r="B42" s="429">
        <f>VLOOKUP(A42,[2]SBUX!$A$1:$B$3217,2,FALSE)</f>
        <v>65.812561000000002</v>
      </c>
      <c r="C42" s="364">
        <f t="shared" si="0"/>
        <v>5.8924208337330253E-2</v>
      </c>
      <c r="D42">
        <f>VLOOKUP(A42,'[2]S&amp;P500'!$A$1:$D$3740,4,FALSE)</f>
        <v>2706.53</v>
      </c>
      <c r="E42" s="365">
        <f t="shared" si="1"/>
        <v>7.8285916901391639E-2</v>
      </c>
    </row>
    <row r="43" spans="1:5" x14ac:dyDescent="0.2">
      <c r="A43" s="428">
        <v>43525</v>
      </c>
      <c r="B43" s="429">
        <f>VLOOKUP(A43,[2]SBUX!$A$1:$B$3217,2,FALSE)</f>
        <v>68.817413000000002</v>
      </c>
      <c r="C43" s="364">
        <f t="shared" si="0"/>
        <v>4.5657727861403208E-2</v>
      </c>
      <c r="D43">
        <f>VLOOKUP(A43,'[2]S&amp;P500'!$A$1:$D$3740,4,FALSE)</f>
        <v>2803.69</v>
      </c>
      <c r="E43" s="365">
        <f t="shared" si="1"/>
        <v>3.5898364326277576E-2</v>
      </c>
    </row>
    <row r="44" spans="1:5" x14ac:dyDescent="0.2">
      <c r="A44" s="428">
        <v>43556</v>
      </c>
      <c r="B44" s="429">
        <f>VLOOKUP(A44,[2]SBUX!$A$1:$B$3217,2,FALSE)</f>
        <v>71.838202999999993</v>
      </c>
      <c r="C44" s="364">
        <f t="shared" si="0"/>
        <v>4.3895721566865609E-2</v>
      </c>
      <c r="D44">
        <f>VLOOKUP(A44,'[2]S&amp;P500'!$A$1:$D$3740,4,FALSE)</f>
        <v>2867.19</v>
      </c>
      <c r="E44" s="365">
        <f t="shared" si="1"/>
        <v>2.2648723646337521E-2</v>
      </c>
    </row>
    <row r="45" spans="1:5" x14ac:dyDescent="0.2">
      <c r="A45" s="428">
        <v>43586</v>
      </c>
      <c r="B45" s="429">
        <f>VLOOKUP(A45,[2]SBUX!$A$1:$B$3217,2,FALSE)</f>
        <v>75.296059</v>
      </c>
      <c r="C45" s="364">
        <f t="shared" si="0"/>
        <v>4.8133943439537363E-2</v>
      </c>
      <c r="D45">
        <f>VLOOKUP(A45,'[2]S&amp;P500'!$A$1:$D$3740,4,FALSE)</f>
        <v>2923.73</v>
      </c>
      <c r="E45" s="365">
        <f t="shared" si="1"/>
        <v>1.9719655830272798E-2</v>
      </c>
    </row>
    <row r="46" spans="1:5" x14ac:dyDescent="0.2">
      <c r="A46" s="428">
        <v>43619</v>
      </c>
      <c r="B46" s="429">
        <f>VLOOKUP(A46,[2]SBUX!$A$1:$B$3217,2,FALSE)</f>
        <v>74.376816000000005</v>
      </c>
      <c r="C46" s="364">
        <f t="shared" si="0"/>
        <v>-1.2208381317805661E-2</v>
      </c>
      <c r="D46">
        <f>VLOOKUP(A46,'[2]S&amp;P500'!$A$1:$D$3740,4,FALSE)</f>
        <v>2744.45</v>
      </c>
      <c r="E46" s="365">
        <f t="shared" si="1"/>
        <v>-6.1318931638694507E-2</v>
      </c>
    </row>
    <row r="47" spans="1:5" x14ac:dyDescent="0.2">
      <c r="A47" s="428">
        <v>43647</v>
      </c>
      <c r="B47" s="429">
        <f>VLOOKUP(A47,[2]SBUX!$A$1:$B$3217,2,FALSE)</f>
        <v>82.505379000000005</v>
      </c>
      <c r="C47" s="364">
        <f t="shared" si="0"/>
        <v>0.10928893487454472</v>
      </c>
      <c r="D47">
        <f>VLOOKUP(A47,'[2]S&amp;P500'!$A$1:$D$3740,4,FALSE)</f>
        <v>2964.33</v>
      </c>
      <c r="E47" s="365">
        <f t="shared" si="1"/>
        <v>8.0118056441181418E-2</v>
      </c>
    </row>
    <row r="48" spans="1:5" x14ac:dyDescent="0.2">
      <c r="A48" s="428">
        <v>43678</v>
      </c>
      <c r="B48" s="429">
        <f>VLOOKUP(A48,[2]SBUX!$A$1:$B$3217,2,FALSE)</f>
        <v>93.073470999999998</v>
      </c>
      <c r="C48" s="364">
        <f t="shared" si="0"/>
        <v>0.12808973339786722</v>
      </c>
      <c r="D48">
        <f>VLOOKUP(A48,'[2]S&amp;P500'!$A$1:$D$3740,4,FALSE)</f>
        <v>2953.56</v>
      </c>
      <c r="E48" s="365">
        <f t="shared" si="1"/>
        <v>-3.6331987329345505E-3</v>
      </c>
    </row>
    <row r="49" spans="1:5" x14ac:dyDescent="0.2">
      <c r="A49" s="428">
        <v>43711</v>
      </c>
      <c r="B49" s="429">
        <f>VLOOKUP(A49,[2]SBUX!$A$1:$B$3217,2,FALSE)</f>
        <v>94.787773000000001</v>
      </c>
      <c r="C49" s="364">
        <f t="shared" si="0"/>
        <v>1.8418803785667404E-2</v>
      </c>
      <c r="D49">
        <f>VLOOKUP(A49,'[2]S&amp;P500'!$A$1:$D$3740,4,FALSE)</f>
        <v>2906.27</v>
      </c>
      <c r="E49" s="365">
        <f t="shared" si="1"/>
        <v>-1.6011186500358932E-2</v>
      </c>
    </row>
    <row r="50" spans="1:5" x14ac:dyDescent="0.2">
      <c r="A50" s="428">
        <v>43739</v>
      </c>
      <c r="B50" s="429">
        <f>VLOOKUP(A50,[2]SBUX!$A$1:$B$3217,2,FALSE)</f>
        <v>84.737945999999994</v>
      </c>
      <c r="C50" s="364">
        <f t="shared" si="0"/>
        <v>-0.10602450803438546</v>
      </c>
      <c r="D50">
        <f>VLOOKUP(A50,'[2]S&amp;P500'!$A$1:$D$3740,4,FALSE)</f>
        <v>2940.25</v>
      </c>
      <c r="E50" s="365">
        <f t="shared" si="1"/>
        <v>1.1691962549935209E-2</v>
      </c>
    </row>
    <row r="51" spans="1:5" x14ac:dyDescent="0.2">
      <c r="A51" s="428">
        <v>43770</v>
      </c>
      <c r="B51" s="429">
        <f>VLOOKUP(A51,[2]SBUX!$A$1:$B$3217,2,FALSE)</f>
        <v>81.505538999999999</v>
      </c>
      <c r="C51" s="364">
        <f t="shared" si="0"/>
        <v>-3.8145921072951117E-2</v>
      </c>
      <c r="D51">
        <f>VLOOKUP(A51,'[2]S&amp;P500'!$A$1:$D$3740,4,FALSE)</f>
        <v>3066.91</v>
      </c>
      <c r="E51" s="365">
        <f t="shared" si="1"/>
        <v>4.3077969560411544E-2</v>
      </c>
    </row>
    <row r="52" spans="1:5" x14ac:dyDescent="0.2">
      <c r="A52" s="428">
        <v>43801</v>
      </c>
      <c r="B52" s="429">
        <f>VLOOKUP(A52,[2]SBUX!$A$1:$B$3217,2,FALSE)</f>
        <v>83.251761999999999</v>
      </c>
      <c r="C52" s="364">
        <f t="shared" si="0"/>
        <v>2.1424592996066139E-2</v>
      </c>
      <c r="D52">
        <f>VLOOKUP(A52,'[2]S&amp;P500'!$A$1:$D$3740,4,FALSE)</f>
        <v>3113.87</v>
      </c>
      <c r="E52" s="365">
        <f t="shared" si="1"/>
        <v>1.531182851795454E-2</v>
      </c>
    </row>
    <row r="53" spans="1:5" x14ac:dyDescent="0.2">
      <c r="A53" s="428">
        <v>43832</v>
      </c>
      <c r="B53" s="429">
        <f>VLOOKUP(A53,[2]SBUX!$A$1:$B$3217,2,FALSE)</f>
        <v>87.957260000000005</v>
      </c>
      <c r="C53" s="364">
        <f t="shared" si="0"/>
        <v>5.6521302215801761E-2</v>
      </c>
      <c r="D53">
        <f>VLOOKUP(A53,'[2]S&amp;P500'!$A$1:$D$3740,4,FALSE)</f>
        <v>3257.85</v>
      </c>
      <c r="E53" s="365">
        <f t="shared" si="1"/>
        <v>4.6238282266118924E-2</v>
      </c>
    </row>
    <row r="54" spans="1:5" x14ac:dyDescent="0.2">
      <c r="A54" s="428">
        <v>43864</v>
      </c>
      <c r="B54" s="429">
        <f>VLOOKUP(A54,[2]SBUX!$A$1:$B$3217,2,FALSE)</f>
        <v>84.669319000000002</v>
      </c>
      <c r="C54" s="364">
        <f t="shared" si="0"/>
        <v>-3.7381121240020465E-2</v>
      </c>
      <c r="D54">
        <f>VLOOKUP(A54,'[2]S&amp;P500'!$A$1:$D$3740,4,FALSE)</f>
        <v>3248.92</v>
      </c>
      <c r="E54" s="365">
        <f t="shared" si="1"/>
        <v>-2.7410715656029927E-3</v>
      </c>
    </row>
    <row r="55" spans="1:5" x14ac:dyDescent="0.2">
      <c r="A55" s="428">
        <v>43893</v>
      </c>
      <c r="B55" s="429">
        <f>VLOOKUP(A55,[2]SBUX!$A$1:$B$3217,2,FALSE)</f>
        <v>77.735434999999995</v>
      </c>
      <c r="C55" s="364">
        <f t="shared" si="0"/>
        <v>-8.1893702251225164E-2</v>
      </c>
      <c r="D55">
        <f>VLOOKUP(A55,'[2]S&amp;P500'!$A$1:$D$3740,4,FALSE)</f>
        <v>3003.37</v>
      </c>
      <c r="E55" s="365">
        <f t="shared" si="1"/>
        <v>-7.5578961624170549E-2</v>
      </c>
    </row>
    <row r="56" spans="1:5" x14ac:dyDescent="0.2">
      <c r="A56" s="428">
        <v>43922</v>
      </c>
      <c r="B56" s="429">
        <f>VLOOKUP(A56,[2]SBUX!$A$1:$B$3217,2,FALSE)</f>
        <v>61.93121</v>
      </c>
      <c r="C56" s="364">
        <f t="shared" si="0"/>
        <v>-0.20330786082305963</v>
      </c>
      <c r="D56">
        <f>VLOOKUP(A56,'[2]S&amp;P500'!$A$1:$D$3740,4,FALSE)</f>
        <v>2470.5</v>
      </c>
      <c r="E56" s="365">
        <f t="shared" si="1"/>
        <v>-0.17742402700965909</v>
      </c>
    </row>
    <row r="57" spans="1:5" x14ac:dyDescent="0.2">
      <c r="A57" s="428">
        <v>43952</v>
      </c>
      <c r="B57" s="429">
        <f>VLOOKUP(A57,[2]SBUX!$A$1:$B$3217,2,FALSE)</f>
        <v>72.978347999999997</v>
      </c>
      <c r="C57" s="364">
        <f t="shared" si="0"/>
        <v>0.17837755793888088</v>
      </c>
      <c r="D57">
        <f>VLOOKUP(A57,'[2]S&amp;P500'!$A$1:$D$3740,4,FALSE)</f>
        <v>2830.71</v>
      </c>
      <c r="E57" s="365">
        <f t="shared" si="1"/>
        <v>0.14580449301760789</v>
      </c>
    </row>
    <row r="58" spans="1:5" x14ac:dyDescent="0.2">
      <c r="A58" s="428">
        <v>43983</v>
      </c>
      <c r="B58" s="429">
        <f>VLOOKUP(A58,[2]SBUX!$A$1:$B$3217,2,FALSE)</f>
        <v>77.896254999999996</v>
      </c>
      <c r="C58" s="364">
        <f t="shared" si="0"/>
        <v>6.7388576677564593E-2</v>
      </c>
      <c r="D58">
        <f>VLOOKUP(A58,'[2]S&amp;P500'!$A$1:$D$3740,4,FALSE)</f>
        <v>3055.73</v>
      </c>
      <c r="E58" s="365">
        <f t="shared" si="1"/>
        <v>7.9492424162135977E-2</v>
      </c>
    </row>
    <row r="59" spans="1:5" x14ac:dyDescent="0.2">
      <c r="A59" s="428">
        <v>44013</v>
      </c>
      <c r="B59" s="429">
        <f>VLOOKUP(A59,[2]SBUX!$A$1:$B$3217,2,FALSE)</f>
        <v>73.629470999999995</v>
      </c>
      <c r="C59" s="364">
        <f t="shared" si="0"/>
        <v>-5.4775213519571708E-2</v>
      </c>
      <c r="D59">
        <f>VLOOKUP(A59,'[2]S&amp;P500'!$A$1:$D$3740,4,FALSE)</f>
        <v>3115.86</v>
      </c>
      <c r="E59" s="365">
        <f t="shared" si="1"/>
        <v>1.9677785668236414E-2</v>
      </c>
    </row>
    <row r="60" spans="1:5" x14ac:dyDescent="0.2">
      <c r="A60" s="428">
        <v>44046</v>
      </c>
      <c r="B60" s="429">
        <f>VLOOKUP(A60,[2]SBUX!$A$1:$B$3217,2,FALSE)</f>
        <v>75.091515000000001</v>
      </c>
      <c r="C60" s="364">
        <f t="shared" si="0"/>
        <v>1.9856777186406882E-2</v>
      </c>
      <c r="D60">
        <f>VLOOKUP(A60,'[2]S&amp;P500'!$A$1:$D$3740,4,FALSE)</f>
        <v>3294.61</v>
      </c>
      <c r="E60" s="365">
        <f t="shared" si="1"/>
        <v>5.73677893101745E-2</v>
      </c>
    </row>
    <row r="61" spans="1:5" x14ac:dyDescent="0.2">
      <c r="A61" s="428">
        <v>44075</v>
      </c>
      <c r="B61" s="429">
        <f>VLOOKUP(A61,[2]SBUX!$A$1:$B$3217,2,FALSE)</f>
        <v>86.050003000000004</v>
      </c>
      <c r="C61" s="364">
        <f t="shared" si="0"/>
        <v>0.14593510332026205</v>
      </c>
      <c r="D61">
        <f>VLOOKUP(A61,'[2]S&amp;P500'!$A$1:$D$3740,4,FALSE)</f>
        <v>3526.65</v>
      </c>
      <c r="E61" s="365">
        <f t="shared" si="1"/>
        <v>7.0430187488048634E-2</v>
      </c>
    </row>
    <row r="62" spans="1:5" x14ac:dyDescent="0.2">
      <c r="A62" s="428">
        <v>44105</v>
      </c>
      <c r="B62" s="429">
        <f>VLOOKUP(A62,[2]SBUX!$A$1:$B$3217,2,FALSE)</f>
        <v>86.739998</v>
      </c>
      <c r="C62" s="364">
        <f t="shared" si="0"/>
        <v>8.0185354554838106E-3</v>
      </c>
      <c r="D62">
        <f>VLOOKUP(A62,'[2]S&amp;P500'!$A$1:$D$3740,4,FALSE)</f>
        <v>3380.8</v>
      </c>
      <c r="E62" s="365">
        <f t="shared" si="1"/>
        <v>-4.135652814994395E-2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85"/>
  <sheetViews>
    <sheetView showGridLines="0" workbookViewId="0">
      <pane xSplit="1" ySplit="4" topLeftCell="B5" activePane="bottomRight" state="frozen"/>
      <selection pane="topRight" activeCell="B1" sqref="B1"/>
      <selection pane="bottomLeft" activeCell="A4" sqref="A4"/>
      <selection pane="bottomRight" activeCell="B5" sqref="B5"/>
    </sheetView>
  </sheetViews>
  <sheetFormatPr baseColWidth="10" defaultColWidth="8.83203125" defaultRowHeight="15" x14ac:dyDescent="0.2"/>
  <cols>
    <col min="1" max="1" width="10.6640625" customWidth="1"/>
    <col min="2" max="2" width="11.33203125" customWidth="1"/>
    <col min="7" max="7" width="11.83203125" customWidth="1"/>
    <col min="8" max="8" width="13.1640625" customWidth="1"/>
    <col min="9" max="9" width="19.83203125" customWidth="1"/>
    <col min="10" max="10" width="14.1640625" customWidth="1"/>
    <col min="11" max="12" width="12" customWidth="1"/>
  </cols>
  <sheetData>
    <row r="2" spans="1:14" ht="36" customHeight="1" x14ac:dyDescent="0.2">
      <c r="C2" s="435" t="s">
        <v>368</v>
      </c>
      <c r="D2" s="436"/>
      <c r="E2" s="436"/>
      <c r="F2" s="436"/>
      <c r="G2" s="436"/>
      <c r="H2" s="437"/>
      <c r="I2" s="438" t="s">
        <v>369</v>
      </c>
      <c r="J2" s="439"/>
      <c r="K2" s="440"/>
      <c r="L2" s="440"/>
      <c r="M2" s="440"/>
      <c r="N2" s="440"/>
    </row>
    <row r="3" spans="1:14" x14ac:dyDescent="0.2">
      <c r="C3" s="441" t="s">
        <v>370</v>
      </c>
      <c r="D3" s="442"/>
      <c r="E3" s="442"/>
      <c r="F3" s="442"/>
      <c r="G3" s="442"/>
      <c r="H3" s="443"/>
      <c r="I3" s="444" t="s">
        <v>371</v>
      </c>
      <c r="J3" s="445"/>
      <c r="K3" s="440"/>
      <c r="L3" s="440"/>
      <c r="M3" s="440"/>
      <c r="N3" s="446"/>
    </row>
    <row r="4" spans="1:14" s="426" customFormat="1" x14ac:dyDescent="0.2">
      <c r="A4" s="447" t="s">
        <v>329</v>
      </c>
      <c r="B4" s="447" t="s">
        <v>340</v>
      </c>
      <c r="C4" s="448" t="s">
        <v>372</v>
      </c>
      <c r="D4" s="449" t="s">
        <v>373</v>
      </c>
      <c r="E4" s="449" t="s">
        <v>374</v>
      </c>
      <c r="F4" s="449" t="s">
        <v>375</v>
      </c>
      <c r="G4" s="449" t="s">
        <v>376</v>
      </c>
      <c r="H4" s="450" t="s">
        <v>377</v>
      </c>
      <c r="I4" s="448" t="s">
        <v>378</v>
      </c>
      <c r="J4" s="451" t="s">
        <v>379</v>
      </c>
      <c r="K4" s="452"/>
      <c r="L4" s="452"/>
      <c r="M4" s="452"/>
      <c r="N4" s="452"/>
    </row>
    <row r="5" spans="1:14" x14ac:dyDescent="0.2">
      <c r="A5" s="428">
        <v>44041</v>
      </c>
      <c r="B5" s="453">
        <v>77.419998000000007</v>
      </c>
      <c r="C5" s="454">
        <v>0.28999999999999998</v>
      </c>
      <c r="D5" s="455">
        <v>0.62</v>
      </c>
      <c r="E5" s="455">
        <v>0.62</v>
      </c>
      <c r="F5" s="455">
        <v>0.69</v>
      </c>
      <c r="G5" s="455">
        <f>SUM(C5:F5)</f>
        <v>2.2199999999999998</v>
      </c>
      <c r="H5" s="456">
        <f>B5/G5</f>
        <v>34.873872972972983</v>
      </c>
      <c r="I5" s="454">
        <v>2.68</v>
      </c>
      <c r="J5" s="456">
        <f>B5/I5</f>
        <v>28.888058955223883</v>
      </c>
    </row>
    <row r="6" spans="1:14" x14ac:dyDescent="0.2">
      <c r="A6" s="428">
        <v>44042</v>
      </c>
      <c r="B6" s="453">
        <v>76.639999000000003</v>
      </c>
      <c r="C6" s="454">
        <v>0.28999999999999998</v>
      </c>
      <c r="D6" s="455">
        <v>0.62</v>
      </c>
      <c r="E6" s="455">
        <v>0.62</v>
      </c>
      <c r="F6" s="455">
        <v>0.69</v>
      </c>
      <c r="G6" s="455">
        <f t="shared" ref="G6:G61" si="0">SUM(C6:F6)</f>
        <v>2.2199999999999998</v>
      </c>
      <c r="H6" s="456">
        <f t="shared" ref="H6:H61" si="1">B6/G6</f>
        <v>34.522522072072078</v>
      </c>
      <c r="I6" s="454">
        <v>2.68</v>
      </c>
      <c r="J6" s="456">
        <f t="shared" ref="J6:J61" si="2">B6/I6</f>
        <v>28.597014552238804</v>
      </c>
    </row>
    <row r="7" spans="1:14" x14ac:dyDescent="0.2">
      <c r="A7" s="428">
        <v>44043</v>
      </c>
      <c r="B7" s="453">
        <v>76.529999000000004</v>
      </c>
      <c r="C7" s="454">
        <v>0.28999999999999998</v>
      </c>
      <c r="D7" s="455">
        <v>0.62</v>
      </c>
      <c r="E7" s="455">
        <v>0.62</v>
      </c>
      <c r="F7" s="455">
        <v>0.69</v>
      </c>
      <c r="G7" s="455">
        <f t="shared" si="0"/>
        <v>2.2199999999999998</v>
      </c>
      <c r="H7" s="456">
        <f t="shared" si="1"/>
        <v>34.472972522522525</v>
      </c>
      <c r="I7" s="454">
        <v>2.68</v>
      </c>
      <c r="J7" s="456">
        <f t="shared" si="2"/>
        <v>28.555969776119401</v>
      </c>
    </row>
    <row r="8" spans="1:14" x14ac:dyDescent="0.2">
      <c r="A8" s="428">
        <v>44046</v>
      </c>
      <c r="B8" s="453">
        <v>75.5</v>
      </c>
      <c r="C8" s="454">
        <v>0.28999999999999998</v>
      </c>
      <c r="D8" s="455">
        <v>0.62</v>
      </c>
      <c r="E8" s="455">
        <v>0.62</v>
      </c>
      <c r="F8" s="455">
        <v>0.69</v>
      </c>
      <c r="G8" s="455">
        <f t="shared" si="0"/>
        <v>2.2199999999999998</v>
      </c>
      <c r="H8" s="456">
        <f t="shared" si="1"/>
        <v>34.009009009009013</v>
      </c>
      <c r="I8" s="454">
        <v>2.68</v>
      </c>
      <c r="J8" s="456">
        <f t="shared" si="2"/>
        <v>28.171641791044774</v>
      </c>
    </row>
    <row r="9" spans="1:14" x14ac:dyDescent="0.2">
      <c r="A9" s="428">
        <v>44047</v>
      </c>
      <c r="B9" s="453">
        <v>75.129997000000003</v>
      </c>
      <c r="C9" s="454">
        <v>0.28999999999999998</v>
      </c>
      <c r="D9" s="455">
        <v>0.62</v>
      </c>
      <c r="E9" s="455">
        <v>0.62</v>
      </c>
      <c r="F9" s="455">
        <v>0.69</v>
      </c>
      <c r="G9" s="455">
        <f t="shared" si="0"/>
        <v>2.2199999999999998</v>
      </c>
      <c r="H9" s="456">
        <f t="shared" si="1"/>
        <v>33.842340990990998</v>
      </c>
      <c r="I9" s="454">
        <v>2.68</v>
      </c>
      <c r="J9" s="456">
        <f t="shared" si="2"/>
        <v>28.033580970149252</v>
      </c>
    </row>
    <row r="10" spans="1:14" x14ac:dyDescent="0.2">
      <c r="A10" s="428">
        <v>44048</v>
      </c>
      <c r="B10" s="453">
        <v>75.779999000000004</v>
      </c>
      <c r="C10" s="454">
        <v>0.28999999999999998</v>
      </c>
      <c r="D10" s="455">
        <v>0.62</v>
      </c>
      <c r="E10" s="455">
        <v>0.62</v>
      </c>
      <c r="F10" s="455">
        <v>0.69</v>
      </c>
      <c r="G10" s="455">
        <f t="shared" si="0"/>
        <v>2.2199999999999998</v>
      </c>
      <c r="H10" s="456">
        <f t="shared" si="1"/>
        <v>34.135134684684694</v>
      </c>
      <c r="I10" s="454">
        <v>2.68</v>
      </c>
      <c r="J10" s="456">
        <f t="shared" si="2"/>
        <v>28.276119029850747</v>
      </c>
    </row>
    <row r="11" spans="1:14" x14ac:dyDescent="0.2">
      <c r="A11" s="428">
        <v>44049</v>
      </c>
      <c r="B11" s="453">
        <v>75.660004000000001</v>
      </c>
      <c r="C11" s="454">
        <v>0.28999999999999998</v>
      </c>
      <c r="D11" s="455">
        <v>0.62</v>
      </c>
      <c r="E11" s="455">
        <v>0.62</v>
      </c>
      <c r="F11" s="455">
        <v>0.69</v>
      </c>
      <c r="G11" s="455">
        <f t="shared" si="0"/>
        <v>2.2199999999999998</v>
      </c>
      <c r="H11" s="456">
        <f t="shared" si="1"/>
        <v>34.081082882882889</v>
      </c>
      <c r="I11" s="454">
        <v>2.68</v>
      </c>
      <c r="J11" s="456">
        <f t="shared" si="2"/>
        <v>28.2313447761194</v>
      </c>
    </row>
    <row r="12" spans="1:14" x14ac:dyDescent="0.2">
      <c r="A12" s="428">
        <v>44050</v>
      </c>
      <c r="B12" s="453">
        <v>75.790001000000004</v>
      </c>
      <c r="C12" s="454">
        <v>0.28999999999999998</v>
      </c>
      <c r="D12" s="455">
        <v>0.62</v>
      </c>
      <c r="E12" s="455">
        <v>0.62</v>
      </c>
      <c r="F12" s="455">
        <v>0.69</v>
      </c>
      <c r="G12" s="455">
        <f t="shared" si="0"/>
        <v>2.2199999999999998</v>
      </c>
      <c r="H12" s="456">
        <f t="shared" si="1"/>
        <v>34.139640090090097</v>
      </c>
      <c r="I12" s="454">
        <v>2.68</v>
      </c>
      <c r="J12" s="456">
        <f t="shared" si="2"/>
        <v>28.279851119402984</v>
      </c>
    </row>
    <row r="13" spans="1:14" x14ac:dyDescent="0.2">
      <c r="A13" s="428">
        <v>44053</v>
      </c>
      <c r="B13" s="453">
        <v>77.470000999999996</v>
      </c>
      <c r="C13" s="454">
        <v>0.28999999999999998</v>
      </c>
      <c r="D13" s="455">
        <v>0.62</v>
      </c>
      <c r="E13" s="455">
        <v>0.62</v>
      </c>
      <c r="F13" s="455">
        <v>0.69</v>
      </c>
      <c r="G13" s="455">
        <f t="shared" si="0"/>
        <v>2.2199999999999998</v>
      </c>
      <c r="H13" s="456">
        <f t="shared" si="1"/>
        <v>34.896396846846848</v>
      </c>
      <c r="I13" s="454">
        <v>2.68</v>
      </c>
      <c r="J13" s="456">
        <f t="shared" si="2"/>
        <v>28.906716791044772</v>
      </c>
    </row>
    <row r="14" spans="1:14" x14ac:dyDescent="0.2">
      <c r="A14" s="428">
        <v>44054</v>
      </c>
      <c r="B14" s="453">
        <v>78.870002999999997</v>
      </c>
      <c r="C14" s="454">
        <v>0.28999999999999998</v>
      </c>
      <c r="D14" s="455">
        <v>0.62</v>
      </c>
      <c r="E14" s="455">
        <v>0.62</v>
      </c>
      <c r="F14" s="455">
        <v>0.69</v>
      </c>
      <c r="G14" s="455">
        <f t="shared" si="0"/>
        <v>2.2199999999999998</v>
      </c>
      <c r="H14" s="456">
        <f t="shared" si="1"/>
        <v>35.527028378378382</v>
      </c>
      <c r="I14" s="454">
        <v>2.68</v>
      </c>
      <c r="J14" s="456">
        <f t="shared" si="2"/>
        <v>29.429105597014921</v>
      </c>
    </row>
    <row r="15" spans="1:14" x14ac:dyDescent="0.2">
      <c r="A15" s="428">
        <v>44055</v>
      </c>
      <c r="B15" s="453">
        <v>79.290001000000004</v>
      </c>
      <c r="C15" s="454">
        <v>0.28999999999999998</v>
      </c>
      <c r="D15" s="455">
        <v>0.62</v>
      </c>
      <c r="E15" s="455">
        <v>0.62</v>
      </c>
      <c r="F15" s="455">
        <v>0.69</v>
      </c>
      <c r="G15" s="455">
        <f t="shared" si="0"/>
        <v>2.2199999999999998</v>
      </c>
      <c r="H15" s="456">
        <f t="shared" si="1"/>
        <v>35.716216666666675</v>
      </c>
      <c r="I15" s="454">
        <v>2.68</v>
      </c>
      <c r="J15" s="456">
        <f t="shared" si="2"/>
        <v>29.585821268656716</v>
      </c>
    </row>
    <row r="16" spans="1:14" x14ac:dyDescent="0.2">
      <c r="A16" s="428">
        <v>44056</v>
      </c>
      <c r="B16" s="453">
        <v>79.019997000000004</v>
      </c>
      <c r="C16" s="454">
        <v>0.28999999999999998</v>
      </c>
      <c r="D16" s="455">
        <v>0.62</v>
      </c>
      <c r="E16" s="455">
        <v>0.62</v>
      </c>
      <c r="F16" s="455">
        <v>0.69</v>
      </c>
      <c r="G16" s="455">
        <f t="shared" si="0"/>
        <v>2.2199999999999998</v>
      </c>
      <c r="H16" s="456">
        <f t="shared" si="1"/>
        <v>35.594593243243246</v>
      </c>
      <c r="I16" s="454">
        <v>2.68</v>
      </c>
      <c r="J16" s="456">
        <f t="shared" si="2"/>
        <v>29.485073507462687</v>
      </c>
    </row>
    <row r="17" spans="1:10" x14ac:dyDescent="0.2">
      <c r="A17" s="428">
        <v>44057</v>
      </c>
      <c r="B17" s="453">
        <v>78.370002999999997</v>
      </c>
      <c r="C17" s="454">
        <v>0.28999999999999998</v>
      </c>
      <c r="D17" s="455">
        <v>0.62</v>
      </c>
      <c r="E17" s="455">
        <v>0.62</v>
      </c>
      <c r="F17" s="455">
        <v>0.69</v>
      </c>
      <c r="G17" s="455">
        <f t="shared" si="0"/>
        <v>2.2199999999999998</v>
      </c>
      <c r="H17" s="456">
        <f t="shared" si="1"/>
        <v>35.301803153153159</v>
      </c>
      <c r="I17" s="454">
        <v>2.68</v>
      </c>
      <c r="J17" s="456">
        <f t="shared" si="2"/>
        <v>29.242538432835818</v>
      </c>
    </row>
    <row r="18" spans="1:10" x14ac:dyDescent="0.2">
      <c r="A18" s="428">
        <v>44060</v>
      </c>
      <c r="B18" s="453">
        <v>78.949996999999996</v>
      </c>
      <c r="C18" s="454">
        <v>0.28999999999999998</v>
      </c>
      <c r="D18" s="455">
        <v>0.62</v>
      </c>
      <c r="E18" s="455">
        <v>0.62</v>
      </c>
      <c r="F18" s="455">
        <v>0.69</v>
      </c>
      <c r="G18" s="455">
        <f t="shared" si="0"/>
        <v>2.2199999999999998</v>
      </c>
      <c r="H18" s="456">
        <f t="shared" si="1"/>
        <v>35.563061711711711</v>
      </c>
      <c r="I18" s="454">
        <v>2.68</v>
      </c>
      <c r="J18" s="456">
        <f t="shared" si="2"/>
        <v>29.458954104477609</v>
      </c>
    </row>
    <row r="19" spans="1:10" x14ac:dyDescent="0.2">
      <c r="A19" s="428">
        <v>44061</v>
      </c>
      <c r="B19" s="453">
        <v>78.989998</v>
      </c>
      <c r="C19" s="454">
        <v>0.28999999999999998</v>
      </c>
      <c r="D19" s="455">
        <v>0.62</v>
      </c>
      <c r="E19" s="455">
        <v>0.62</v>
      </c>
      <c r="F19" s="455">
        <v>0.69</v>
      </c>
      <c r="G19" s="455">
        <f t="shared" si="0"/>
        <v>2.2199999999999998</v>
      </c>
      <c r="H19" s="456">
        <f t="shared" si="1"/>
        <v>35.581080180180187</v>
      </c>
      <c r="I19" s="454">
        <v>2.68</v>
      </c>
      <c r="J19" s="456">
        <f t="shared" si="2"/>
        <v>29.473879850746268</v>
      </c>
    </row>
    <row r="20" spans="1:10" x14ac:dyDescent="0.2">
      <c r="A20" s="428">
        <v>44062</v>
      </c>
      <c r="B20" s="453">
        <v>77.629997000000003</v>
      </c>
      <c r="C20" s="454">
        <v>0.28999999999999998</v>
      </c>
      <c r="D20" s="455">
        <v>0.62</v>
      </c>
      <c r="E20" s="455">
        <v>0.62</v>
      </c>
      <c r="F20" s="455">
        <v>0.69</v>
      </c>
      <c r="G20" s="455">
        <f t="shared" si="0"/>
        <v>2.2199999999999998</v>
      </c>
      <c r="H20" s="456">
        <f t="shared" si="1"/>
        <v>34.968467117117122</v>
      </c>
      <c r="I20" s="454">
        <v>2.68</v>
      </c>
      <c r="J20" s="456">
        <f t="shared" si="2"/>
        <v>28.966416791044775</v>
      </c>
    </row>
    <row r="21" spans="1:10" x14ac:dyDescent="0.2">
      <c r="A21" s="428">
        <v>44063</v>
      </c>
      <c r="B21" s="453">
        <v>77.220000999999996</v>
      </c>
      <c r="C21" s="454">
        <v>0.28999999999999998</v>
      </c>
      <c r="D21" s="455">
        <v>0.62</v>
      </c>
      <c r="E21" s="455">
        <v>0.62</v>
      </c>
      <c r="F21" s="455">
        <v>0.69</v>
      </c>
      <c r="G21" s="455">
        <f t="shared" si="0"/>
        <v>2.2199999999999998</v>
      </c>
      <c r="H21" s="456">
        <f t="shared" si="1"/>
        <v>34.78378423423424</v>
      </c>
      <c r="I21" s="454">
        <v>2.68</v>
      </c>
      <c r="J21" s="456">
        <f t="shared" si="2"/>
        <v>28.813433208955221</v>
      </c>
    </row>
    <row r="22" spans="1:10" x14ac:dyDescent="0.2">
      <c r="A22" s="428">
        <v>44064</v>
      </c>
      <c r="B22" s="453">
        <v>77.069999999999993</v>
      </c>
      <c r="C22" s="454">
        <v>0.28999999999999998</v>
      </c>
      <c r="D22" s="455">
        <v>0.62</v>
      </c>
      <c r="E22" s="455">
        <v>0.62</v>
      </c>
      <c r="F22" s="455">
        <v>0.69</v>
      </c>
      <c r="G22" s="455">
        <f t="shared" si="0"/>
        <v>2.2199999999999998</v>
      </c>
      <c r="H22" s="456">
        <f t="shared" si="1"/>
        <v>34.716216216216218</v>
      </c>
      <c r="I22" s="454">
        <v>2.68</v>
      </c>
      <c r="J22" s="456">
        <f t="shared" si="2"/>
        <v>28.757462686567159</v>
      </c>
    </row>
    <row r="23" spans="1:10" x14ac:dyDescent="0.2">
      <c r="A23" s="428">
        <v>44067</v>
      </c>
      <c r="B23" s="453">
        <v>78.680000000000007</v>
      </c>
      <c r="C23" s="454">
        <v>0.28999999999999998</v>
      </c>
      <c r="D23" s="455">
        <v>0.62</v>
      </c>
      <c r="E23" s="455">
        <v>0.62</v>
      </c>
      <c r="F23" s="455">
        <v>0.69</v>
      </c>
      <c r="G23" s="455">
        <f t="shared" si="0"/>
        <v>2.2199999999999998</v>
      </c>
      <c r="H23" s="456">
        <f t="shared" si="1"/>
        <v>35.441441441441448</v>
      </c>
      <c r="I23" s="454">
        <v>2.68</v>
      </c>
      <c r="J23" s="456">
        <f t="shared" si="2"/>
        <v>29.35820895522388</v>
      </c>
    </row>
    <row r="24" spans="1:10" x14ac:dyDescent="0.2">
      <c r="A24" s="428">
        <v>44068</v>
      </c>
      <c r="B24" s="453">
        <v>82.720000999999996</v>
      </c>
      <c r="C24" s="454">
        <v>0.28999999999999998</v>
      </c>
      <c r="D24" s="455">
        <v>0.62</v>
      </c>
      <c r="E24" s="455">
        <v>0.62</v>
      </c>
      <c r="F24" s="455">
        <v>0.69</v>
      </c>
      <c r="G24" s="455">
        <f t="shared" si="0"/>
        <v>2.2199999999999998</v>
      </c>
      <c r="H24" s="456">
        <f t="shared" si="1"/>
        <v>37.261261711711711</v>
      </c>
      <c r="I24" s="454">
        <v>2.68</v>
      </c>
      <c r="J24" s="456">
        <f t="shared" si="2"/>
        <v>30.865672014925369</v>
      </c>
    </row>
    <row r="25" spans="1:10" x14ac:dyDescent="0.2">
      <c r="A25" s="428">
        <v>44069</v>
      </c>
      <c r="B25" s="453">
        <v>82.410004000000001</v>
      </c>
      <c r="C25" s="454">
        <v>0.28999999999999998</v>
      </c>
      <c r="D25" s="455">
        <v>0.62</v>
      </c>
      <c r="E25" s="455">
        <v>0.62</v>
      </c>
      <c r="F25" s="455">
        <v>0.69</v>
      </c>
      <c r="G25" s="455">
        <f t="shared" si="0"/>
        <v>2.2199999999999998</v>
      </c>
      <c r="H25" s="456">
        <f t="shared" si="1"/>
        <v>37.121623423423429</v>
      </c>
      <c r="I25" s="454">
        <v>2.68</v>
      </c>
      <c r="J25" s="456">
        <f t="shared" si="2"/>
        <v>30.750001492537312</v>
      </c>
    </row>
    <row r="26" spans="1:10" x14ac:dyDescent="0.2">
      <c r="A26" s="428">
        <v>44070</v>
      </c>
      <c r="B26" s="453">
        <v>83.410004000000001</v>
      </c>
      <c r="C26" s="454">
        <v>0.28999999999999998</v>
      </c>
      <c r="D26" s="455">
        <v>0.62</v>
      </c>
      <c r="E26" s="455">
        <v>0.62</v>
      </c>
      <c r="F26" s="455">
        <v>0.69</v>
      </c>
      <c r="G26" s="455">
        <f t="shared" si="0"/>
        <v>2.2199999999999998</v>
      </c>
      <c r="H26" s="456">
        <f t="shared" si="1"/>
        <v>37.572073873873876</v>
      </c>
      <c r="I26" s="454">
        <v>2.68</v>
      </c>
      <c r="J26" s="456">
        <f t="shared" si="2"/>
        <v>31.12313582089552</v>
      </c>
    </row>
    <row r="27" spans="1:10" x14ac:dyDescent="0.2">
      <c r="A27" s="428">
        <v>44071</v>
      </c>
      <c r="B27" s="453">
        <v>85</v>
      </c>
      <c r="C27" s="454">
        <v>0.28999999999999998</v>
      </c>
      <c r="D27" s="455">
        <v>0.62</v>
      </c>
      <c r="E27" s="455">
        <v>0.62</v>
      </c>
      <c r="F27" s="455">
        <v>0.69</v>
      </c>
      <c r="G27" s="455">
        <f t="shared" si="0"/>
        <v>2.2199999999999998</v>
      </c>
      <c r="H27" s="456">
        <f t="shared" si="1"/>
        <v>38.288288288288292</v>
      </c>
      <c r="I27" s="454">
        <v>2.68</v>
      </c>
      <c r="J27" s="456">
        <f t="shared" si="2"/>
        <v>31.71641791044776</v>
      </c>
    </row>
    <row r="28" spans="1:10" x14ac:dyDescent="0.2">
      <c r="A28" s="428">
        <v>44074</v>
      </c>
      <c r="B28" s="453">
        <v>84.470000999999996</v>
      </c>
      <c r="C28" s="454">
        <v>0.28999999999999998</v>
      </c>
      <c r="D28" s="455">
        <v>0.62</v>
      </c>
      <c r="E28" s="455">
        <v>0.62</v>
      </c>
      <c r="F28" s="455">
        <v>0.69</v>
      </c>
      <c r="G28" s="455">
        <f t="shared" si="0"/>
        <v>2.2199999999999998</v>
      </c>
      <c r="H28" s="456">
        <f t="shared" si="1"/>
        <v>38.049550000000004</v>
      </c>
      <c r="I28" s="454">
        <v>2.68</v>
      </c>
      <c r="J28" s="456">
        <f t="shared" si="2"/>
        <v>31.518657089552235</v>
      </c>
    </row>
    <row r="29" spans="1:10" x14ac:dyDescent="0.2">
      <c r="A29" s="428">
        <v>44075</v>
      </c>
      <c r="B29" s="453">
        <v>86.050003000000004</v>
      </c>
      <c r="C29" s="454">
        <v>0.28999999999999998</v>
      </c>
      <c r="D29" s="455">
        <v>0.62</v>
      </c>
      <c r="E29" s="455">
        <v>0.62</v>
      </c>
      <c r="F29" s="455">
        <v>0.69</v>
      </c>
      <c r="G29" s="455">
        <f t="shared" si="0"/>
        <v>2.2199999999999998</v>
      </c>
      <c r="H29" s="456">
        <f t="shared" si="1"/>
        <v>38.761262612612619</v>
      </c>
      <c r="I29" s="454">
        <v>2.68</v>
      </c>
      <c r="J29" s="456">
        <f t="shared" si="2"/>
        <v>32.108210074626868</v>
      </c>
    </row>
    <row r="30" spans="1:10" x14ac:dyDescent="0.2">
      <c r="A30" s="428">
        <v>44076</v>
      </c>
      <c r="B30" s="453">
        <v>88.349997999999999</v>
      </c>
      <c r="C30" s="454">
        <v>0.28999999999999998</v>
      </c>
      <c r="D30" s="455">
        <v>0.62</v>
      </c>
      <c r="E30" s="455">
        <v>0.62</v>
      </c>
      <c r="F30" s="455">
        <v>0.69</v>
      </c>
      <c r="G30" s="455">
        <f t="shared" si="0"/>
        <v>2.2199999999999998</v>
      </c>
      <c r="H30" s="456">
        <f t="shared" si="1"/>
        <v>39.797296396396398</v>
      </c>
      <c r="I30" s="454">
        <v>2.68</v>
      </c>
      <c r="J30" s="456">
        <f t="shared" si="2"/>
        <v>32.966417164179106</v>
      </c>
    </row>
    <row r="31" spans="1:10" x14ac:dyDescent="0.2">
      <c r="A31" s="428">
        <v>44077</v>
      </c>
      <c r="B31" s="453">
        <v>86.480002999999996</v>
      </c>
      <c r="C31" s="454">
        <v>0.28999999999999998</v>
      </c>
      <c r="D31" s="455">
        <v>0.62</v>
      </c>
      <c r="E31" s="455">
        <v>0.62</v>
      </c>
      <c r="F31" s="455">
        <v>0.69</v>
      </c>
      <c r="G31" s="455">
        <f t="shared" si="0"/>
        <v>2.2199999999999998</v>
      </c>
      <c r="H31" s="456">
        <f t="shared" si="1"/>
        <v>38.954956306306308</v>
      </c>
      <c r="I31" s="454">
        <v>2.68</v>
      </c>
      <c r="J31" s="456">
        <f t="shared" si="2"/>
        <v>32.268657835820889</v>
      </c>
    </row>
    <row r="32" spans="1:10" x14ac:dyDescent="0.2">
      <c r="A32" s="428">
        <v>44078</v>
      </c>
      <c r="B32" s="453">
        <v>86.269997000000004</v>
      </c>
      <c r="C32" s="454">
        <v>0.28999999999999998</v>
      </c>
      <c r="D32" s="455">
        <v>0.62</v>
      </c>
      <c r="E32" s="455">
        <v>0.62</v>
      </c>
      <c r="F32" s="455">
        <v>0.69</v>
      </c>
      <c r="G32" s="455">
        <f t="shared" si="0"/>
        <v>2.2199999999999998</v>
      </c>
      <c r="H32" s="456">
        <f t="shared" si="1"/>
        <v>38.860359009009017</v>
      </c>
      <c r="I32" s="454">
        <v>2.68</v>
      </c>
      <c r="J32" s="456">
        <f t="shared" si="2"/>
        <v>32.190297388059697</v>
      </c>
    </row>
    <row r="33" spans="1:10" x14ac:dyDescent="0.2">
      <c r="A33" s="428">
        <v>44082</v>
      </c>
      <c r="B33" s="453">
        <v>85.410004000000001</v>
      </c>
      <c r="C33" s="454">
        <v>0.28999999999999998</v>
      </c>
      <c r="D33" s="455">
        <v>0.62</v>
      </c>
      <c r="E33" s="455">
        <v>0.62</v>
      </c>
      <c r="F33" s="455">
        <v>0.69</v>
      </c>
      <c r="G33" s="455">
        <f t="shared" si="0"/>
        <v>2.2199999999999998</v>
      </c>
      <c r="H33" s="456">
        <f t="shared" si="1"/>
        <v>38.472974774774777</v>
      </c>
      <c r="I33" s="454">
        <v>2.68</v>
      </c>
      <c r="J33" s="456">
        <f t="shared" si="2"/>
        <v>31.869404477611937</v>
      </c>
    </row>
    <row r="34" spans="1:10" x14ac:dyDescent="0.2">
      <c r="A34" s="428">
        <v>44083</v>
      </c>
      <c r="B34" s="453">
        <v>85.860000999999997</v>
      </c>
      <c r="C34" s="454">
        <v>0.28999999999999998</v>
      </c>
      <c r="D34" s="455">
        <v>0.62</v>
      </c>
      <c r="E34" s="455">
        <v>0.62</v>
      </c>
      <c r="F34" s="455">
        <v>0.69</v>
      </c>
      <c r="G34" s="455">
        <f t="shared" si="0"/>
        <v>2.2199999999999998</v>
      </c>
      <c r="H34" s="456">
        <f t="shared" si="1"/>
        <v>38.675676126126127</v>
      </c>
      <c r="I34" s="454">
        <v>2.68</v>
      </c>
      <c r="J34" s="456">
        <f t="shared" si="2"/>
        <v>32.037313805970143</v>
      </c>
    </row>
    <row r="35" spans="1:10" x14ac:dyDescent="0.2">
      <c r="A35" s="428">
        <v>44084</v>
      </c>
      <c r="B35" s="453">
        <v>84.879997000000003</v>
      </c>
      <c r="C35" s="454">
        <v>0.28999999999999998</v>
      </c>
      <c r="D35" s="455">
        <v>0.62</v>
      </c>
      <c r="E35" s="455">
        <v>0.62</v>
      </c>
      <c r="F35" s="455">
        <v>0.69</v>
      </c>
      <c r="G35" s="455">
        <f t="shared" si="0"/>
        <v>2.2199999999999998</v>
      </c>
      <c r="H35" s="456">
        <f t="shared" si="1"/>
        <v>38.234232882882885</v>
      </c>
      <c r="I35" s="454">
        <v>2.68</v>
      </c>
      <c r="J35" s="456">
        <f t="shared" si="2"/>
        <v>31.671640671641789</v>
      </c>
    </row>
    <row r="36" spans="1:10" x14ac:dyDescent="0.2">
      <c r="A36" s="428">
        <v>44085</v>
      </c>
      <c r="B36" s="453">
        <v>85.269997000000004</v>
      </c>
      <c r="C36" s="454">
        <v>0.28999999999999998</v>
      </c>
      <c r="D36" s="455">
        <v>0.62</v>
      </c>
      <c r="E36" s="455">
        <v>0.62</v>
      </c>
      <c r="F36" s="455">
        <v>0.69</v>
      </c>
      <c r="G36" s="455">
        <f t="shared" si="0"/>
        <v>2.2199999999999998</v>
      </c>
      <c r="H36" s="456">
        <f t="shared" si="1"/>
        <v>38.409908558558563</v>
      </c>
      <c r="I36" s="454">
        <v>2.68</v>
      </c>
      <c r="J36" s="456">
        <f t="shared" si="2"/>
        <v>31.817163059701493</v>
      </c>
    </row>
    <row r="37" spans="1:10" x14ac:dyDescent="0.2">
      <c r="A37" s="428">
        <v>44088</v>
      </c>
      <c r="B37" s="453">
        <v>86.629997000000003</v>
      </c>
      <c r="C37" s="454">
        <v>0.28999999999999998</v>
      </c>
      <c r="D37" s="455">
        <v>0.62</v>
      </c>
      <c r="E37" s="455">
        <v>0.62</v>
      </c>
      <c r="F37" s="455">
        <v>0.69</v>
      </c>
      <c r="G37" s="455">
        <f t="shared" si="0"/>
        <v>2.2199999999999998</v>
      </c>
      <c r="H37" s="456">
        <f t="shared" si="1"/>
        <v>39.022521171171178</v>
      </c>
      <c r="I37" s="454">
        <v>2.68</v>
      </c>
      <c r="J37" s="456">
        <f t="shared" si="2"/>
        <v>32.324625746268659</v>
      </c>
    </row>
    <row r="38" spans="1:10" x14ac:dyDescent="0.2">
      <c r="A38" s="428">
        <v>44089</v>
      </c>
      <c r="B38" s="453">
        <v>87.709998999999996</v>
      </c>
      <c r="C38" s="454">
        <v>0.28999999999999998</v>
      </c>
      <c r="D38" s="455">
        <v>0.62</v>
      </c>
      <c r="E38" s="455">
        <v>0.62</v>
      </c>
      <c r="F38" s="455">
        <v>0.69</v>
      </c>
      <c r="G38" s="455">
        <f t="shared" si="0"/>
        <v>2.2199999999999998</v>
      </c>
      <c r="H38" s="456">
        <f t="shared" si="1"/>
        <v>39.509008558558563</v>
      </c>
      <c r="I38" s="454">
        <v>2.68</v>
      </c>
      <c r="J38" s="456">
        <f t="shared" si="2"/>
        <v>32.727611567164175</v>
      </c>
    </row>
    <row r="39" spans="1:10" x14ac:dyDescent="0.2">
      <c r="A39" s="428">
        <v>44090</v>
      </c>
      <c r="B39" s="453">
        <v>88.379997000000003</v>
      </c>
      <c r="C39" s="454">
        <v>0.28999999999999998</v>
      </c>
      <c r="D39" s="455">
        <v>0.62</v>
      </c>
      <c r="E39" s="455">
        <v>0.62</v>
      </c>
      <c r="F39" s="455">
        <v>0.69</v>
      </c>
      <c r="G39" s="455">
        <f>SUM(C39:F39)</f>
        <v>2.2199999999999998</v>
      </c>
      <c r="H39" s="456">
        <f t="shared" si="1"/>
        <v>39.810809459459463</v>
      </c>
      <c r="I39" s="454">
        <v>2.68</v>
      </c>
      <c r="J39" s="456">
        <f t="shared" si="2"/>
        <v>32.977610820895521</v>
      </c>
    </row>
    <row r="40" spans="1:10" x14ac:dyDescent="0.2">
      <c r="A40" s="428">
        <v>44091</v>
      </c>
      <c r="B40" s="453">
        <v>86.75</v>
      </c>
      <c r="C40" s="454">
        <v>0.28999999999999998</v>
      </c>
      <c r="D40" s="455">
        <v>0.62</v>
      </c>
      <c r="E40" s="455">
        <v>0.62</v>
      </c>
      <c r="F40" s="455">
        <v>0.69</v>
      </c>
      <c r="G40" s="455">
        <f t="shared" si="0"/>
        <v>2.2199999999999998</v>
      </c>
      <c r="H40" s="456">
        <f t="shared" si="1"/>
        <v>39.076576576576578</v>
      </c>
      <c r="I40" s="454">
        <v>2.68</v>
      </c>
      <c r="J40" s="456">
        <f t="shared" si="2"/>
        <v>32.369402985074622</v>
      </c>
    </row>
    <row r="41" spans="1:10" x14ac:dyDescent="0.2">
      <c r="A41" s="428">
        <v>44092</v>
      </c>
      <c r="B41" s="453">
        <v>84.949996999999996</v>
      </c>
      <c r="C41" s="457">
        <v>0.28999999999999998</v>
      </c>
      <c r="D41" s="455">
        <v>0.62</v>
      </c>
      <c r="E41" s="455">
        <v>0.62</v>
      </c>
      <c r="F41" s="455">
        <v>0.69</v>
      </c>
      <c r="G41" s="455">
        <f t="shared" si="0"/>
        <v>2.2199999999999998</v>
      </c>
      <c r="H41" s="456">
        <f t="shared" si="1"/>
        <v>38.26576441441442</v>
      </c>
      <c r="I41" s="454">
        <v>2.68</v>
      </c>
      <c r="J41" s="456">
        <f t="shared" si="2"/>
        <v>31.697760074626864</v>
      </c>
    </row>
    <row r="42" spans="1:10" x14ac:dyDescent="0.2">
      <c r="A42" s="428">
        <v>44095</v>
      </c>
      <c r="B42" s="453">
        <v>83.889999000000003</v>
      </c>
      <c r="C42" s="454">
        <v>0.31</v>
      </c>
      <c r="D42" s="455">
        <v>0.63</v>
      </c>
      <c r="E42" s="455">
        <v>0.61</v>
      </c>
      <c r="F42" s="455">
        <v>0.69</v>
      </c>
      <c r="G42" s="455">
        <f t="shared" si="0"/>
        <v>2.2399999999999998</v>
      </c>
      <c r="H42" s="456">
        <f t="shared" si="1"/>
        <v>37.450892410714289</v>
      </c>
      <c r="I42" s="454">
        <v>2.72</v>
      </c>
      <c r="J42" s="456">
        <f t="shared" si="2"/>
        <v>30.841911397058823</v>
      </c>
    </row>
    <row r="43" spans="1:10" x14ac:dyDescent="0.2">
      <c r="A43" s="428">
        <v>44096</v>
      </c>
      <c r="B43" s="453">
        <v>83.949996999999996</v>
      </c>
      <c r="C43" s="454">
        <v>0.31</v>
      </c>
      <c r="D43" s="455">
        <v>0.63</v>
      </c>
      <c r="E43" s="455">
        <v>0.61</v>
      </c>
      <c r="F43" s="455">
        <v>0.69</v>
      </c>
      <c r="G43" s="455">
        <f t="shared" si="0"/>
        <v>2.2399999999999998</v>
      </c>
      <c r="H43" s="456">
        <f t="shared" si="1"/>
        <v>37.47767723214286</v>
      </c>
      <c r="I43" s="454">
        <v>2.72</v>
      </c>
      <c r="J43" s="456">
        <f t="shared" si="2"/>
        <v>30.863969485294113</v>
      </c>
    </row>
    <row r="44" spans="1:10" x14ac:dyDescent="0.2">
      <c r="A44" s="428">
        <v>44097</v>
      </c>
      <c r="B44" s="453">
        <v>82.989998</v>
      </c>
      <c r="C44" s="454">
        <v>0.31</v>
      </c>
      <c r="D44" s="455">
        <v>0.63</v>
      </c>
      <c r="E44" s="455">
        <v>0.61</v>
      </c>
      <c r="F44" s="455">
        <v>0.69</v>
      </c>
      <c r="G44" s="455">
        <f t="shared" si="0"/>
        <v>2.2399999999999998</v>
      </c>
      <c r="H44" s="456">
        <f t="shared" si="1"/>
        <v>37.049106250000001</v>
      </c>
      <c r="I44" s="454">
        <v>2.72</v>
      </c>
      <c r="J44" s="456">
        <f t="shared" si="2"/>
        <v>30.511028676470588</v>
      </c>
    </row>
    <row r="45" spans="1:10" x14ac:dyDescent="0.2">
      <c r="A45" s="428">
        <v>44098</v>
      </c>
      <c r="B45" s="453">
        <v>83.040001000000004</v>
      </c>
      <c r="C45" s="454">
        <v>0.31</v>
      </c>
      <c r="D45" s="455">
        <v>0.63</v>
      </c>
      <c r="E45" s="455">
        <v>0.61</v>
      </c>
      <c r="F45" s="455">
        <v>0.69</v>
      </c>
      <c r="G45" s="455">
        <f t="shared" si="0"/>
        <v>2.2399999999999998</v>
      </c>
      <c r="H45" s="456">
        <f t="shared" si="1"/>
        <v>37.071429017857149</v>
      </c>
      <c r="I45" s="454">
        <v>2.72</v>
      </c>
      <c r="J45" s="456">
        <f t="shared" si="2"/>
        <v>30.529412132352942</v>
      </c>
    </row>
    <row r="46" spans="1:10" x14ac:dyDescent="0.2">
      <c r="A46" s="428">
        <v>44099</v>
      </c>
      <c r="B46" s="453">
        <v>84.300003000000004</v>
      </c>
      <c r="C46" s="454">
        <v>0.31</v>
      </c>
      <c r="D46" s="455">
        <v>0.63</v>
      </c>
      <c r="E46" s="455">
        <v>0.61</v>
      </c>
      <c r="F46" s="455">
        <v>0.69</v>
      </c>
      <c r="G46" s="455">
        <f t="shared" si="0"/>
        <v>2.2399999999999998</v>
      </c>
      <c r="H46" s="456">
        <f t="shared" si="1"/>
        <v>37.633929910714293</v>
      </c>
      <c r="I46" s="454">
        <v>2.72</v>
      </c>
      <c r="J46" s="456">
        <f t="shared" si="2"/>
        <v>30.992648161764706</v>
      </c>
    </row>
    <row r="47" spans="1:10" x14ac:dyDescent="0.2">
      <c r="A47" s="428">
        <v>44102</v>
      </c>
      <c r="B47" s="453">
        <v>86.07</v>
      </c>
      <c r="C47" s="454">
        <v>0.31</v>
      </c>
      <c r="D47" s="455">
        <v>0.63</v>
      </c>
      <c r="E47" s="455">
        <v>0.61</v>
      </c>
      <c r="F47" s="455">
        <v>0.69</v>
      </c>
      <c r="G47" s="455">
        <f t="shared" si="0"/>
        <v>2.2399999999999998</v>
      </c>
      <c r="H47" s="456">
        <f t="shared" si="1"/>
        <v>38.424107142857146</v>
      </c>
      <c r="I47" s="454">
        <v>2.72</v>
      </c>
      <c r="J47" s="456">
        <f t="shared" si="2"/>
        <v>31.64338235294117</v>
      </c>
    </row>
    <row r="48" spans="1:10" x14ac:dyDescent="0.2">
      <c r="A48" s="428">
        <v>44103</v>
      </c>
      <c r="B48" s="453">
        <v>84.800003000000004</v>
      </c>
      <c r="C48" s="454">
        <v>0.31</v>
      </c>
      <c r="D48" s="455">
        <v>0.63</v>
      </c>
      <c r="E48" s="455">
        <v>0.61</v>
      </c>
      <c r="F48" s="455">
        <v>0.69</v>
      </c>
      <c r="G48" s="455">
        <f t="shared" si="0"/>
        <v>2.2399999999999998</v>
      </c>
      <c r="H48" s="456">
        <f t="shared" si="1"/>
        <v>37.857144196428578</v>
      </c>
      <c r="I48" s="454">
        <v>2.72</v>
      </c>
      <c r="J48" s="456">
        <f t="shared" si="2"/>
        <v>31.17647169117647</v>
      </c>
    </row>
    <row r="49" spans="1:10" x14ac:dyDescent="0.2">
      <c r="A49" s="428">
        <v>44104</v>
      </c>
      <c r="B49" s="453">
        <v>85.919998000000007</v>
      </c>
      <c r="C49" s="454">
        <v>0.31</v>
      </c>
      <c r="D49" s="455">
        <v>0.63</v>
      </c>
      <c r="E49" s="455">
        <v>0.61</v>
      </c>
      <c r="F49" s="455">
        <v>0.69</v>
      </c>
      <c r="G49" s="455">
        <f t="shared" si="0"/>
        <v>2.2399999999999998</v>
      </c>
      <c r="H49" s="456">
        <f t="shared" si="1"/>
        <v>38.357141964285724</v>
      </c>
      <c r="I49" s="454">
        <v>2.72</v>
      </c>
      <c r="J49" s="456">
        <f t="shared" si="2"/>
        <v>31.58823455882353</v>
      </c>
    </row>
    <row r="50" spans="1:10" x14ac:dyDescent="0.2">
      <c r="A50" s="428">
        <v>44105</v>
      </c>
      <c r="B50" s="453">
        <v>86.739998</v>
      </c>
      <c r="C50" s="454">
        <v>0.31</v>
      </c>
      <c r="D50" s="455">
        <v>0.63</v>
      </c>
      <c r="E50" s="455">
        <v>0.61</v>
      </c>
      <c r="F50" s="455">
        <v>0.69</v>
      </c>
      <c r="G50" s="455">
        <f t="shared" si="0"/>
        <v>2.2399999999999998</v>
      </c>
      <c r="H50" s="456">
        <f t="shared" si="1"/>
        <v>38.723213392857147</v>
      </c>
      <c r="I50" s="454">
        <v>2.72</v>
      </c>
      <c r="J50" s="456">
        <f t="shared" si="2"/>
        <v>31.88970514705882</v>
      </c>
    </row>
    <row r="51" spans="1:10" x14ac:dyDescent="0.2">
      <c r="A51" s="428">
        <v>44106</v>
      </c>
      <c r="B51" s="453">
        <v>86.57</v>
      </c>
      <c r="C51" s="454">
        <v>0.31</v>
      </c>
      <c r="D51" s="455">
        <v>0.63</v>
      </c>
      <c r="E51" s="455">
        <v>0.61</v>
      </c>
      <c r="F51" s="455">
        <v>0.69</v>
      </c>
      <c r="G51" s="455">
        <f t="shared" si="0"/>
        <v>2.2399999999999998</v>
      </c>
      <c r="H51" s="456">
        <f t="shared" si="1"/>
        <v>38.647321428571431</v>
      </c>
      <c r="I51" s="454">
        <v>2.72</v>
      </c>
      <c r="J51" s="456">
        <f t="shared" si="2"/>
        <v>31.827205882352935</v>
      </c>
    </row>
    <row r="52" spans="1:10" x14ac:dyDescent="0.2">
      <c r="A52" s="428">
        <v>44109</v>
      </c>
      <c r="B52" s="453">
        <v>88.470000999999996</v>
      </c>
      <c r="C52" s="454">
        <v>0.31</v>
      </c>
      <c r="D52" s="455">
        <v>0.63</v>
      </c>
      <c r="E52" s="455">
        <v>0.61</v>
      </c>
      <c r="F52" s="455">
        <v>0.69</v>
      </c>
      <c r="G52" s="455">
        <f t="shared" si="0"/>
        <v>2.2399999999999998</v>
      </c>
      <c r="H52" s="456">
        <f t="shared" si="1"/>
        <v>39.495536160714288</v>
      </c>
      <c r="I52" s="454">
        <v>2.72</v>
      </c>
      <c r="J52" s="456">
        <f t="shared" si="2"/>
        <v>32.525735661764699</v>
      </c>
    </row>
    <row r="53" spans="1:10" x14ac:dyDescent="0.2">
      <c r="A53" s="428">
        <v>44110</v>
      </c>
      <c r="B53" s="453">
        <v>87.010002</v>
      </c>
      <c r="C53" s="454">
        <v>0.31</v>
      </c>
      <c r="D53" s="455">
        <v>0.63</v>
      </c>
      <c r="E53" s="455">
        <v>0.61</v>
      </c>
      <c r="F53" s="455">
        <v>0.69</v>
      </c>
      <c r="G53" s="455">
        <f t="shared" si="0"/>
        <v>2.2399999999999998</v>
      </c>
      <c r="H53" s="456">
        <f t="shared" si="1"/>
        <v>38.843750892857145</v>
      </c>
      <c r="I53" s="454">
        <v>2.72</v>
      </c>
      <c r="J53" s="456">
        <f t="shared" si="2"/>
        <v>31.988971323529409</v>
      </c>
    </row>
    <row r="54" spans="1:10" x14ac:dyDescent="0.2">
      <c r="A54" s="428">
        <v>44111</v>
      </c>
      <c r="B54" s="453">
        <v>88.449996999999996</v>
      </c>
      <c r="C54" s="454">
        <v>0.31</v>
      </c>
      <c r="D54" s="455">
        <v>0.63</v>
      </c>
      <c r="E54" s="455">
        <v>0.61</v>
      </c>
      <c r="F54" s="455">
        <v>0.69</v>
      </c>
      <c r="G54" s="455">
        <f t="shared" si="0"/>
        <v>2.2399999999999998</v>
      </c>
      <c r="H54" s="456">
        <f t="shared" si="1"/>
        <v>39.486605803571429</v>
      </c>
      <c r="I54" s="454">
        <v>2.72</v>
      </c>
      <c r="J54" s="456">
        <f t="shared" si="2"/>
        <v>32.518381249999997</v>
      </c>
    </row>
    <row r="55" spans="1:10" x14ac:dyDescent="0.2">
      <c r="A55" s="428">
        <v>44112</v>
      </c>
      <c r="B55" s="453">
        <v>89.529999000000004</v>
      </c>
      <c r="C55" s="454">
        <v>0.31</v>
      </c>
      <c r="D55" s="455">
        <v>0.63</v>
      </c>
      <c r="E55" s="455">
        <v>0.61</v>
      </c>
      <c r="F55" s="455">
        <v>0.69</v>
      </c>
      <c r="G55" s="455">
        <f t="shared" si="0"/>
        <v>2.2399999999999998</v>
      </c>
      <c r="H55" s="456">
        <f t="shared" si="1"/>
        <v>39.968749553571435</v>
      </c>
      <c r="I55" s="454">
        <v>2.72</v>
      </c>
      <c r="J55" s="456">
        <f t="shared" si="2"/>
        <v>32.915440808823526</v>
      </c>
    </row>
    <row r="56" spans="1:10" x14ac:dyDescent="0.2">
      <c r="A56" s="428">
        <v>44113</v>
      </c>
      <c r="B56" s="453">
        <v>90.010002</v>
      </c>
      <c r="C56" s="454">
        <v>0.31</v>
      </c>
      <c r="D56" s="455">
        <v>0.63</v>
      </c>
      <c r="E56" s="455">
        <v>0.61</v>
      </c>
      <c r="F56" s="455">
        <v>0.69</v>
      </c>
      <c r="G56" s="455">
        <f t="shared" si="0"/>
        <v>2.2399999999999998</v>
      </c>
      <c r="H56" s="456">
        <f t="shared" si="1"/>
        <v>40.18303660714286</v>
      </c>
      <c r="I56" s="454">
        <v>2.72</v>
      </c>
      <c r="J56" s="456">
        <f t="shared" si="2"/>
        <v>33.091912499999999</v>
      </c>
    </row>
    <row r="57" spans="1:10" x14ac:dyDescent="0.2">
      <c r="A57" s="428">
        <v>44116</v>
      </c>
      <c r="B57" s="453">
        <v>90.779999000000004</v>
      </c>
      <c r="C57" s="454">
        <v>0.31</v>
      </c>
      <c r="D57" s="455">
        <v>0.63</v>
      </c>
      <c r="E57" s="455">
        <v>0.61</v>
      </c>
      <c r="F57" s="455">
        <v>0.69</v>
      </c>
      <c r="G57" s="455">
        <f t="shared" si="0"/>
        <v>2.2399999999999998</v>
      </c>
      <c r="H57" s="456">
        <f t="shared" si="1"/>
        <v>40.52678526785715</v>
      </c>
      <c r="I57" s="454">
        <v>2.72</v>
      </c>
      <c r="J57" s="456">
        <f t="shared" si="2"/>
        <v>33.374999632352939</v>
      </c>
    </row>
    <row r="58" spans="1:10" x14ac:dyDescent="0.2">
      <c r="A58" s="428">
        <v>44117</v>
      </c>
      <c r="B58" s="453">
        <v>90.160004000000001</v>
      </c>
      <c r="C58" s="454">
        <v>0.31</v>
      </c>
      <c r="D58" s="455">
        <v>0.63</v>
      </c>
      <c r="E58" s="455">
        <v>0.61</v>
      </c>
      <c r="F58" s="455">
        <v>0.69</v>
      </c>
      <c r="G58" s="455">
        <f t="shared" si="0"/>
        <v>2.2399999999999998</v>
      </c>
      <c r="H58" s="456">
        <f t="shared" si="1"/>
        <v>40.250001785714289</v>
      </c>
      <c r="I58" s="454">
        <v>2.72</v>
      </c>
      <c r="J58" s="456">
        <f t="shared" si="2"/>
        <v>33.147060294117644</v>
      </c>
    </row>
    <row r="59" spans="1:10" x14ac:dyDescent="0.2">
      <c r="A59" s="428">
        <v>44118</v>
      </c>
      <c r="B59" s="453">
        <v>89.309997999999993</v>
      </c>
      <c r="C59" s="454">
        <v>0.31</v>
      </c>
      <c r="D59" s="455">
        <v>0.63</v>
      </c>
      <c r="E59" s="455">
        <v>0.61</v>
      </c>
      <c r="F59" s="455">
        <v>0.69</v>
      </c>
      <c r="G59" s="455">
        <f t="shared" si="0"/>
        <v>2.2399999999999998</v>
      </c>
      <c r="H59" s="456">
        <f t="shared" si="1"/>
        <v>39.870534821428571</v>
      </c>
      <c r="I59" s="454">
        <v>2.72</v>
      </c>
      <c r="J59" s="456">
        <f t="shared" si="2"/>
        <v>32.834558088235291</v>
      </c>
    </row>
    <row r="60" spans="1:10" x14ac:dyDescent="0.2">
      <c r="A60" s="428">
        <v>44119</v>
      </c>
      <c r="B60" s="453">
        <v>88.830001999999993</v>
      </c>
      <c r="C60" s="454">
        <v>0.31</v>
      </c>
      <c r="D60" s="455">
        <v>0.63</v>
      </c>
      <c r="E60" s="455">
        <v>0.61</v>
      </c>
      <c r="F60" s="455">
        <v>0.69</v>
      </c>
      <c r="G60" s="455">
        <f t="shared" si="0"/>
        <v>2.2399999999999998</v>
      </c>
      <c r="H60" s="456">
        <f t="shared" si="1"/>
        <v>39.656250892857145</v>
      </c>
      <c r="I60" s="454">
        <v>2.72</v>
      </c>
      <c r="J60" s="456">
        <f t="shared" si="2"/>
        <v>32.658088970588231</v>
      </c>
    </row>
    <row r="61" spans="1:10" s="462" customFormat="1" x14ac:dyDescent="0.2">
      <c r="A61" s="458">
        <v>44120</v>
      </c>
      <c r="B61" s="459">
        <v>88.519997000000004</v>
      </c>
      <c r="C61" s="460">
        <v>0.31</v>
      </c>
      <c r="D61" s="459">
        <v>0.63</v>
      </c>
      <c r="E61" s="459">
        <v>0.61</v>
      </c>
      <c r="F61" s="459">
        <v>0.69</v>
      </c>
      <c r="G61" s="459">
        <f t="shared" si="0"/>
        <v>2.2399999999999998</v>
      </c>
      <c r="H61" s="461">
        <f t="shared" si="1"/>
        <v>39.517855803571436</v>
      </c>
      <c r="I61" s="460">
        <v>2.72</v>
      </c>
      <c r="J61" s="461">
        <f t="shared" si="2"/>
        <v>32.544116544117649</v>
      </c>
    </row>
    <row r="62" spans="1:10" x14ac:dyDescent="0.2">
      <c r="C62" s="463"/>
      <c r="D62" s="464"/>
      <c r="E62" s="464"/>
      <c r="F62" s="464"/>
      <c r="G62" s="465" t="s">
        <v>380</v>
      </c>
      <c r="H62" s="456">
        <f>AVERAGE(H5:H61)</f>
        <v>37.41757682621531</v>
      </c>
      <c r="I62" s="466" t="s">
        <v>381</v>
      </c>
      <c r="J62" s="456">
        <f>AVERAGE(J5:J61)</f>
        <v>30.929375907421097</v>
      </c>
    </row>
    <row r="63" spans="1:10" x14ac:dyDescent="0.2">
      <c r="C63" s="463"/>
      <c r="D63" s="464"/>
      <c r="E63" s="464"/>
      <c r="F63" s="464"/>
      <c r="G63" s="465" t="s">
        <v>382</v>
      </c>
      <c r="H63" s="456">
        <f>MAX(H5:H61)</f>
        <v>40.52678526785715</v>
      </c>
      <c r="I63" s="466" t="s">
        <v>383</v>
      </c>
      <c r="J63" s="456">
        <f>MAX(J5:J61)</f>
        <v>33.374999632352939</v>
      </c>
    </row>
    <row r="64" spans="1:10" x14ac:dyDescent="0.2">
      <c r="C64" s="467"/>
      <c r="D64" s="468"/>
      <c r="E64" s="468"/>
      <c r="F64" s="468"/>
      <c r="G64" s="469" t="s">
        <v>384</v>
      </c>
      <c r="H64" s="470">
        <f>MIN(H5:H61)</f>
        <v>33.842340990990998</v>
      </c>
      <c r="I64" s="471" t="s">
        <v>385</v>
      </c>
      <c r="J64" s="470">
        <f>MIN(J5:J61)</f>
        <v>28.033580970149252</v>
      </c>
    </row>
    <row r="65" spans="6:12" x14ac:dyDescent="0.2">
      <c r="I65" s="472" t="s">
        <v>386</v>
      </c>
      <c r="J65" s="473"/>
    </row>
    <row r="66" spans="6:12" x14ac:dyDescent="0.2">
      <c r="I66" s="474" t="s">
        <v>387</v>
      </c>
      <c r="J66" s="475">
        <v>2.72</v>
      </c>
      <c r="K66" s="476"/>
    </row>
    <row r="67" spans="6:12" x14ac:dyDescent="0.2">
      <c r="I67" s="474" t="s">
        <v>388</v>
      </c>
      <c r="J67" s="475">
        <v>3.2</v>
      </c>
      <c r="K67" s="476"/>
    </row>
    <row r="68" spans="6:12" x14ac:dyDescent="0.2">
      <c r="F68" s="477"/>
      <c r="I68" s="478" t="s">
        <v>389</v>
      </c>
      <c r="J68" s="479">
        <v>2.4</v>
      </c>
      <c r="K68" s="476"/>
    </row>
    <row r="69" spans="6:12" x14ac:dyDescent="0.2">
      <c r="F69" s="477"/>
      <c r="I69" s="480" t="s">
        <v>390</v>
      </c>
      <c r="J69" s="481" t="s">
        <v>391</v>
      </c>
      <c r="K69" s="482" t="s">
        <v>392</v>
      </c>
      <c r="L69" s="483" t="s">
        <v>393</v>
      </c>
    </row>
    <row r="70" spans="6:12" x14ac:dyDescent="0.2">
      <c r="F70" s="477"/>
      <c r="I70" s="474" t="s">
        <v>394</v>
      </c>
      <c r="J70" s="484">
        <f>J66*J62</f>
        <v>84.127902468185383</v>
      </c>
      <c r="K70" s="484">
        <f>J66*J63</f>
        <v>90.779999000000004</v>
      </c>
      <c r="L70" s="485">
        <f>J66*J64</f>
        <v>76.251340238805966</v>
      </c>
    </row>
    <row r="71" spans="6:12" x14ac:dyDescent="0.2">
      <c r="I71" s="474" t="s">
        <v>395</v>
      </c>
      <c r="J71" s="484">
        <f>J67*J62</f>
        <v>98.974002903747518</v>
      </c>
      <c r="K71" s="484">
        <f>J67*J63</f>
        <v>106.79999882352941</v>
      </c>
      <c r="L71" s="485">
        <f>J67*J64</f>
        <v>89.707459104477607</v>
      </c>
    </row>
    <row r="72" spans="6:12" x14ac:dyDescent="0.2">
      <c r="I72" s="478" t="s">
        <v>396</v>
      </c>
      <c r="J72" s="486">
        <f>J68*J62</f>
        <v>74.230502177810635</v>
      </c>
      <c r="K72" s="486">
        <f>J68*J63</f>
        <v>80.099999117647044</v>
      </c>
      <c r="L72" s="487">
        <f>J68*J64</f>
        <v>67.280594328358205</v>
      </c>
    </row>
    <row r="74" spans="6:12" x14ac:dyDescent="0.2">
      <c r="I74" s="488" t="s">
        <v>397</v>
      </c>
      <c r="J74" s="489"/>
      <c r="K74" s="489"/>
      <c r="L74" s="490"/>
    </row>
    <row r="75" spans="6:12" x14ac:dyDescent="0.2">
      <c r="I75" s="491"/>
      <c r="J75" s="492"/>
      <c r="K75" s="492"/>
      <c r="L75" s="493"/>
    </row>
    <row r="76" spans="6:12" x14ac:dyDescent="0.2">
      <c r="I76" s="491"/>
      <c r="J76" s="492"/>
      <c r="K76" s="492"/>
      <c r="L76" s="493"/>
    </row>
    <row r="77" spans="6:12" x14ac:dyDescent="0.2">
      <c r="I77" s="494" t="s">
        <v>398</v>
      </c>
      <c r="J77" s="495">
        <v>5.9349999999999996</v>
      </c>
      <c r="K77" s="464"/>
      <c r="L77" s="496"/>
    </row>
    <row r="78" spans="6:12" x14ac:dyDescent="0.2">
      <c r="I78" s="463" t="s">
        <v>399</v>
      </c>
      <c r="J78" s="497">
        <f>J70</f>
        <v>84.127902468185383</v>
      </c>
      <c r="K78" s="464"/>
      <c r="L78" s="496"/>
    </row>
    <row r="79" spans="6:12" x14ac:dyDescent="0.2">
      <c r="I79" s="463" t="s">
        <v>400</v>
      </c>
      <c r="J79" s="498">
        <v>1.1413108087818999</v>
      </c>
      <c r="K79" s="464"/>
      <c r="L79" s="496"/>
    </row>
    <row r="80" spans="6:12" x14ac:dyDescent="0.2">
      <c r="I80" s="499" t="s">
        <v>401</v>
      </c>
      <c r="J80" s="500">
        <f>J78*J79</f>
        <v>96.016084407089451</v>
      </c>
      <c r="K80" s="464"/>
      <c r="L80" s="496"/>
    </row>
    <row r="81" spans="9:12" x14ac:dyDescent="0.2">
      <c r="I81" s="463" t="s">
        <v>402</v>
      </c>
      <c r="J81" s="501">
        <v>14.8</v>
      </c>
      <c r="K81" s="464"/>
      <c r="L81" s="496"/>
    </row>
    <row r="82" spans="9:12" x14ac:dyDescent="0.2">
      <c r="I82" s="463" t="s">
        <v>403</v>
      </c>
      <c r="J82" s="501">
        <v>2.4</v>
      </c>
      <c r="K82" s="464"/>
      <c r="L82" s="496"/>
    </row>
    <row r="83" spans="9:12" x14ac:dyDescent="0.2">
      <c r="I83" s="499" t="s">
        <v>404</v>
      </c>
      <c r="J83" s="500">
        <f>+J81-J82</f>
        <v>12.4</v>
      </c>
      <c r="K83" s="464"/>
      <c r="L83" s="496"/>
    </row>
    <row r="84" spans="9:12" x14ac:dyDescent="0.2">
      <c r="I84" s="502" t="s">
        <v>405</v>
      </c>
      <c r="J84" s="503">
        <f>J80+J83</f>
        <v>108.41608440708946</v>
      </c>
      <c r="K84" s="464"/>
      <c r="L84" s="496"/>
    </row>
    <row r="85" spans="9:12" x14ac:dyDescent="0.2">
      <c r="I85" s="467" t="s">
        <v>406</v>
      </c>
      <c r="J85" s="504">
        <f>J84/J77</f>
        <v>18.267242528574467</v>
      </c>
      <c r="K85" s="468"/>
      <c r="L85" s="505"/>
    </row>
  </sheetData>
  <mergeCells count="5">
    <mergeCell ref="C2:H2"/>
    <mergeCell ref="I2:J2"/>
    <mergeCell ref="C3:G3"/>
    <mergeCell ref="I65:J65"/>
    <mergeCell ref="I74:L7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EZ140"/>
  <sheetViews>
    <sheetView showGridLines="0" zoomScale="90" zoomScaleNormal="90" workbookViewId="0"/>
  </sheetViews>
  <sheetFormatPr baseColWidth="10" defaultColWidth="9.1640625" defaultRowHeight="15" x14ac:dyDescent="0.2"/>
  <cols>
    <col min="1" max="1" width="1.5" style="509" customWidth="1"/>
    <col min="2" max="2" width="9.5" style="628" customWidth="1"/>
    <col min="3" max="3" width="11.6640625" style="515" customWidth="1"/>
    <col min="4" max="4" width="12.33203125" style="509" customWidth="1"/>
    <col min="5" max="5" width="9.6640625" style="509" customWidth="1"/>
    <col min="6" max="6" width="0.83203125" style="509" customWidth="1"/>
    <col min="7" max="7" width="8.83203125" style="509" customWidth="1"/>
    <col min="8" max="9" width="11.1640625" style="509" customWidth="1"/>
    <col min="10" max="11" width="11.5" style="509" customWidth="1"/>
    <col min="12" max="12" width="15.6640625" style="509" customWidth="1"/>
    <col min="13" max="14" width="14.33203125" style="509" customWidth="1"/>
    <col min="15" max="15" width="12.83203125" style="509" customWidth="1"/>
    <col min="16" max="16" width="11.6640625" style="509" customWidth="1"/>
    <col min="17" max="17" width="0.6640625" style="509" customWidth="1"/>
    <col min="18" max="18" width="10.33203125" style="509" customWidth="1"/>
    <col min="19" max="19" width="12.1640625" style="509" customWidth="1"/>
    <col min="20" max="20" width="17.1640625" style="509" customWidth="1"/>
    <col min="21" max="21" width="9.1640625" style="509" customWidth="1"/>
    <col min="22" max="16384" width="9.1640625" style="509"/>
  </cols>
  <sheetData>
    <row r="1" spans="1:21 16380:16380" ht="24" x14ac:dyDescent="0.3">
      <c r="A1" s="506"/>
      <c r="B1" s="507" t="s">
        <v>407</v>
      </c>
      <c r="C1" s="508"/>
    </row>
    <row r="2" spans="1:21 16380:16380" ht="30" customHeight="1" x14ac:dyDescent="0.2">
      <c r="B2" s="510" t="s">
        <v>408</v>
      </c>
      <c r="C2" s="510"/>
      <c r="D2" s="510"/>
      <c r="E2" s="510"/>
      <c r="F2" s="510"/>
      <c r="G2" s="510"/>
      <c r="H2" s="510"/>
      <c r="I2" s="510"/>
      <c r="J2" s="510"/>
      <c r="K2" s="509">
        <v>24.915649086282905</v>
      </c>
      <c r="L2" s="509">
        <v>0.344811216703787</v>
      </c>
      <c r="M2" s="509">
        <v>8.5911952764058178E-2</v>
      </c>
      <c r="XEZ2" s="511" t="s">
        <v>37</v>
      </c>
    </row>
    <row r="3" spans="1:21 16380:16380" ht="14.25" customHeight="1" x14ac:dyDescent="0.2">
      <c r="B3" s="512" t="s">
        <v>409</v>
      </c>
      <c r="C3" s="508"/>
      <c r="G3" s="513"/>
      <c r="H3" s="513"/>
      <c r="I3" s="513"/>
      <c r="J3" s="513"/>
      <c r="K3" s="513"/>
      <c r="L3" s="513"/>
      <c r="M3" s="513"/>
      <c r="N3" s="513"/>
      <c r="O3" s="513"/>
      <c r="P3" s="513"/>
      <c r="R3" s="513"/>
      <c r="S3" s="513"/>
      <c r="T3" s="513"/>
    </row>
    <row r="4" spans="1:21 16380:16380" s="506" customFormat="1" ht="6" customHeight="1" x14ac:dyDescent="0.2">
      <c r="B4" s="514"/>
      <c r="C4" s="515"/>
      <c r="D4" s="516"/>
      <c r="E4" s="517"/>
      <c r="F4" s="517"/>
      <c r="G4" s="517"/>
      <c r="H4" s="517"/>
      <c r="I4" s="517"/>
      <c r="J4" s="517"/>
      <c r="R4" s="518"/>
      <c r="S4" s="518"/>
      <c r="T4" s="518"/>
    </row>
    <row r="5" spans="1:21 16380:16380" s="506" customFormat="1" ht="15" customHeight="1" x14ac:dyDescent="0.2">
      <c r="B5" s="519" t="s">
        <v>410</v>
      </c>
      <c r="C5" s="520"/>
      <c r="D5" s="520"/>
      <c r="E5" s="521"/>
      <c r="G5" s="522" t="s">
        <v>411</v>
      </c>
      <c r="H5" s="523"/>
      <c r="I5" s="523"/>
      <c r="J5" s="523"/>
      <c r="K5" s="523"/>
      <c r="L5" s="523"/>
      <c r="M5" s="523"/>
      <c r="N5" s="523"/>
      <c r="O5" s="523"/>
      <c r="P5" s="524"/>
      <c r="R5" s="522" t="s">
        <v>412</v>
      </c>
      <c r="S5" s="523"/>
      <c r="T5" s="524"/>
      <c r="U5" s="525"/>
    </row>
    <row r="6" spans="1:21 16380:16380" s="526" customFormat="1" ht="62.25" customHeight="1" x14ac:dyDescent="0.2">
      <c r="B6" s="527" t="s">
        <v>413</v>
      </c>
      <c r="C6" s="528" t="s">
        <v>414</v>
      </c>
      <c r="D6" s="528" t="s">
        <v>415</v>
      </c>
      <c r="E6" s="529" t="s">
        <v>416</v>
      </c>
      <c r="F6" s="530"/>
      <c r="G6" s="531" t="s">
        <v>417</v>
      </c>
      <c r="H6" s="528" t="s">
        <v>418</v>
      </c>
      <c r="I6" s="528" t="s">
        <v>419</v>
      </c>
      <c r="J6" s="528" t="s">
        <v>420</v>
      </c>
      <c r="K6" s="528" t="s">
        <v>421</v>
      </c>
      <c r="L6" s="528" t="s">
        <v>422</v>
      </c>
      <c r="M6" s="528" t="s">
        <v>423</v>
      </c>
      <c r="N6" s="528" t="s">
        <v>424</v>
      </c>
      <c r="O6" s="528" t="s">
        <v>425</v>
      </c>
      <c r="P6" s="529" t="s">
        <v>426</v>
      </c>
      <c r="Q6" s="530"/>
      <c r="R6" s="531" t="s">
        <v>427</v>
      </c>
      <c r="S6" s="528" t="s">
        <v>428</v>
      </c>
      <c r="T6" s="529" t="s">
        <v>429</v>
      </c>
    </row>
    <row r="7" spans="1:21 16380:16380" s="526" customFormat="1" ht="14.25" customHeight="1" x14ac:dyDescent="0.2">
      <c r="A7" s="532"/>
      <c r="B7" s="533" t="s">
        <v>430</v>
      </c>
      <c r="C7" s="534">
        <f>((1+P7)*(1+P8)*(1+P9)*(1+P10))^(1/1)-1</f>
        <v>0.12550881000000014</v>
      </c>
      <c r="D7" s="535">
        <f>+O7</f>
        <v>1.9337500000000001E-2</v>
      </c>
      <c r="E7" s="536">
        <f t="shared" ref="E7:E12" si="0">C7-D7</f>
        <v>0.10617131000000013</v>
      </c>
      <c r="F7" s="537"/>
      <c r="G7" s="533" t="s">
        <v>431</v>
      </c>
      <c r="H7" s="538">
        <f t="shared" ref="H7:I14" si="1">+H8</f>
        <v>16.2</v>
      </c>
      <c r="I7" s="539">
        <f t="shared" si="1"/>
        <v>18.996947258848717</v>
      </c>
      <c r="J7" s="540">
        <f t="shared" ref="J7:J31" si="2">AVERAGE(H7:H10)</f>
        <v>16.622499999999999</v>
      </c>
      <c r="K7" s="541">
        <v>1.12E-2</v>
      </c>
      <c r="L7" s="542">
        <f>+L8+0.0024</f>
        <v>1.44E-2</v>
      </c>
      <c r="M7" s="543">
        <f t="shared" ref="M7:M14" si="3">+M8</f>
        <v>1.5043233998906535E-2</v>
      </c>
      <c r="N7" s="544">
        <f t="shared" ref="N7:N14" si="4">+K7+L7</f>
        <v>2.5599999999999998E-2</v>
      </c>
      <c r="O7" s="544">
        <f t="shared" ref="O7:O29" si="5">AVERAGE(N7:N10)</f>
        <v>1.9337500000000001E-2</v>
      </c>
      <c r="P7" s="545">
        <v>0.03</v>
      </c>
      <c r="R7" s="546">
        <f t="shared" ref="R7:R9" si="6">$E$74*J7/100</f>
        <v>5.8654550388031031E-2</v>
      </c>
      <c r="S7" s="547">
        <f t="shared" ref="S7:S15" si="7">+S8</f>
        <v>6.0052515968180752E-2</v>
      </c>
      <c r="T7" s="548">
        <f t="shared" ref="T7:T70" si="8">O7+(1*R7)</f>
        <v>7.7992050388031031E-2</v>
      </c>
      <c r="U7" s="549"/>
    </row>
    <row r="8" spans="1:21 16380:16380" s="526" customFormat="1" ht="14.25" customHeight="1" x14ac:dyDescent="0.2">
      <c r="A8" s="532"/>
      <c r="B8" s="533" t="s">
        <v>432</v>
      </c>
      <c r="C8" s="534">
        <f>((1+P11)*(1+P12)*(1+P13)*(1+P14))^(1/1)-1</f>
        <v>0.16822600000000021</v>
      </c>
      <c r="D8" s="535">
        <f>+O11</f>
        <v>7.3749999999999996E-3</v>
      </c>
      <c r="E8" s="536">
        <f t="shared" si="0"/>
        <v>0.16085100000000022</v>
      </c>
      <c r="F8" s="537"/>
      <c r="G8" s="533" t="s">
        <v>433</v>
      </c>
      <c r="H8" s="538">
        <f t="shared" si="1"/>
        <v>16.2</v>
      </c>
      <c r="I8" s="539">
        <f t="shared" si="1"/>
        <v>18.996947258848717</v>
      </c>
      <c r="J8" s="540">
        <f t="shared" si="2"/>
        <v>17.321736814712178</v>
      </c>
      <c r="K8" s="541">
        <v>8.7500000000000008E-3</v>
      </c>
      <c r="L8" s="542">
        <f t="shared" ref="L8:L11" si="9">+L9+0.001</f>
        <v>1.2E-2</v>
      </c>
      <c r="M8" s="543">
        <f t="shared" si="3"/>
        <v>1.5043233998906535E-2</v>
      </c>
      <c r="N8" s="544">
        <f t="shared" si="4"/>
        <v>2.0750000000000001E-2</v>
      </c>
      <c r="O8" s="544">
        <f t="shared" si="5"/>
        <v>1.5250000000000001E-2</v>
      </c>
      <c r="P8" s="545">
        <v>0.03</v>
      </c>
      <c r="Q8" s="550"/>
      <c r="R8" s="546">
        <f t="shared" si="6"/>
        <v>6.1121894107790495E-2</v>
      </c>
      <c r="S8" s="547">
        <f t="shared" si="7"/>
        <v>6.0052515968180752E-2</v>
      </c>
      <c r="T8" s="548">
        <f t="shared" si="8"/>
        <v>7.6371894107790494E-2</v>
      </c>
      <c r="U8" s="549"/>
    </row>
    <row r="9" spans="1:21 16380:16380" s="526" customFormat="1" ht="14.25" customHeight="1" x14ac:dyDescent="0.2">
      <c r="A9" s="532"/>
      <c r="B9" s="533" t="s">
        <v>434</v>
      </c>
      <c r="C9" s="534">
        <f>((1+P15)*(1+P16)*(1+P17)*(1+P18))^(1/1)-1</f>
        <v>2.947782658917264E-3</v>
      </c>
      <c r="D9" s="535">
        <f>+O15</f>
        <v>8.4995670995670989E-3</v>
      </c>
      <c r="E9" s="536">
        <f t="shared" si="0"/>
        <v>-5.5517844406498349E-3</v>
      </c>
      <c r="F9" s="537"/>
      <c r="G9" s="533" t="s">
        <v>435</v>
      </c>
      <c r="H9" s="538">
        <v>16.2</v>
      </c>
      <c r="I9" s="539">
        <f t="shared" si="1"/>
        <v>18.996947258848717</v>
      </c>
      <c r="J9" s="540">
        <f t="shared" si="2"/>
        <v>18.020973629424361</v>
      </c>
      <c r="K9" s="541">
        <v>6.2500000000000003E-3</v>
      </c>
      <c r="L9" s="542">
        <f t="shared" si="9"/>
        <v>1.0999999999999999E-2</v>
      </c>
      <c r="M9" s="543">
        <f t="shared" si="3"/>
        <v>1.5043233998906535E-2</v>
      </c>
      <c r="N9" s="544">
        <f t="shared" si="4"/>
        <v>1.7250000000000001E-2</v>
      </c>
      <c r="O9" s="544">
        <f t="shared" si="5"/>
        <v>1.2375000000000001E-2</v>
      </c>
      <c r="P9" s="545">
        <v>0.03</v>
      </c>
      <c r="R9" s="546">
        <f t="shared" si="6"/>
        <v>6.358923782754998E-2</v>
      </c>
      <c r="S9" s="547">
        <f t="shared" si="7"/>
        <v>6.0052515968180752E-2</v>
      </c>
      <c r="T9" s="548">
        <f t="shared" si="8"/>
        <v>7.5964237827549977E-2</v>
      </c>
      <c r="U9" s="549"/>
    </row>
    <row r="10" spans="1:21 16380:16380" s="526" customFormat="1" ht="14.25" customHeight="1" x14ac:dyDescent="0.2">
      <c r="A10" s="532"/>
      <c r="B10" s="551">
        <v>2019</v>
      </c>
      <c r="C10" s="552">
        <f>((1+P19)*(1+P20)*(1+P21)*(1+P22))^(1/1)-1</f>
        <v>0.31486370986834444</v>
      </c>
      <c r="D10" s="553">
        <f>+O19</f>
        <v>2.1461960100831071E-2</v>
      </c>
      <c r="E10" s="554">
        <f t="shared" si="0"/>
        <v>0.29340174976751338</v>
      </c>
      <c r="F10" s="537"/>
      <c r="G10" s="533" t="s">
        <v>436</v>
      </c>
      <c r="H10" s="538">
        <v>17.89</v>
      </c>
      <c r="I10" s="539">
        <f t="shared" si="1"/>
        <v>18.996947258848717</v>
      </c>
      <c r="J10" s="540">
        <f t="shared" si="2"/>
        <v>19.22097362942436</v>
      </c>
      <c r="K10" s="541">
        <v>3.7499999999999999E-3</v>
      </c>
      <c r="L10" s="542">
        <v>0.01</v>
      </c>
      <c r="M10" s="543">
        <f t="shared" si="3"/>
        <v>1.5043233998906535E-2</v>
      </c>
      <c r="N10" s="544">
        <f t="shared" si="4"/>
        <v>1.375E-2</v>
      </c>
      <c r="O10" s="544">
        <f t="shared" si="5"/>
        <v>9.75E-3</v>
      </c>
      <c r="P10" s="545">
        <v>0.03</v>
      </c>
      <c r="R10" s="546">
        <f>$E$74*J10/100</f>
        <v>6.7823586479415651E-2</v>
      </c>
      <c r="S10" s="547">
        <f t="shared" si="7"/>
        <v>6.0052515968180752E-2</v>
      </c>
      <c r="T10" s="548">
        <f t="shared" si="8"/>
        <v>7.7573586479415646E-2</v>
      </c>
      <c r="U10" s="549"/>
    </row>
    <row r="11" spans="1:21 16380:16380" s="526" customFormat="1" ht="14.25" customHeight="1" x14ac:dyDescent="0.2">
      <c r="B11" s="555">
        <v>2018</v>
      </c>
      <c r="C11" s="556">
        <f>'[3]Data-Equity Market'!G3296</f>
        <v>-4.384241745255868E-2</v>
      </c>
      <c r="D11" s="557">
        <f>+O23</f>
        <v>2.9086336654776678E-2</v>
      </c>
      <c r="E11" s="558">
        <f>C11-D11</f>
        <v>-7.2928754107335361E-2</v>
      </c>
      <c r="F11" s="537"/>
      <c r="G11" s="533" t="s">
        <v>437</v>
      </c>
      <c r="H11" s="538">
        <f t="shared" si="1"/>
        <v>18.996947258848717</v>
      </c>
      <c r="I11" s="539">
        <f t="shared" si="1"/>
        <v>18.996947258848717</v>
      </c>
      <c r="J11" s="540">
        <f t="shared" si="2"/>
        <v>21.664885900995085</v>
      </c>
      <c r="K11" s="541">
        <f t="shared" ref="K11:K12" si="10">K12+0</f>
        <v>1.25E-3</v>
      </c>
      <c r="L11" s="542">
        <v>8.0000000000000002E-3</v>
      </c>
      <c r="M11" s="543">
        <f t="shared" si="3"/>
        <v>1.5043233998906535E-2</v>
      </c>
      <c r="N11" s="544">
        <f t="shared" si="4"/>
        <v>9.2499999999999995E-3</v>
      </c>
      <c r="O11" s="544">
        <f t="shared" si="5"/>
        <v>7.3749999999999996E-3</v>
      </c>
      <c r="P11" s="545">
        <v>0.03</v>
      </c>
      <c r="R11" s="546">
        <f t="shared" ref="R11:R13" si="11">$E$73*J11/100</f>
        <v>7.4702956672708459E-2</v>
      </c>
      <c r="S11" s="547">
        <f t="shared" si="7"/>
        <v>6.0052515968180752E-2</v>
      </c>
      <c r="T11" s="548">
        <f t="shared" si="8"/>
        <v>8.2077956672708452E-2</v>
      </c>
      <c r="U11" s="549"/>
    </row>
    <row r="12" spans="1:21 16380:16380" s="526" customFormat="1" ht="14.25" customHeight="1" x14ac:dyDescent="0.2">
      <c r="B12" s="555">
        <v>2017</v>
      </c>
      <c r="C12" s="559">
        <v>0.21829999999999999</v>
      </c>
      <c r="D12" s="560">
        <f>+O27</f>
        <v>2.3307713293650792E-2</v>
      </c>
      <c r="E12" s="558">
        <f t="shared" si="0"/>
        <v>0.19499228670634922</v>
      </c>
      <c r="F12" s="537"/>
      <c r="G12" s="533" t="s">
        <v>438</v>
      </c>
      <c r="H12" s="538">
        <f>(($I$16-H13)/1)+H13</f>
        <v>18.996947258848717</v>
      </c>
      <c r="I12" s="539">
        <f t="shared" si="1"/>
        <v>18.996947258848717</v>
      </c>
      <c r="J12" s="561">
        <f>AVERAGE(H12:H15)</f>
        <v>24.915649086282905</v>
      </c>
      <c r="K12" s="541">
        <f t="shared" si="10"/>
        <v>1.25E-3</v>
      </c>
      <c r="L12" s="542">
        <v>8.0000000000000002E-3</v>
      </c>
      <c r="M12" s="543">
        <f t="shared" si="3"/>
        <v>1.5043233998906535E-2</v>
      </c>
      <c r="N12" s="544">
        <f t="shared" si="4"/>
        <v>9.2499999999999995E-3</v>
      </c>
      <c r="O12" s="562">
        <f>AVERAGE(N12:N15)</f>
        <v>6.0000000000000001E-3</v>
      </c>
      <c r="P12" s="545">
        <v>0.06</v>
      </c>
      <c r="R12" s="563">
        <f t="shared" si="11"/>
        <v>8.5911952764058178E-2</v>
      </c>
      <c r="S12" s="547">
        <f t="shared" si="7"/>
        <v>6.0052515968180752E-2</v>
      </c>
      <c r="T12" s="564">
        <f t="shared" si="8"/>
        <v>9.1911952764058183E-2</v>
      </c>
      <c r="U12" s="549"/>
    </row>
    <row r="13" spans="1:21 16380:16380" s="526" customFormat="1" ht="14.25" customHeight="1" x14ac:dyDescent="0.2">
      <c r="B13" s="555">
        <v>2016</v>
      </c>
      <c r="C13" s="559">
        <v>0.1196</v>
      </c>
      <c r="D13" s="560">
        <v>1.84E-2</v>
      </c>
      <c r="E13" s="558">
        <f>C13-D13</f>
        <v>0.1012</v>
      </c>
      <c r="F13" s="537"/>
      <c r="G13" s="533" t="s">
        <v>439</v>
      </c>
      <c r="H13" s="538">
        <v>21</v>
      </c>
      <c r="I13" s="539">
        <f t="shared" si="1"/>
        <v>18.996947258848717</v>
      </c>
      <c r="J13" s="540">
        <f>AVERAGE(H13:H16)</f>
        <v>26.636412271570727</v>
      </c>
      <c r="K13" s="541">
        <f>K14+0</f>
        <v>1.25E-3</v>
      </c>
      <c r="L13" s="542">
        <v>5.4999999999999997E-3</v>
      </c>
      <c r="M13" s="543">
        <f t="shared" si="3"/>
        <v>1.5043233998906535E-2</v>
      </c>
      <c r="N13" s="544">
        <f t="shared" si="4"/>
        <v>6.7499999999999999E-3</v>
      </c>
      <c r="O13" s="565">
        <f t="shared" si="5"/>
        <v>5.2382575757575758E-3</v>
      </c>
      <c r="P13" s="545">
        <v>7.0000000000000007E-2</v>
      </c>
      <c r="R13" s="566">
        <f t="shared" si="11"/>
        <v>9.1845337239839966E-2</v>
      </c>
      <c r="S13" s="547">
        <f t="shared" si="7"/>
        <v>6.0052515968180752E-2</v>
      </c>
      <c r="T13" s="567">
        <f t="shared" si="8"/>
        <v>9.7083594815597543E-2</v>
      </c>
    </row>
    <row r="14" spans="1:21 16380:16380" s="526" customFormat="1" ht="14.25" customHeight="1" x14ac:dyDescent="0.2">
      <c r="B14" s="568">
        <v>2015</v>
      </c>
      <c r="C14" s="559">
        <v>1.3837599218982088E-2</v>
      </c>
      <c r="D14" s="560">
        <v>2.1399999999999999E-2</v>
      </c>
      <c r="E14" s="558">
        <f>C14-D14</f>
        <v>-7.5624007810179104E-3</v>
      </c>
      <c r="F14" s="537"/>
      <c r="G14" s="533" t="s">
        <v>440</v>
      </c>
      <c r="H14" s="538">
        <f>(($I$16-H15)/3)+H15</f>
        <v>27.665649086282905</v>
      </c>
      <c r="I14" s="539">
        <f t="shared" si="1"/>
        <v>18.996947258848717</v>
      </c>
      <c r="J14" s="540">
        <f t="shared" si="2"/>
        <v>30.084224771570721</v>
      </c>
      <c r="K14" s="541">
        <f>('[3]CME FedWatch'!E122+'[3]CME FedWatch'!E134+'[3]CME FedWatch'!E146)/3</f>
        <v>1.25E-3</v>
      </c>
      <c r="L14" s="542">
        <v>3.0000000000000001E-3</v>
      </c>
      <c r="M14" s="543">
        <f t="shared" si="3"/>
        <v>1.5043233998906535E-2</v>
      </c>
      <c r="N14" s="544">
        <f t="shared" si="4"/>
        <v>4.2500000000000003E-3</v>
      </c>
      <c r="O14" s="544">
        <f t="shared" si="5"/>
        <v>6.1275432900432889E-3</v>
      </c>
      <c r="P14" s="545">
        <v>0</v>
      </c>
      <c r="R14" s="546">
        <f>$E$73*J14/100</f>
        <v>0.10373378147075522</v>
      </c>
      <c r="S14" s="547">
        <f t="shared" si="7"/>
        <v>6.0052515968180752E-2</v>
      </c>
      <c r="T14" s="548">
        <f t="shared" si="8"/>
        <v>0.10986132476079852</v>
      </c>
    </row>
    <row r="15" spans="1:21 16380:16380" s="506" customFormat="1" ht="14.25" customHeight="1" x14ac:dyDescent="0.2">
      <c r="B15" s="568">
        <v>2014</v>
      </c>
      <c r="C15" s="559">
        <v>0.13689999999999999</v>
      </c>
      <c r="D15" s="559">
        <v>2.5399999999999999E-2</v>
      </c>
      <c r="E15" s="558">
        <f t="shared" ref="E15:E50" si="12">C15-D15</f>
        <v>0.11149999999999999</v>
      </c>
      <c r="F15" s="537"/>
      <c r="G15" s="533" t="s">
        <v>441</v>
      </c>
      <c r="H15" s="538">
        <v>32</v>
      </c>
      <c r="I15" s="539">
        <f>+I16</f>
        <v>18.996947258848717</v>
      </c>
      <c r="J15" s="540">
        <f t="shared" si="2"/>
        <v>30.904717261904757</v>
      </c>
      <c r="K15" s="541">
        <f>('[3]CME FedWatch'!E98+'[3]CME FedWatch'!E110+'[3]CME FedWatch'!E122)/3</f>
        <v>1.25E-3</v>
      </c>
      <c r="L15" s="542">
        <v>2.5000000000000001E-3</v>
      </c>
      <c r="M15" s="543">
        <f>+M16</f>
        <v>1.5043233998906535E-2</v>
      </c>
      <c r="N15" s="544">
        <f>+K15+L15</f>
        <v>3.7499999999999999E-3</v>
      </c>
      <c r="O15" s="544">
        <f t="shared" si="5"/>
        <v>8.4995670995670989E-3</v>
      </c>
      <c r="P15" s="545">
        <v>-0.05</v>
      </c>
      <c r="R15" s="546">
        <f>$E$72*J15/100</f>
        <v>0.10236432038262237</v>
      </c>
      <c r="S15" s="547">
        <f t="shared" si="7"/>
        <v>6.0052515968180752E-2</v>
      </c>
      <c r="T15" s="548">
        <f t="shared" si="8"/>
        <v>0.11086388748218948</v>
      </c>
    </row>
    <row r="16" spans="1:21 16380:16380" s="506" customFormat="1" ht="14.25" customHeight="1" x14ac:dyDescent="0.2">
      <c r="B16" s="568">
        <v>2013</v>
      </c>
      <c r="C16" s="559">
        <v>0.32388131519889463</v>
      </c>
      <c r="D16" s="559">
        <v>2.35E-2</v>
      </c>
      <c r="E16" s="558">
        <f t="shared" si="12"/>
        <v>0.30038131519889461</v>
      </c>
      <c r="F16" s="537"/>
      <c r="G16" s="551" t="s">
        <v>442</v>
      </c>
      <c r="H16" s="569">
        <f>'[3]Data-Volatility'!D7756</f>
        <v>25.879999999999988</v>
      </c>
      <c r="I16" s="570">
        <f>AVERAGE(H16:H78)</f>
        <v>18.996947258848717</v>
      </c>
      <c r="J16" s="571">
        <f>AVERAGE(H16:H19)</f>
        <v>26.40983264652014</v>
      </c>
      <c r="K16" s="572">
        <f>'[3]Data-Interest Rates'!L21466</f>
        <v>9.2473118279569821E-4</v>
      </c>
      <c r="L16" s="573">
        <f>AVERAGE('[3]Data-Interest Rates'!H21374:H21466)/100</f>
        <v>5.6064516129032283E-3</v>
      </c>
      <c r="M16" s="574">
        <f>AVERAGE(L16:$L$78)</f>
        <v>1.5043233998906535E-2</v>
      </c>
      <c r="N16" s="573">
        <f>'[3]Data-Interest Rates'!D14682</f>
        <v>6.203030303030304E-3</v>
      </c>
      <c r="O16" s="573">
        <f>AVERAGE(N16:N19)</f>
        <v>1.2037463924963923E-2</v>
      </c>
      <c r="P16" s="575">
        <f>'[3]Data-Equity Market'!F3737</f>
        <v>8.9293052063473155E-2</v>
      </c>
      <c r="Q16" s="518"/>
      <c r="R16" s="576">
        <f>$E$72*J16/100</f>
        <v>8.7476113998048166E-2</v>
      </c>
      <c r="S16" s="577">
        <f>AVERAGE(R16:$R$130)</f>
        <v>6.0052515968180752E-2</v>
      </c>
      <c r="T16" s="578">
        <f t="shared" si="8"/>
        <v>9.9513577923012089E-2</v>
      </c>
    </row>
    <row r="17" spans="2:20" ht="14.25" customHeight="1" x14ac:dyDescent="0.2">
      <c r="B17" s="568">
        <v>2012</v>
      </c>
      <c r="C17" s="559">
        <v>0.1600348992262155</v>
      </c>
      <c r="D17" s="559">
        <v>1.8000000000000002E-2</v>
      </c>
      <c r="E17" s="558">
        <f t="shared" si="12"/>
        <v>0.14203489922621548</v>
      </c>
      <c r="F17" s="537"/>
      <c r="G17" s="579" t="s">
        <v>443</v>
      </c>
      <c r="H17" s="580">
        <f>'[3]Data-Volatility'!D7692</f>
        <v>34.791249999999991</v>
      </c>
      <c r="I17" s="581">
        <f>AVERAGE(H17:H78)</f>
        <v>18.885930279152731</v>
      </c>
      <c r="J17" s="580">
        <f t="shared" si="2"/>
        <v>23.926486492673988</v>
      </c>
      <c r="K17" s="582">
        <f>'[3]Data-Interest Rates'!L21374</f>
        <v>5.9021739130434741E-4</v>
      </c>
      <c r="L17" s="583">
        <f>+N17-K17</f>
        <v>9.7169254658385062E-3</v>
      </c>
      <c r="M17" s="584">
        <f>AVERAGE(L17:$L$78)</f>
        <v>1.5195440166422719E-2</v>
      </c>
      <c r="N17" s="583">
        <f>'[3]Data-Interest Rates'!D14618</f>
        <v>1.0307142857142853E-2</v>
      </c>
      <c r="O17" s="583">
        <f>AVERAGE(N17:N20)</f>
        <v>1.4989398656898658E-2</v>
      </c>
      <c r="P17" s="585">
        <f>'[3]Data-Equity Market'!F3673</f>
        <v>0.2054334623851819</v>
      </c>
      <c r="R17" s="586">
        <f>$E$72*J17/100</f>
        <v>7.925063698885991E-2</v>
      </c>
      <c r="S17" s="587">
        <f>AVERAGE(R17:$R$130)</f>
        <v>5.9811958090725766E-2</v>
      </c>
      <c r="T17" s="588">
        <f t="shared" si="8"/>
        <v>9.4240035645758571E-2</v>
      </c>
    </row>
    <row r="18" spans="2:20" s="506" customFormat="1" ht="14.25" customHeight="1" x14ac:dyDescent="0.2">
      <c r="B18" s="568">
        <v>2011</v>
      </c>
      <c r="C18" s="559">
        <v>2.1117563864202049E-2</v>
      </c>
      <c r="D18" s="559">
        <v>2.7799999999999998E-2</v>
      </c>
      <c r="E18" s="558">
        <f t="shared" si="12"/>
        <v>-6.6824361357979492E-3</v>
      </c>
      <c r="F18" s="537"/>
      <c r="G18" s="579" t="s">
        <v>444</v>
      </c>
      <c r="H18" s="589">
        <f>'[3]Data-Volatility'!D7629</f>
        <v>30.947619047619046</v>
      </c>
      <c r="I18" s="590">
        <f t="shared" ref="I18" si="13">+I19</f>
        <v>18.494378757989637</v>
      </c>
      <c r="J18" s="580">
        <f t="shared" si="2"/>
        <v>19.018673992673996</v>
      </c>
      <c r="K18" s="582">
        <f>'[3]Data-Interest Rates'!L21283</f>
        <v>1.2581521739130432E-2</v>
      </c>
      <c r="L18" s="583">
        <f t="shared" ref="L18:L19" si="14">+N18-K18</f>
        <v>1.1565734989648063E-3</v>
      </c>
      <c r="M18" s="584">
        <f>AVERAGE(L18:$L$78)</f>
        <v>1.5285251882825739E-2</v>
      </c>
      <c r="N18" s="583">
        <f>'[3]Data-Interest Rates'!D14555</f>
        <v>1.3738095238095238E-2</v>
      </c>
      <c r="O18" s="583">
        <f t="shared" ref="O18:O23" si="15">AVERAGE(N18:N21)</f>
        <v>1.8262612942612944E-2</v>
      </c>
      <c r="P18" s="585">
        <f>'[3]Data-Equity Market'!F3610</f>
        <v>-0.19598020620821932</v>
      </c>
      <c r="R18" s="586">
        <f>$E$72*J18/100</f>
        <v>6.2994707938600916E-2</v>
      </c>
      <c r="S18" s="591">
        <f>AVERAGE(R18:$R$130)</f>
        <v>5.9639934383662628E-2</v>
      </c>
      <c r="T18" s="588">
        <f t="shared" si="8"/>
        <v>8.125732088121386E-2</v>
      </c>
    </row>
    <row r="19" spans="2:20" x14ac:dyDescent="0.2">
      <c r="B19" s="568">
        <v>2010</v>
      </c>
      <c r="C19" s="559">
        <v>0.15063364504652954</v>
      </c>
      <c r="D19" s="559">
        <v>3.2199999999999999E-2</v>
      </c>
      <c r="E19" s="558">
        <f t="shared" si="12"/>
        <v>0.11843364504652953</v>
      </c>
      <c r="F19" s="537"/>
      <c r="G19" s="579" t="s">
        <v>445</v>
      </c>
      <c r="H19" s="589">
        <f>'[3]Data-Volatility'!D7567</f>
        <v>14.020461538461536</v>
      </c>
      <c r="I19" s="590">
        <f>+I20</f>
        <v>18.494378757989637</v>
      </c>
      <c r="J19" s="580">
        <f t="shared" si="2"/>
        <v>15.399269230769232</v>
      </c>
      <c r="K19" s="582">
        <f>'[3]Data-Interest Rates'!L21192</f>
        <v>1.6483870967741943E-2</v>
      </c>
      <c r="L19" s="583">
        <f t="shared" si="14"/>
        <v>1.4177163338453605E-3</v>
      </c>
      <c r="M19" s="584">
        <f>AVERAGE(L19:$L$78)</f>
        <v>1.5520729855890088E-2</v>
      </c>
      <c r="N19" s="583">
        <f>'[3]Data-Interest Rates'!D14493</f>
        <v>1.7901587301587304E-2</v>
      </c>
      <c r="O19" s="583">
        <f t="shared" si="15"/>
        <v>2.1461960100831071E-2</v>
      </c>
      <c r="P19" s="585">
        <f>'[3]Data-Equity Market'!F3548</f>
        <v>9.0700147621987748E-2</v>
      </c>
      <c r="R19" s="586">
        <f>$E$71*J19/100</f>
        <v>5.1748523213995493E-2</v>
      </c>
      <c r="S19" s="592">
        <f>AVERAGE(R19:$R$130)</f>
        <v>5.9609981048350691E-2</v>
      </c>
      <c r="T19" s="588">
        <f t="shared" si="8"/>
        <v>7.321048331482656E-2</v>
      </c>
    </row>
    <row r="20" spans="2:20" x14ac:dyDescent="0.2">
      <c r="B20" s="568">
        <v>2009</v>
      </c>
      <c r="C20" s="559">
        <v>0.26464532105141436</v>
      </c>
      <c r="D20" s="559">
        <v>3.2599999999999997E-2</v>
      </c>
      <c r="E20" s="558">
        <f t="shared" si="12"/>
        <v>0.23204532105141437</v>
      </c>
      <c r="F20" s="537"/>
      <c r="G20" s="579" t="s">
        <v>446</v>
      </c>
      <c r="H20" s="580">
        <f>'[3]Data-Volatility'!D7503</f>
        <v>15.946615384615388</v>
      </c>
      <c r="I20" s="593">
        <f>AVERAGE(H20:H78)</f>
        <v>18.494378757989637</v>
      </c>
      <c r="J20" s="580">
        <f t="shared" si="2"/>
        <v>17.157566544566549</v>
      </c>
      <c r="K20" s="584">
        <f>'[3]Data-Interest Rates'!L21100</f>
        <v>2.1916129032258071E-2</v>
      </c>
      <c r="L20" s="583">
        <f>+N20-K20</f>
        <v>-3.9053598014888412E-3</v>
      </c>
      <c r="M20" s="584">
        <f>AVERAGE(L20:$L$78)</f>
        <v>1.5759763983382372E-2</v>
      </c>
      <c r="N20" s="583">
        <f>'[3]Data-Interest Rates'!D14431</f>
        <v>1.801076923076923E-2</v>
      </c>
      <c r="O20" s="583">
        <f t="shared" si="15"/>
        <v>2.4589789081885857E-2</v>
      </c>
      <c r="P20" s="585">
        <f>'[3]Data-Equity Market'!F3484</f>
        <v>1.698303220073627E-2</v>
      </c>
      <c r="R20" s="586">
        <f>$E$71*J20/100</f>
        <v>5.7657199008710552E-2</v>
      </c>
      <c r="S20" s="594">
        <f>AVERAGE(R20:$R$130)</f>
        <v>5.9680804992804343E-2</v>
      </c>
      <c r="T20" s="588">
        <f t="shared" si="8"/>
        <v>8.2246988090596412E-2</v>
      </c>
    </row>
    <row r="21" spans="2:20" x14ac:dyDescent="0.2">
      <c r="B21" s="568">
        <v>2008</v>
      </c>
      <c r="C21" s="559">
        <v>-0.36997838899122026</v>
      </c>
      <c r="D21" s="559">
        <v>3.6600000000000001E-2</v>
      </c>
      <c r="E21" s="558">
        <f t="shared" si="12"/>
        <v>-0.40657838899122029</v>
      </c>
      <c r="F21" s="537"/>
      <c r="G21" s="579" t="s">
        <v>447</v>
      </c>
      <c r="H21" s="580">
        <f>'[3]Data-Volatility'!D7439</f>
        <v>15.160000000000004</v>
      </c>
      <c r="I21" s="593">
        <f>AVERAGE(H21:H80)</f>
        <v>18.405195522279552</v>
      </c>
      <c r="J21" s="580">
        <f t="shared" si="2"/>
        <v>16.385119047619046</v>
      </c>
      <c r="K21" s="584">
        <f>+'[3]Data-Interest Rates'!L21008</f>
        <v>2.3977173913043479E-2</v>
      </c>
      <c r="L21" s="595">
        <f>+N21-K21</f>
        <v>-5.7717391304347443E-4</v>
      </c>
      <c r="M21" s="584">
        <f>AVERAGE(L21:$L$78)</f>
        <v>1.6098817841742219E-2</v>
      </c>
      <c r="N21" s="583">
        <f>'[3]Data-Interest Rates'!D14367</f>
        <v>2.3400000000000004E-2</v>
      </c>
      <c r="O21" s="583">
        <f t="shared" si="15"/>
        <v>2.7393737399193551E-2</v>
      </c>
      <c r="P21" s="585">
        <f>+'[3]Data-Equity Market'!F3420</f>
        <v>4.3038524413624657E-2</v>
      </c>
      <c r="Q21" s="537"/>
      <c r="R21" s="596">
        <f>$E$71*J21/100</f>
        <v>5.5061425363328038E-2</v>
      </c>
      <c r="S21" s="594">
        <f>AVERAGE(R21:$R$130)</f>
        <v>5.9699201410841549E-2</v>
      </c>
      <c r="T21" s="588">
        <f t="shared" si="8"/>
        <v>8.2455162762521586E-2</v>
      </c>
    </row>
    <row r="22" spans="2:20" x14ac:dyDescent="0.2">
      <c r="B22" s="568">
        <v>2007</v>
      </c>
      <c r="C22" s="559">
        <v>5.493962610589409E-2</v>
      </c>
      <c r="D22" s="559">
        <v>4.6300000000000001E-2</v>
      </c>
      <c r="E22" s="558">
        <f t="shared" si="12"/>
        <v>8.6396261058940896E-3</v>
      </c>
      <c r="F22" s="537"/>
      <c r="G22" s="579" t="s">
        <v>448</v>
      </c>
      <c r="H22" s="580">
        <f>'[3]Data-Volatility'!D7376</f>
        <v>16.47</v>
      </c>
      <c r="I22" s="593">
        <f>AVERAGE(H22:H81)</f>
        <v>18.423028855612884</v>
      </c>
      <c r="J22" s="580">
        <f t="shared" si="2"/>
        <v>16.429494047619045</v>
      </c>
      <c r="K22" s="584">
        <f>+'[3]Data-Interest Rates'!L20917</f>
        <v>2.401758241758245E-2</v>
      </c>
      <c r="L22" s="595">
        <f t="shared" ref="L22:L23" si="16">+N22-K22</f>
        <v>2.5179014533852941E-3</v>
      </c>
      <c r="M22" s="597">
        <f>AVERAGE(L22:L78)</f>
        <v>1.6391379100598111E-2</v>
      </c>
      <c r="N22" s="583">
        <f>'[3]Data-Interest Rates'!D14304</f>
        <v>2.6535483870967744E-2</v>
      </c>
      <c r="O22" s="583">
        <f t="shared" si="15"/>
        <v>2.8838352783808936E-2</v>
      </c>
      <c r="P22" s="585">
        <f>+'[3]Data-Equity Market'!F3357</f>
        <v>0.13647872686197626</v>
      </c>
      <c r="Q22" s="537"/>
      <c r="R22" s="596">
        <f>$E$71*J22/100</f>
        <v>5.5210545473068875E-2</v>
      </c>
      <c r="S22" s="594">
        <f>AVERAGE(R22:$R$130)</f>
        <v>5.9741749814947176E-2</v>
      </c>
      <c r="T22" s="588">
        <f t="shared" si="8"/>
        <v>8.4048898256877808E-2</v>
      </c>
    </row>
    <row r="23" spans="2:20" x14ac:dyDescent="0.2">
      <c r="B23" s="568">
        <v>2006</v>
      </c>
      <c r="C23" s="559">
        <v>0.15794243570111566</v>
      </c>
      <c r="D23" s="559">
        <v>4.8000000000000001E-2</v>
      </c>
      <c r="E23" s="558">
        <f t="shared" si="12"/>
        <v>0.10994243570111566</v>
      </c>
      <c r="F23" s="537"/>
      <c r="G23" s="555" t="s">
        <v>449</v>
      </c>
      <c r="H23" s="598">
        <f>'[3]Data-Volatility'!D7315</f>
        <v>21.053650793650796</v>
      </c>
      <c r="I23" s="593">
        <f>+I22</f>
        <v>18.423028855612884</v>
      </c>
      <c r="J23" s="598">
        <f t="shared" si="2"/>
        <v>16.650682572209213</v>
      </c>
      <c r="K23" s="599">
        <f>+'[3]Data-Interest Rates'!L20827</f>
        <v>2.2196774193548385E-2</v>
      </c>
      <c r="L23" s="600">
        <f t="shared" si="16"/>
        <v>8.2161290322580634E-3</v>
      </c>
      <c r="M23" s="597">
        <f>+M22</f>
        <v>1.6391379100598111E-2</v>
      </c>
      <c r="N23" s="599">
        <f>'[3]Data-Interest Rates'!D14243</f>
        <v>3.0412903225806448E-2</v>
      </c>
      <c r="O23" s="599">
        <f t="shared" si="15"/>
        <v>2.9086336654776678E-2</v>
      </c>
      <c r="P23" s="601">
        <f>+'[3]Data-Equity Market'!F3296</f>
        <v>-0.13519750425962362</v>
      </c>
      <c r="Q23" s="537"/>
      <c r="R23" s="602">
        <f>$E$70*J23/100</f>
        <v>5.1902721022397076E-2</v>
      </c>
      <c r="S23" s="594">
        <f>AVERAGE(R23:$R$130)</f>
        <v>5.978370541070531E-2</v>
      </c>
      <c r="T23" s="603">
        <f t="shared" si="8"/>
        <v>8.0989057677173751E-2</v>
      </c>
    </row>
    <row r="24" spans="2:20" x14ac:dyDescent="0.2">
      <c r="B24" s="568">
        <v>2005</v>
      </c>
      <c r="C24" s="559">
        <v>4.9119556688679511E-2</v>
      </c>
      <c r="D24" s="559">
        <v>4.2900000000000001E-2</v>
      </c>
      <c r="E24" s="558">
        <f t="shared" si="12"/>
        <v>6.2195566886795103E-3</v>
      </c>
      <c r="F24" s="537"/>
      <c r="G24" s="555" t="s">
        <v>450</v>
      </c>
      <c r="H24" s="604">
        <f>+'[3]Data-Volatility'!D7252</f>
        <v>12.856825396825391</v>
      </c>
      <c r="I24" s="604">
        <f>+I23</f>
        <v>18.423028855612884</v>
      </c>
      <c r="J24" s="604">
        <f t="shared" si="2"/>
        <v>13.964254000780638</v>
      </c>
      <c r="K24" s="605">
        <f>+'[3]Data-Interest Rates'!L20735</f>
        <v>1.9260215053763411E-2</v>
      </c>
      <c r="L24" s="600">
        <f>+N24-K24</f>
        <v>9.9663474462365967E-3</v>
      </c>
      <c r="M24" s="606">
        <f>+M23</f>
        <v>1.6391379100598111E-2</v>
      </c>
      <c r="N24" s="600">
        <f>'[3]Data-Interest Rates'!D14182</f>
        <v>2.9226562500000008E-2</v>
      </c>
      <c r="O24" s="600">
        <f t="shared" si="5"/>
        <v>2.7410094975309194E-2</v>
      </c>
      <c r="P24" s="607">
        <f>+'[3]Data-Equity Market'!F3233</f>
        <v>7.7107663670869853E-2</v>
      </c>
      <c r="Q24" s="537"/>
      <c r="R24" s="608">
        <f>$E$70*J24/100</f>
        <v>4.3528712804729516E-2</v>
      </c>
      <c r="S24" s="609">
        <f>AVERAGE(R24:$R$130)</f>
        <v>5.9857359470409127E-2</v>
      </c>
      <c r="T24" s="603">
        <f t="shared" si="8"/>
        <v>7.0938807780038707E-2</v>
      </c>
    </row>
    <row r="25" spans="2:20" x14ac:dyDescent="0.2">
      <c r="B25" s="568">
        <v>2004</v>
      </c>
      <c r="C25" s="559">
        <v>0.10882047938955197</v>
      </c>
      <c r="D25" s="559">
        <v>4.2699999999999995E-2</v>
      </c>
      <c r="E25" s="558">
        <f t="shared" si="12"/>
        <v>6.6120479389551984E-2</v>
      </c>
      <c r="F25" s="537"/>
      <c r="G25" s="555" t="s">
        <v>451</v>
      </c>
      <c r="H25" s="604">
        <f>+'[3]Data-Volatility'!D7189</f>
        <v>15.337499999999999</v>
      </c>
      <c r="I25" s="604">
        <f>+I24</f>
        <v>18.423028855612884</v>
      </c>
      <c r="J25" s="604">
        <f t="shared" si="2"/>
        <v>13.486119080145718</v>
      </c>
      <c r="K25" s="605">
        <f>+'[3]Data-Interest Rates'!L20643</f>
        <v>1.7361956521739139E-2</v>
      </c>
      <c r="L25" s="600">
        <f t="shared" ref="L25:L77" si="17">+N25-K25</f>
        <v>1.1816505016722406E-2</v>
      </c>
      <c r="M25" s="600">
        <f>+M24</f>
        <v>1.6391379100598111E-2</v>
      </c>
      <c r="N25" s="600">
        <f>'[3]Data-Interest Rates'!D14119</f>
        <v>2.9178461538461545E-2</v>
      </c>
      <c r="O25" s="600">
        <f t="shared" si="5"/>
        <v>2.5709704350309191E-2</v>
      </c>
      <c r="P25" s="607">
        <f>+'[3]Data-Equity Market'!F3170</f>
        <v>3.4338580257056162E-2</v>
      </c>
      <c r="Q25" s="537"/>
      <c r="R25" s="608">
        <f>$E$70*J25/100</f>
        <v>4.2038293220477752E-2</v>
      </c>
      <c r="S25" s="609">
        <f>+S24</f>
        <v>5.9857359470409127E-2</v>
      </c>
      <c r="T25" s="603">
        <f t="shared" si="8"/>
        <v>6.774799757078695E-2</v>
      </c>
    </row>
    <row r="26" spans="2:20" x14ac:dyDescent="0.2">
      <c r="B26" s="568">
        <v>2003</v>
      </c>
      <c r="C26" s="559">
        <v>0.28684576934543649</v>
      </c>
      <c r="D26" s="559">
        <v>4.0099999999999997E-2</v>
      </c>
      <c r="E26" s="558">
        <f t="shared" si="12"/>
        <v>0.24674576934543649</v>
      </c>
      <c r="F26" s="537"/>
      <c r="G26" s="555" t="s">
        <v>452</v>
      </c>
      <c r="H26" s="604">
        <f>+'[3]Data-Volatility'!D7125</f>
        <v>17.354754098360658</v>
      </c>
      <c r="I26" s="604">
        <f>AVERAGE(H26:H$82)</f>
        <v>18.531995704320995</v>
      </c>
      <c r="J26" s="604">
        <f t="shared" si="2"/>
        <v>12.508331381733019</v>
      </c>
      <c r="K26" s="605">
        <f>+'[3]Data-Interest Rates'!L20552</f>
        <v>1.4457142857142873E-2</v>
      </c>
      <c r="L26" s="600">
        <f t="shared" si="17"/>
        <v>1.3070276497695835E-2</v>
      </c>
      <c r="M26" s="600">
        <f>+M25</f>
        <v>1.6391379100598111E-2</v>
      </c>
      <c r="N26" s="600">
        <f>'[3]Data-Interest Rates'!D14055</f>
        <v>2.7527419354838708E-2</v>
      </c>
      <c r="O26" s="600">
        <f t="shared" si="5"/>
        <v>2.4072901465693807E-2</v>
      </c>
      <c r="P26" s="607">
        <f>+'[3]Data-Equity Market'!F3106</f>
        <v>-7.590988267252019E-3</v>
      </c>
      <c r="R26" s="608">
        <f>$E$70*J26/100</f>
        <v>3.8990379604338668E-2</v>
      </c>
      <c r="S26" s="609">
        <f t="shared" ref="S26:S89" si="18">+S25</f>
        <v>5.9857359470409127E-2</v>
      </c>
      <c r="T26" s="603">
        <f t="shared" si="8"/>
        <v>6.3063281070032479E-2</v>
      </c>
    </row>
    <row r="27" spans="2:20" x14ac:dyDescent="0.2">
      <c r="B27" s="568">
        <v>2002</v>
      </c>
      <c r="C27" s="559">
        <v>-0.22100533731444327</v>
      </c>
      <c r="D27" s="559">
        <v>4.6100000000000002E-2</v>
      </c>
      <c r="E27" s="558">
        <f t="shared" si="12"/>
        <v>-0.2671053373144433</v>
      </c>
      <c r="F27" s="537"/>
      <c r="G27" s="555" t="s">
        <v>453</v>
      </c>
      <c r="H27" s="604">
        <f>+'[3]Data-Volatility'!D7064</f>
        <v>10.307936507936502</v>
      </c>
      <c r="I27" s="604">
        <f>AVERAGE(H27:H$82)</f>
        <v>18.553017875856</v>
      </c>
      <c r="J27" s="604">
        <f t="shared" si="2"/>
        <v>11.092626728110595</v>
      </c>
      <c r="K27" s="605">
        <f>+'[3]Data-Interest Rates'!L20462</f>
        <v>1.2031182795698909E-2</v>
      </c>
      <c r="L27" s="600">
        <f t="shared" si="17"/>
        <v>1.1676753712237599E-2</v>
      </c>
      <c r="M27" s="600">
        <f t="shared" ref="M27:M77" si="19">+M26</f>
        <v>1.6391379100598111E-2</v>
      </c>
      <c r="N27" s="600">
        <f>'[3]Data-Interest Rates'!D13994</f>
        <v>2.3707936507936508E-2</v>
      </c>
      <c r="O27" s="600">
        <f t="shared" si="5"/>
        <v>2.3307713293650792E-2</v>
      </c>
      <c r="P27" s="607">
        <f>+'[3]Data-Equity Market'!F3045</f>
        <v>6.6446807161255173E-2</v>
      </c>
      <c r="R27" s="608">
        <f t="shared" ref="R27:R90" si="20">$E$69*J27/100</f>
        <v>3.4577411945600538E-2</v>
      </c>
      <c r="S27" s="609">
        <f t="shared" si="18"/>
        <v>5.9857359470409127E-2</v>
      </c>
      <c r="T27" s="603">
        <f t="shared" si="8"/>
        <v>5.788512523925133E-2</v>
      </c>
    </row>
    <row r="28" spans="2:20" x14ac:dyDescent="0.2">
      <c r="B28" s="568">
        <v>2001</v>
      </c>
      <c r="C28" s="559">
        <v>-0.1188582562528403</v>
      </c>
      <c r="D28" s="559">
        <v>5.0199999999999995E-2</v>
      </c>
      <c r="E28" s="558">
        <f t="shared" si="12"/>
        <v>-0.16905825625284029</v>
      </c>
      <c r="F28" s="537"/>
      <c r="G28" s="555" t="s">
        <v>454</v>
      </c>
      <c r="H28" s="604">
        <f>+'[3]Data-Volatility'!D7001</f>
        <v>10.944285714285712</v>
      </c>
      <c r="I28" s="604">
        <f>AVERAGE(H28:H$82)</f>
        <v>18.702928446181808</v>
      </c>
      <c r="J28" s="604">
        <f t="shared" si="2"/>
        <v>12.040126728110598</v>
      </c>
      <c r="K28" s="605">
        <f>+'[3]Data-Interest Rates'!L20370</f>
        <v>1.1526881720430085E-2</v>
      </c>
      <c r="L28" s="600">
        <f t="shared" si="17"/>
        <v>1.0898118279569916E-2</v>
      </c>
      <c r="M28" s="600">
        <f t="shared" si="19"/>
        <v>1.6391379100598111E-2</v>
      </c>
      <c r="N28" s="600">
        <f>'[3]Data-Interest Rates'!D13932</f>
        <v>2.2425E-2</v>
      </c>
      <c r="O28" s="600">
        <f>AVERAGE(N28:N31)</f>
        <v>2.2705729166666664E-2</v>
      </c>
      <c r="P28" s="607">
        <f>+'[3]Data-Equity Market'!F2982</f>
        <v>4.4804162142289217E-2</v>
      </c>
      <c r="R28" s="608">
        <f t="shared" si="20"/>
        <v>3.7530914179244791E-2</v>
      </c>
      <c r="S28" s="609">
        <f t="shared" si="18"/>
        <v>5.9857359470409127E-2</v>
      </c>
      <c r="T28" s="603">
        <f t="shared" si="8"/>
        <v>6.0236643345911459E-2</v>
      </c>
    </row>
    <row r="29" spans="2:20" x14ac:dyDescent="0.2">
      <c r="B29" s="568">
        <v>2000</v>
      </c>
      <c r="C29" s="559">
        <v>-9.1043785968246804E-2</v>
      </c>
      <c r="D29" s="559">
        <v>6.0299999999999999E-2</v>
      </c>
      <c r="E29" s="558">
        <f t="shared" si="12"/>
        <v>-0.1513437859682468</v>
      </c>
      <c r="F29" s="537"/>
      <c r="G29" s="555" t="s">
        <v>455</v>
      </c>
      <c r="H29" s="604">
        <f>+'[3]Data-Volatility'!D6938</f>
        <v>11.426349206349204</v>
      </c>
      <c r="I29" s="604">
        <f>AVERAGE(H29:H$82)</f>
        <v>18.846607015290996</v>
      </c>
      <c r="J29" s="604">
        <f t="shared" si="2"/>
        <v>12.61253186203917</v>
      </c>
      <c r="K29" s="605">
        <f>+'[3]Data-Interest Rates'!L20278</f>
        <v>9.459782608695632E-3</v>
      </c>
      <c r="L29" s="600">
        <f t="shared" si="17"/>
        <v>1.317146739130437E-2</v>
      </c>
      <c r="M29" s="600">
        <f t="shared" si="19"/>
        <v>1.6391379100598111E-2</v>
      </c>
      <c r="N29" s="600">
        <f>'[3]Data-Interest Rates'!D13869</f>
        <v>2.2631250000000002E-2</v>
      </c>
      <c r="O29" s="600">
        <f t="shared" si="5"/>
        <v>2.1007556089743584E-2</v>
      </c>
      <c r="P29" s="607">
        <f>+'[3]Data-Equity Market'!F2919</f>
        <v>3.0882220082367295E-2</v>
      </c>
      <c r="R29" s="608">
        <f t="shared" si="20"/>
        <v>3.9315188418408351E-2</v>
      </c>
      <c r="S29" s="609">
        <f t="shared" si="18"/>
        <v>5.9857359470409127E-2</v>
      </c>
      <c r="T29" s="603">
        <f t="shared" si="8"/>
        <v>6.0322744508151935E-2</v>
      </c>
    </row>
    <row r="30" spans="2:20" x14ac:dyDescent="0.2">
      <c r="B30" s="568">
        <v>1999</v>
      </c>
      <c r="C30" s="559">
        <v>0.21041541168115563</v>
      </c>
      <c r="D30" s="559">
        <v>5.6500000000000002E-2</v>
      </c>
      <c r="E30" s="558">
        <f t="shared" si="12"/>
        <v>0.15391541168115563</v>
      </c>
      <c r="F30" s="537"/>
      <c r="G30" s="555" t="s">
        <v>456</v>
      </c>
      <c r="H30" s="604">
        <f>+'[3]Data-Volatility'!D6875</f>
        <v>11.691935483870967</v>
      </c>
      <c r="I30" s="604">
        <f>AVERAGE(H30:H$82)</f>
        <v>18.986611879610653</v>
      </c>
      <c r="J30" s="604">
        <f t="shared" si="2"/>
        <v>13.67492893545187</v>
      </c>
      <c r="K30" s="605">
        <f>+'[3]Data-Interest Rates'!L20187</f>
        <v>6.9725274725274573E-3</v>
      </c>
      <c r="L30" s="600">
        <f t="shared" si="17"/>
        <v>1.74941391941392E-2</v>
      </c>
      <c r="M30" s="600">
        <f t="shared" si="19"/>
        <v>1.6391379100598111E-2</v>
      </c>
      <c r="N30" s="600">
        <f>'[3]Data-Interest Rates'!D13806</f>
        <v>2.4466666666666657E-2</v>
      </c>
      <c r="O30" s="600">
        <f>AVERAGE(N30:N33)</f>
        <v>1.9726282051282046E-2</v>
      </c>
      <c r="P30" s="607">
        <f>+'[3]Data-Equity Market'!F2856</f>
        <v>6.0661515521214682E-2</v>
      </c>
      <c r="R30" s="608">
        <f t="shared" si="20"/>
        <v>4.262684238077407E-2</v>
      </c>
      <c r="S30" s="609">
        <f t="shared" si="18"/>
        <v>5.9857359470409127E-2</v>
      </c>
      <c r="T30" s="603">
        <f t="shared" si="8"/>
        <v>6.2353124432056116E-2</v>
      </c>
    </row>
    <row r="31" spans="2:20" x14ac:dyDescent="0.2">
      <c r="B31" s="568">
        <v>1998</v>
      </c>
      <c r="C31" s="559">
        <v>0.285786109094325</v>
      </c>
      <c r="D31" s="559">
        <v>5.2600000000000001E-2</v>
      </c>
      <c r="E31" s="558">
        <f t="shared" si="12"/>
        <v>0.23318610909432499</v>
      </c>
      <c r="F31" s="537"/>
      <c r="G31" s="555" t="s">
        <v>457</v>
      </c>
      <c r="H31" s="604">
        <f>+'[3]Data-Volatility'!D6813</f>
        <v>14.097936507936511</v>
      </c>
      <c r="I31" s="604">
        <f>AVERAGE(H31:H$82)</f>
        <v>19.126894117990261</v>
      </c>
      <c r="J31" s="604">
        <f t="shared" si="2"/>
        <v>15.873502441533308</v>
      </c>
      <c r="K31" s="605">
        <f>+'[3]Data-Interest Rates'!L20097</f>
        <v>4.4645161290322536E-3</v>
      </c>
      <c r="L31" s="600">
        <f t="shared" si="17"/>
        <v>1.6835483870967741E-2</v>
      </c>
      <c r="M31" s="600">
        <f t="shared" si="19"/>
        <v>1.6391379100598111E-2</v>
      </c>
      <c r="N31" s="600">
        <f>'[3]Data-Interest Rates'!D13744</f>
        <v>2.1299999999999996E-2</v>
      </c>
      <c r="O31" s="600">
        <f>AVERAGE(N31:N34)</f>
        <v>1.8409615384615378E-2</v>
      </c>
      <c r="P31" s="607">
        <f>+'[3]Data-Equity Market'!F2794</f>
        <v>3.824258807200076E-2</v>
      </c>
      <c r="R31" s="608">
        <f t="shared" si="20"/>
        <v>4.9480131838338812E-2</v>
      </c>
      <c r="S31" s="609">
        <f t="shared" si="18"/>
        <v>5.9857359470409127E-2</v>
      </c>
      <c r="T31" s="603">
        <f t="shared" si="8"/>
        <v>6.7889747222954183E-2</v>
      </c>
    </row>
    <row r="32" spans="2:20" ht="13.25" customHeight="1" x14ac:dyDescent="0.2">
      <c r="B32" s="568">
        <v>1997</v>
      </c>
      <c r="C32" s="559">
        <v>0.33363281743346551</v>
      </c>
      <c r="D32" s="559">
        <v>6.3500000000000001E-2</v>
      </c>
      <c r="E32" s="558">
        <f t="shared" si="12"/>
        <v>0.27013281743346551</v>
      </c>
      <c r="F32" s="537"/>
      <c r="G32" s="555" t="s">
        <v>458</v>
      </c>
      <c r="H32" s="604">
        <f>+'[3]Data-Volatility'!D6750</f>
        <v>13.233906249999997</v>
      </c>
      <c r="I32" s="604">
        <f>AVERAGE(H32:H$82)</f>
        <v>19.2255011299521</v>
      </c>
      <c r="J32" s="604">
        <f>AVERAGE(H32:H35)</f>
        <v>16.607338627049181</v>
      </c>
      <c r="K32" s="605">
        <f>+'[3]Data-Interest Rates'!L20005</f>
        <v>3.9387096774193484E-3</v>
      </c>
      <c r="L32" s="600">
        <f t="shared" si="17"/>
        <v>1.169359801488834E-2</v>
      </c>
      <c r="M32" s="600">
        <f t="shared" si="19"/>
        <v>1.6391379100598111E-2</v>
      </c>
      <c r="N32" s="600">
        <f>'[3]Data-Interest Rates'!D13683</f>
        <v>1.5632307692307688E-2</v>
      </c>
      <c r="O32" s="600">
        <f t="shared" ref="O32" si="21">AVERAGE(N32:N35)</f>
        <v>1.8555647130647127E-2</v>
      </c>
      <c r="P32" s="607">
        <f>+'[3]Data-Equity Market'!F2731</f>
        <v>3.8518626786384846E-2</v>
      </c>
      <c r="R32" s="608">
        <f t="shared" si="20"/>
        <v>5.176761132440752E-2</v>
      </c>
      <c r="S32" s="609">
        <f t="shared" si="18"/>
        <v>5.9857359470409127E-2</v>
      </c>
      <c r="T32" s="603">
        <f t="shared" si="8"/>
        <v>7.0323258455054646E-2</v>
      </c>
    </row>
    <row r="33" spans="2:20" x14ac:dyDescent="0.2">
      <c r="B33" s="568">
        <v>1996</v>
      </c>
      <c r="C33" s="559">
        <v>0.22960272308791696</v>
      </c>
      <c r="D33" s="559">
        <v>6.4399999999999999E-2</v>
      </c>
      <c r="E33" s="558">
        <f t="shared" si="12"/>
        <v>0.16520272308791695</v>
      </c>
      <c r="F33" s="537"/>
      <c r="G33" s="555" t="s">
        <v>459</v>
      </c>
      <c r="H33" s="604">
        <f>+'[3]Data-Volatility'!D6686</f>
        <v>15.675937500000002</v>
      </c>
      <c r="I33" s="604">
        <f>AVERAGE(H33:H$82)</f>
        <v>19.345333027551142</v>
      </c>
      <c r="J33" s="604">
        <f>AVERAGE(H33:H36)</f>
        <v>18.125698002049184</v>
      </c>
      <c r="K33" s="605">
        <f>+'[3]Data-Interest Rates'!L19913</f>
        <v>3.680434782608696E-3</v>
      </c>
      <c r="L33" s="600">
        <f t="shared" si="17"/>
        <v>1.3825719063545142E-2</v>
      </c>
      <c r="M33" s="600">
        <f t="shared" si="19"/>
        <v>1.6391379100598111E-2</v>
      </c>
      <c r="N33" s="600">
        <f>'[3]Data-Interest Rates'!D13619</f>
        <v>1.7506153846153838E-2</v>
      </c>
      <c r="O33" s="600">
        <f>AVERAGE(N33:N36)</f>
        <v>2.0210262515262509E-2</v>
      </c>
      <c r="P33" s="607">
        <f>+'[3]Data-Equity Market'!F2667</f>
        <v>2.4553911456168365E-2</v>
      </c>
      <c r="R33" s="608">
        <f t="shared" si="20"/>
        <v>5.6500569430515374E-2</v>
      </c>
      <c r="S33" s="609">
        <f t="shared" si="18"/>
        <v>5.9857359470409127E-2</v>
      </c>
      <c r="T33" s="603">
        <f t="shared" si="8"/>
        <v>7.671083194577788E-2</v>
      </c>
    </row>
    <row r="34" spans="2:20" x14ac:dyDescent="0.2">
      <c r="B34" s="568">
        <v>1995</v>
      </c>
      <c r="C34" s="559">
        <v>0.37577752494767291</v>
      </c>
      <c r="D34" s="559">
        <v>6.5700000000000008E-2</v>
      </c>
      <c r="E34" s="558">
        <f t="shared" si="12"/>
        <v>0.31007752494767293</v>
      </c>
      <c r="F34" s="537"/>
      <c r="G34" s="555" t="s">
        <v>460</v>
      </c>
      <c r="H34" s="604">
        <f>+'[3]Data-Volatility'!D6622</f>
        <v>20.486229508196722</v>
      </c>
      <c r="I34" s="604">
        <f>AVERAGE(H34:H$82)</f>
        <v>19.42021865056239</v>
      </c>
      <c r="J34" s="604">
        <f t="shared" ref="J34:J97" si="22">AVERAGE(H34:H37)</f>
        <v>17.641753309588868</v>
      </c>
      <c r="K34" s="605">
        <f>+'[3]Data-Interest Rates'!L19822</f>
        <v>3.580434782608697E-3</v>
      </c>
      <c r="L34" s="600">
        <f t="shared" si="17"/>
        <v>1.5619565217391301E-2</v>
      </c>
      <c r="M34" s="600">
        <f t="shared" si="19"/>
        <v>1.6391379100598111E-2</v>
      </c>
      <c r="N34" s="600">
        <f>'[3]Data-Interest Rates'!D13555</f>
        <v>1.9199999999999998E-2</v>
      </c>
      <c r="O34" s="600">
        <f t="shared" ref="O34:O74" si="23">AVERAGE(N34:N37)</f>
        <v>2.1236031746031742E-2</v>
      </c>
      <c r="P34" s="607">
        <f>+'[3]Data-Equity Market'!F2603</f>
        <v>1.3478647686832712E-2</v>
      </c>
      <c r="R34" s="608">
        <f t="shared" si="20"/>
        <v>5.4992039900022681E-2</v>
      </c>
      <c r="S34" s="609">
        <f t="shared" si="18"/>
        <v>5.9857359470409127E-2</v>
      </c>
      <c r="T34" s="603">
        <f t="shared" si="8"/>
        <v>7.6228071646054427E-2</v>
      </c>
    </row>
    <row r="35" spans="2:20" x14ac:dyDescent="0.2">
      <c r="B35" s="568">
        <v>1994</v>
      </c>
      <c r="C35" s="559">
        <v>1.3204810965114611E-2</v>
      </c>
      <c r="D35" s="559">
        <v>7.0900000000000005E-2</v>
      </c>
      <c r="E35" s="558">
        <f t="shared" si="12"/>
        <v>-5.7695189034885394E-2</v>
      </c>
      <c r="F35" s="537"/>
      <c r="G35" s="555" t="s">
        <v>461</v>
      </c>
      <c r="H35" s="604">
        <f>+'[3]Data-Volatility'!D6561</f>
        <v>17.033281250000005</v>
      </c>
      <c r="I35" s="604">
        <f>AVERAGE(H35:H$82)</f>
        <v>19.39801009102834</v>
      </c>
      <c r="J35" s="604">
        <f t="shared" si="22"/>
        <v>16.661384457129849</v>
      </c>
      <c r="K35" s="605">
        <f>+'[3]Data-Interest Rates'!L19731</f>
        <v>1.6010752688172042E-3</v>
      </c>
      <c r="L35" s="600">
        <f t="shared" si="17"/>
        <v>2.0283051715309773E-2</v>
      </c>
      <c r="M35" s="600">
        <f t="shared" si="19"/>
        <v>1.6391379100598111E-2</v>
      </c>
      <c r="N35" s="600">
        <f>'[3]Data-Interest Rates'!D13494</f>
        <v>2.1884126984126978E-2</v>
      </c>
      <c r="O35" s="600">
        <f t="shared" si="23"/>
        <v>2.1366273681515613E-2</v>
      </c>
      <c r="P35" s="607">
        <f>+'[3]Data-Equity Market'!F2542</f>
        <v>7.042521784676925E-2</v>
      </c>
      <c r="R35" s="610">
        <f t="shared" si="20"/>
        <v>5.1936080432441717E-2</v>
      </c>
      <c r="S35" s="609">
        <f t="shared" si="18"/>
        <v>5.9857359470409127E-2</v>
      </c>
      <c r="T35" s="603">
        <f t="shared" si="8"/>
        <v>7.330235411395733E-2</v>
      </c>
    </row>
    <row r="36" spans="2:20" x14ac:dyDescent="0.2">
      <c r="B36" s="568">
        <v>1993</v>
      </c>
      <c r="C36" s="559">
        <v>0.10078693783927251</v>
      </c>
      <c r="D36" s="559">
        <v>5.8700000000000002E-2</v>
      </c>
      <c r="E36" s="558">
        <f t="shared" si="12"/>
        <v>4.2086937839272504E-2</v>
      </c>
      <c r="F36" s="537"/>
      <c r="G36" s="555" t="s">
        <v>462</v>
      </c>
      <c r="H36" s="604">
        <f>+'[3]Data-Volatility'!D6497</f>
        <v>19.307343750000005</v>
      </c>
      <c r="I36" s="604">
        <f>AVERAGE(H36:H$82)</f>
        <v>19.44832347062469</v>
      </c>
      <c r="J36" s="604">
        <f t="shared" si="22"/>
        <v>16.421150082129849</v>
      </c>
      <c r="K36" s="605">
        <f>+'[3]Data-Interest Rates'!L19639</f>
        <v>1.3419354838709696E-3</v>
      </c>
      <c r="L36" s="600">
        <f t="shared" si="17"/>
        <v>2.090883374689826E-2</v>
      </c>
      <c r="M36" s="600">
        <f t="shared" si="19"/>
        <v>1.6391379100598111E-2</v>
      </c>
      <c r="N36" s="600">
        <f>'[3]Data-Interest Rates'!D13432</f>
        <v>2.225076923076923E-2</v>
      </c>
      <c r="O36" s="600">
        <f t="shared" si="23"/>
        <v>2.1594845110087038E-2</v>
      </c>
      <c r="P36" s="607">
        <f>+'[3]Data-Equity Market'!F2478</f>
        <v>-6.4384082183523983E-2</v>
      </c>
      <c r="R36" s="608">
        <f t="shared" si="20"/>
        <v>5.1187233189000425E-2</v>
      </c>
      <c r="S36" s="609">
        <f t="shared" si="18"/>
        <v>5.9857359470409127E-2</v>
      </c>
      <c r="T36" s="603">
        <f t="shared" si="8"/>
        <v>7.2782078299087463E-2</v>
      </c>
    </row>
    <row r="37" spans="2:20" x14ac:dyDescent="0.2">
      <c r="B37" s="568">
        <v>1992</v>
      </c>
      <c r="C37" s="559">
        <v>7.6193673079208546E-2</v>
      </c>
      <c r="D37" s="559">
        <v>7.0099999999999996E-2</v>
      </c>
      <c r="E37" s="558">
        <f t="shared" si="12"/>
        <v>6.0936730792085503E-3</v>
      </c>
      <c r="F37" s="537"/>
      <c r="G37" s="555" t="s">
        <v>463</v>
      </c>
      <c r="H37" s="604">
        <f>+'[3]Data-Volatility'!D6433</f>
        <v>13.740158730158734</v>
      </c>
      <c r="I37" s="604">
        <f>AVERAGE(H37:H$82)</f>
        <v>19.451388247160008</v>
      </c>
      <c r="J37" s="604">
        <f t="shared" si="22"/>
        <v>14.862478207129847</v>
      </c>
      <c r="K37" s="605">
        <f>+'[3]Data-Interest Rates'!L19547</f>
        <v>1.2489130434782626E-3</v>
      </c>
      <c r="L37" s="600">
        <f t="shared" si="17"/>
        <v>2.0360317725752503E-2</v>
      </c>
      <c r="M37" s="600">
        <f t="shared" si="19"/>
        <v>1.6391379100598111E-2</v>
      </c>
      <c r="N37" s="600">
        <f>'[3]Data-Interest Rates'!D13368</f>
        <v>2.1609230769230766E-2</v>
      </c>
      <c r="O37" s="600">
        <f t="shared" si="23"/>
        <v>2.2282152802394734E-2</v>
      </c>
      <c r="P37" s="607">
        <f>+'[3]Data-Equity Market'!F2414</f>
        <v>2.7803546134701485E-3</v>
      </c>
      <c r="R37" s="608">
        <f t="shared" si="20"/>
        <v>4.6328614862529746E-2</v>
      </c>
      <c r="S37" s="609">
        <f t="shared" si="18"/>
        <v>5.9857359470409127E-2</v>
      </c>
      <c r="T37" s="603">
        <f t="shared" si="8"/>
        <v>6.861076766492448E-2</v>
      </c>
    </row>
    <row r="38" spans="2:20" x14ac:dyDescent="0.2">
      <c r="B38" s="568">
        <v>1991</v>
      </c>
      <c r="C38" s="559">
        <v>0.3046587474940905</v>
      </c>
      <c r="D38" s="559">
        <v>7.8600000000000003E-2</v>
      </c>
      <c r="E38" s="558">
        <f t="shared" si="12"/>
        <v>0.2260587474940905</v>
      </c>
      <c r="F38" s="537"/>
      <c r="G38" s="611" t="s">
        <v>464</v>
      </c>
      <c r="H38" s="604">
        <f>+'[3]Data-Volatility'!D6370</f>
        <v>16.564754098360655</v>
      </c>
      <c r="I38" s="604">
        <f>AVERAGE(H38:H$82)</f>
        <v>19.578304458648923</v>
      </c>
      <c r="J38" s="604">
        <f t="shared" si="22"/>
        <v>14.612002016653655</v>
      </c>
      <c r="K38" s="605">
        <f>+'[3]Data-Interest Rates'!L19456</f>
        <v>1.1230769230769224E-3</v>
      </c>
      <c r="L38" s="600">
        <f t="shared" si="17"/>
        <v>1.8597890818858563E-2</v>
      </c>
      <c r="M38" s="600">
        <f t="shared" si="19"/>
        <v>1.6391379100598111E-2</v>
      </c>
      <c r="N38" s="600">
        <f>'[3]Data-Interest Rates'!D13304</f>
        <v>1.9720967741935484E-2</v>
      </c>
      <c r="O38" s="600">
        <f t="shared" si="23"/>
        <v>2.343648573508704E-2</v>
      </c>
      <c r="P38" s="607">
        <f>+'[3]Data-Equity Market'!F2351</f>
        <v>9.5053907211681832E-3</v>
      </c>
      <c r="R38" s="608">
        <f t="shared" si="20"/>
        <v>4.5547842315779213E-2</v>
      </c>
      <c r="S38" s="609">
        <f t="shared" si="18"/>
        <v>5.9857359470409127E-2</v>
      </c>
      <c r="T38" s="603">
        <f t="shared" si="8"/>
        <v>6.8984328050866253E-2</v>
      </c>
    </row>
    <row r="39" spans="2:20" x14ac:dyDescent="0.2">
      <c r="B39" s="568">
        <v>1990</v>
      </c>
      <c r="C39" s="559">
        <v>-3.1043016902603804E-2</v>
      </c>
      <c r="D39" s="559">
        <v>8.5500000000000007E-2</v>
      </c>
      <c r="E39" s="558">
        <f t="shared" si="12"/>
        <v>-0.11654301690260381</v>
      </c>
      <c r="F39" s="537"/>
      <c r="G39" s="611" t="s">
        <v>465</v>
      </c>
      <c r="H39" s="604">
        <f>+'[3]Data-Volatility'!D6309</f>
        <v>16.072343750000002</v>
      </c>
      <c r="I39" s="604">
        <f>AVERAGE(H39:H$82)</f>
        <v>19.646794239564567</v>
      </c>
      <c r="J39" s="604">
        <f t="shared" si="22"/>
        <v>14.178026606817591</v>
      </c>
      <c r="K39" s="605">
        <f>+'[3]Data-Interest Rates'!L19366</f>
        <v>1.0096774193548391E-3</v>
      </c>
      <c r="L39" s="600">
        <f t="shared" si="17"/>
        <v>2.1788735279057846E-2</v>
      </c>
      <c r="M39" s="600">
        <f t="shared" si="19"/>
        <v>1.6391379100598111E-2</v>
      </c>
      <c r="N39" s="600">
        <f>'[3]Data-Interest Rates'!D13243</f>
        <v>2.2798412698412686E-2</v>
      </c>
      <c r="O39" s="600">
        <f t="shared" si="23"/>
        <v>2.5430840573796718E-2</v>
      </c>
      <c r="P39" s="607">
        <f>+'[3]Data-Equity Market'!F2290</f>
        <v>4.9325631567958883E-2</v>
      </c>
      <c r="R39" s="608">
        <f t="shared" si="20"/>
        <v>4.4195074672193461E-2</v>
      </c>
      <c r="S39" s="609">
        <f t="shared" si="18"/>
        <v>5.9857359470409127E-2</v>
      </c>
      <c r="T39" s="603">
        <f t="shared" si="8"/>
        <v>6.9625915245990183E-2</v>
      </c>
    </row>
    <row r="40" spans="2:20" x14ac:dyDescent="0.2">
      <c r="B40" s="568">
        <v>1989</v>
      </c>
      <c r="C40" s="559">
        <v>0.31686195837787556</v>
      </c>
      <c r="D40" s="559">
        <v>8.4900000000000003E-2</v>
      </c>
      <c r="E40" s="558">
        <f t="shared" si="12"/>
        <v>0.23196195837787556</v>
      </c>
      <c r="F40" s="537"/>
      <c r="G40" s="611" t="s">
        <v>466</v>
      </c>
      <c r="H40" s="604">
        <f>+'[3]Data-Volatility'!D6245</f>
        <v>13.072656249999998</v>
      </c>
      <c r="I40" s="604">
        <f>AVERAGE(H40:H$82)</f>
        <v>19.729920995135842</v>
      </c>
      <c r="J40" s="604">
        <f t="shared" si="22"/>
        <v>13.718143794317589</v>
      </c>
      <c r="K40" s="605">
        <f>+'[3]Data-Interest Rates'!L19274</f>
        <v>8.9139784946236497E-4</v>
      </c>
      <c r="L40" s="600">
        <f t="shared" si="17"/>
        <v>2.4108602150537638E-2</v>
      </c>
      <c r="M40" s="600">
        <f t="shared" si="19"/>
        <v>1.6391379100598111E-2</v>
      </c>
      <c r="N40" s="600">
        <f>'[3]Data-Interest Rates'!D13181</f>
        <v>2.5000000000000001E-2</v>
      </c>
      <c r="O40" s="600">
        <f t="shared" si="23"/>
        <v>2.6587586605542751E-2</v>
      </c>
      <c r="P40" s="607">
        <f>+'[3]Data-Equity Market'!F2226</f>
        <v>1.1280396826737427E-2</v>
      </c>
      <c r="R40" s="608">
        <f t="shared" si="20"/>
        <v>4.2761549697065915E-2</v>
      </c>
      <c r="S40" s="609">
        <f t="shared" si="18"/>
        <v>5.9857359470409127E-2</v>
      </c>
      <c r="T40" s="603">
        <f t="shared" si="8"/>
        <v>6.9349136302608666E-2</v>
      </c>
    </row>
    <row r="41" spans="2:20" x14ac:dyDescent="0.2">
      <c r="B41" s="568">
        <v>1988</v>
      </c>
      <c r="C41" s="559">
        <v>0.1661</v>
      </c>
      <c r="D41" s="559">
        <v>8.8499999999999995E-2</v>
      </c>
      <c r="E41" s="558">
        <f t="shared" si="12"/>
        <v>7.7600000000000002E-2</v>
      </c>
      <c r="F41" s="537"/>
      <c r="G41" s="611" t="s">
        <v>467</v>
      </c>
      <c r="H41" s="604">
        <f>+'[3]Data-Volatility'!D6181</f>
        <v>12.73825396825397</v>
      </c>
      <c r="I41" s="604">
        <f>AVERAGE(H41:H$82)</f>
        <v>19.888427298591452</v>
      </c>
      <c r="J41" s="604">
        <f t="shared" si="22"/>
        <v>14.019901606817591</v>
      </c>
      <c r="K41" s="605">
        <f>+'[3]Data-Interest Rates'!L19182</f>
        <v>9.0652173913043381E-4</v>
      </c>
      <c r="L41" s="600">
        <f t="shared" si="17"/>
        <v>2.5320040760869564E-2</v>
      </c>
      <c r="M41" s="600">
        <f t="shared" si="19"/>
        <v>1.6391379100598111E-2</v>
      </c>
      <c r="N41" s="600">
        <f>'[3]Data-Interest Rates'!D13117</f>
        <v>2.6226562499999998E-2</v>
      </c>
      <c r="O41" s="600">
        <f t="shared" si="23"/>
        <v>2.7096817374773517E-2</v>
      </c>
      <c r="P41" s="607">
        <f>+'[3]Data-Equity Market'!F2162</f>
        <v>5.2338757698836558E-2</v>
      </c>
      <c r="R41" s="608">
        <f t="shared" si="20"/>
        <v>4.3702174893095844E-2</v>
      </c>
      <c r="S41" s="609">
        <f t="shared" si="18"/>
        <v>5.9857359470409127E-2</v>
      </c>
      <c r="T41" s="603">
        <f t="shared" si="8"/>
        <v>7.0798992267869357E-2</v>
      </c>
    </row>
    <row r="42" spans="2:20" x14ac:dyDescent="0.2">
      <c r="B42" s="568">
        <v>1987</v>
      </c>
      <c r="C42" s="559">
        <v>5.2499999999999998E-2</v>
      </c>
      <c r="D42" s="559">
        <v>8.3900000000000002E-2</v>
      </c>
      <c r="E42" s="558">
        <f t="shared" si="12"/>
        <v>-3.1400000000000004E-2</v>
      </c>
      <c r="F42" s="537"/>
      <c r="G42" s="611" t="s">
        <v>468</v>
      </c>
      <c r="H42" s="604">
        <f>+'[3]Data-Volatility'!D6118</f>
        <v>14.828852459016396</v>
      </c>
      <c r="I42" s="604">
        <f>AVERAGE(H42:H$82)</f>
        <v>20.062821770063099</v>
      </c>
      <c r="J42" s="604">
        <f t="shared" si="22"/>
        <v>14.544595927254099</v>
      </c>
      <c r="K42" s="605">
        <f>+'[3]Data-Interest Rates'!L19091</f>
        <v>7.2197802197802201E-4</v>
      </c>
      <c r="L42" s="600">
        <f t="shared" si="17"/>
        <v>2.6976409074796169E-2</v>
      </c>
      <c r="M42" s="600">
        <f t="shared" si="19"/>
        <v>1.6391379100598111E-2</v>
      </c>
      <c r="N42" s="600">
        <f>'[3]Data-Interest Rates'!D13054</f>
        <v>2.7698387096774191E-2</v>
      </c>
      <c r="O42" s="600">
        <f t="shared" si="23"/>
        <v>2.5501330595927362E-2</v>
      </c>
      <c r="P42" s="607">
        <f>+'[3]Data-Equity Market'!F2099</f>
        <v>1.8072198311612775E-2</v>
      </c>
      <c r="R42" s="608">
        <f t="shared" si="20"/>
        <v>4.5337727238625843E-2</v>
      </c>
      <c r="S42" s="609">
        <f t="shared" si="18"/>
        <v>5.9857359470409127E-2</v>
      </c>
      <c r="T42" s="603">
        <f t="shared" si="8"/>
        <v>7.0839057834553201E-2</v>
      </c>
    </row>
    <row r="43" spans="2:20" x14ac:dyDescent="0.2">
      <c r="B43" s="568">
        <v>1986</v>
      </c>
      <c r="C43" s="559">
        <v>0.1867</v>
      </c>
      <c r="D43" s="559">
        <v>7.6700000000000004E-2</v>
      </c>
      <c r="E43" s="558">
        <f t="shared" si="12"/>
        <v>0.11</v>
      </c>
      <c r="F43" s="537"/>
      <c r="G43" s="611" t="s">
        <v>469</v>
      </c>
      <c r="H43" s="604">
        <f>+'[3]Data-Volatility'!D6057</f>
        <v>14.232812499999994</v>
      </c>
      <c r="I43" s="604">
        <f>AVERAGE(H43:H$82)</f>
        <v>20.193671002839267</v>
      </c>
      <c r="J43" s="604">
        <f t="shared" si="22"/>
        <v>14.2191328125</v>
      </c>
      <c r="K43" s="605">
        <f>+'[3]Data-Interest Rates'!L19001</f>
        <v>8.5268817204301069E-4</v>
      </c>
      <c r="L43" s="600">
        <f t="shared" si="17"/>
        <v>2.6572708653353806E-2</v>
      </c>
      <c r="M43" s="600">
        <f t="shared" si="19"/>
        <v>1.6391379100598111E-2</v>
      </c>
      <c r="N43" s="600">
        <f>'[3]Data-Interest Rates'!D12993</f>
        <v>2.7425396825396815E-2</v>
      </c>
      <c r="O43" s="600">
        <f t="shared" si="23"/>
        <v>2.3447225625012502E-2</v>
      </c>
      <c r="P43" s="607">
        <f>+'[3]Data-Equity Market'!F2038</f>
        <v>0.105130358845136</v>
      </c>
      <c r="R43" s="608">
        <f t="shared" si="20"/>
        <v>4.432320899440944E-2</v>
      </c>
      <c r="S43" s="609">
        <f t="shared" si="18"/>
        <v>5.9857359470409127E-2</v>
      </c>
      <c r="T43" s="603">
        <f t="shared" si="8"/>
        <v>6.7770434619421949E-2</v>
      </c>
    </row>
    <row r="44" spans="2:20" x14ac:dyDescent="0.2">
      <c r="B44" s="568">
        <v>1985</v>
      </c>
      <c r="C44" s="559">
        <v>0.31730000000000003</v>
      </c>
      <c r="D44" s="559">
        <v>0.10619999999999999</v>
      </c>
      <c r="E44" s="558">
        <f t="shared" si="12"/>
        <v>0.21110000000000004</v>
      </c>
      <c r="F44" s="537"/>
      <c r="G44" s="611" t="s">
        <v>470</v>
      </c>
      <c r="H44" s="604">
        <f>+'[3]Data-Volatility'!D5993</f>
        <v>14.2796875</v>
      </c>
      <c r="I44" s="604">
        <f>AVERAGE(H44:H$82)</f>
        <v>20.346513528553093</v>
      </c>
      <c r="J44" s="604">
        <f t="shared" si="22"/>
        <v>14.849155493951613</v>
      </c>
      <c r="K44" s="605">
        <f>+'[3]Data-Interest Rates'!L18909</f>
        <v>8.5053763440860232E-4</v>
      </c>
      <c r="L44" s="600">
        <f t="shared" si="17"/>
        <v>2.6186385442514466E-2</v>
      </c>
      <c r="M44" s="600">
        <f t="shared" si="19"/>
        <v>1.6391379100598111E-2</v>
      </c>
      <c r="N44" s="600">
        <f>'[3]Data-Interest Rates'!D12931</f>
        <v>2.703692307692307E-2</v>
      </c>
      <c r="O44" s="600">
        <f t="shared" si="23"/>
        <v>2.0856198999308462E-2</v>
      </c>
      <c r="P44" s="607">
        <f>+'[3]Data-Equity Market'!F1974</f>
        <v>5.2451011344741172E-2</v>
      </c>
      <c r="R44" s="608">
        <f t="shared" si="20"/>
        <v>4.62870859304663E-2</v>
      </c>
      <c r="S44" s="609">
        <f t="shared" si="18"/>
        <v>5.9857359470409127E-2</v>
      </c>
      <c r="T44" s="603">
        <f t="shared" si="8"/>
        <v>6.7143284929774755E-2</v>
      </c>
    </row>
    <row r="45" spans="2:20" x14ac:dyDescent="0.2">
      <c r="B45" s="568">
        <v>1984</v>
      </c>
      <c r="C45" s="559">
        <v>6.2700000000000006E-2</v>
      </c>
      <c r="D45" s="559">
        <v>0.1246</v>
      </c>
      <c r="E45" s="558">
        <f t="shared" si="12"/>
        <v>-6.1899999999999997E-2</v>
      </c>
      <c r="F45" s="537"/>
      <c r="G45" s="611" t="s">
        <v>471</v>
      </c>
      <c r="H45" s="604">
        <f>+'[3]Data-Volatility'!D5929</f>
        <v>14.837031250000001</v>
      </c>
      <c r="I45" s="604">
        <f>AVERAGE(H45:H$82)</f>
        <v>20.506166845093965</v>
      </c>
      <c r="J45" s="604">
        <f t="shared" si="22"/>
        <v>15.327408222126214</v>
      </c>
      <c r="K45" s="605">
        <f>+'[3]Data-Interest Rates'!L18817</f>
        <v>1.1554347826086945E-3</v>
      </c>
      <c r="L45" s="600">
        <f t="shared" si="17"/>
        <v>1.8689180602006684E-2</v>
      </c>
      <c r="M45" s="600">
        <f t="shared" si="19"/>
        <v>1.6391379100598111E-2</v>
      </c>
      <c r="N45" s="600">
        <f>'[3]Data-Interest Rates'!D12867</f>
        <v>1.9844615384615377E-2</v>
      </c>
      <c r="O45" s="600">
        <f t="shared" si="23"/>
        <v>1.8201265105077694E-2</v>
      </c>
      <c r="P45" s="607">
        <f>+'[3]Data-Equity Market'!F1910</f>
        <v>2.9100557751664979E-2</v>
      </c>
      <c r="R45" s="608">
        <f t="shared" si="20"/>
        <v>4.7777872738814731E-2</v>
      </c>
      <c r="S45" s="609">
        <f t="shared" si="18"/>
        <v>5.9857359470409127E-2</v>
      </c>
      <c r="T45" s="603">
        <f t="shared" si="8"/>
        <v>6.5979137843892421E-2</v>
      </c>
    </row>
    <row r="46" spans="2:20" x14ac:dyDescent="0.2">
      <c r="B46" s="568">
        <v>1983</v>
      </c>
      <c r="C46" s="559">
        <v>0.22559999999999999</v>
      </c>
      <c r="D46" s="559">
        <v>0.111</v>
      </c>
      <c r="E46" s="558">
        <f t="shared" si="12"/>
        <v>0.11459999999999999</v>
      </c>
      <c r="F46" s="537"/>
      <c r="G46" s="611" t="s">
        <v>472</v>
      </c>
      <c r="H46" s="604">
        <f>+'[3]Data-Volatility'!D5865</f>
        <v>13.526999999999997</v>
      </c>
      <c r="I46" s="604">
        <f>AVERAGE(H46:H$82)</f>
        <v>20.659386726042445</v>
      </c>
      <c r="J46" s="604">
        <f t="shared" si="22"/>
        <v>16.627078981054787</v>
      </c>
      <c r="K46" s="605">
        <f>+'[3]Data-Interest Rates'!L18726</f>
        <v>1.4307692307692318E-3</v>
      </c>
      <c r="L46" s="600">
        <f t="shared" si="17"/>
        <v>1.8051197982345526E-2</v>
      </c>
      <c r="M46" s="600">
        <f t="shared" si="19"/>
        <v>1.6391379100598111E-2</v>
      </c>
      <c r="N46" s="600">
        <f>'[3]Data-Interest Rates'!D12803</f>
        <v>1.9481967213114758E-2</v>
      </c>
      <c r="O46" s="600">
        <f t="shared" si="23"/>
        <v>1.7820111258923851E-2</v>
      </c>
      <c r="P46" s="607">
        <f>+'[3]Data-Equity Market'!F1846</f>
        <v>0.10605564517417077</v>
      </c>
      <c r="R46" s="608">
        <f t="shared" si="20"/>
        <v>5.1829145023244969E-2</v>
      </c>
      <c r="S46" s="609">
        <f t="shared" si="18"/>
        <v>5.9857359470409127E-2</v>
      </c>
      <c r="T46" s="603">
        <f t="shared" si="8"/>
        <v>6.9649256282168823E-2</v>
      </c>
    </row>
    <row r="47" spans="2:20" x14ac:dyDescent="0.2">
      <c r="B47" s="568">
        <v>1982</v>
      </c>
      <c r="C47" s="559">
        <v>0.2155</v>
      </c>
      <c r="D47" s="559">
        <v>0.13009999999999999</v>
      </c>
      <c r="E47" s="558">
        <f t="shared" si="12"/>
        <v>8.5400000000000004E-2</v>
      </c>
      <c r="F47" s="537"/>
      <c r="G47" s="611" t="s">
        <v>473</v>
      </c>
      <c r="H47" s="604">
        <f>+'[3]Data-Volatility'!D5805</f>
        <v>16.752903225806453</v>
      </c>
      <c r="I47" s="604">
        <f>AVERAGE(H47:H$82)</f>
        <v>20.857508579543627</v>
      </c>
      <c r="J47" s="604">
        <f t="shared" si="22"/>
        <v>17.796337045570915</v>
      </c>
      <c r="K47" s="605">
        <f>+'[3]Data-Interest Rates'!L18636</f>
        <v>1.6043010752688175E-3</v>
      </c>
      <c r="L47" s="600">
        <f t="shared" si="17"/>
        <v>1.5456989247311825E-2</v>
      </c>
      <c r="M47" s="600">
        <f t="shared" si="19"/>
        <v>1.6391379100598111E-2</v>
      </c>
      <c r="N47" s="600">
        <f>'[3]Data-Interest Rates'!D12743</f>
        <v>1.7061290322580643E-2</v>
      </c>
      <c r="O47" s="600">
        <f t="shared" si="23"/>
        <v>1.8043667074692779E-2</v>
      </c>
      <c r="P47" s="607">
        <f>+'[3]Data-Equity Market'!F1786</f>
        <v>-3.7749658900605443E-3</v>
      </c>
      <c r="R47" s="608">
        <f t="shared" si="20"/>
        <v>5.5473901018236987E-2</v>
      </c>
      <c r="S47" s="609">
        <f t="shared" si="18"/>
        <v>5.9857359470409127E-2</v>
      </c>
      <c r="T47" s="603">
        <f t="shared" si="8"/>
        <v>7.3517568092929766E-2</v>
      </c>
    </row>
    <row r="48" spans="2:20" x14ac:dyDescent="0.2">
      <c r="B48" s="568">
        <v>1981</v>
      </c>
      <c r="C48" s="559">
        <v>-4.9099999999999998E-2</v>
      </c>
      <c r="D48" s="559">
        <v>0.13919999999999999</v>
      </c>
      <c r="E48" s="558">
        <f t="shared" si="12"/>
        <v>-0.1883</v>
      </c>
      <c r="F48" s="537"/>
      <c r="G48" s="611" t="s">
        <v>474</v>
      </c>
      <c r="H48" s="604">
        <f>+'[3]Data-Volatility'!D5743</f>
        <v>16.192698412698412</v>
      </c>
      <c r="I48" s="604">
        <f>AVERAGE(H48:H$82)</f>
        <v>20.974783018221828</v>
      </c>
      <c r="J48" s="604">
        <f t="shared" si="22"/>
        <v>21.092992191500258</v>
      </c>
      <c r="K48" s="605">
        <f>+'[3]Data-Interest Rates'!L18544</f>
        <v>1.4376344086021514E-3</v>
      </c>
      <c r="L48" s="600">
        <f t="shared" si="17"/>
        <v>1.4979553091397844E-2</v>
      </c>
      <c r="M48" s="600">
        <f t="shared" si="19"/>
        <v>1.6391379100598111E-2</v>
      </c>
      <c r="N48" s="600">
        <f>'[3]Data-Interest Rates'!D12682</f>
        <v>1.6417187499999996E-2</v>
      </c>
      <c r="O48" s="600">
        <f t="shared" si="23"/>
        <v>1.8890038042434713E-2</v>
      </c>
      <c r="P48" s="607">
        <f>+'[3]Data-Equity Market'!F1724</f>
        <v>6.3516640649126987E-2</v>
      </c>
      <c r="R48" s="608">
        <f t="shared" si="20"/>
        <v>6.575007868267721E-2</v>
      </c>
      <c r="S48" s="609">
        <f t="shared" si="18"/>
        <v>5.9857359470409127E-2</v>
      </c>
      <c r="T48" s="603">
        <f t="shared" si="8"/>
        <v>8.464011672511193E-2</v>
      </c>
    </row>
    <row r="49" spans="2:20" x14ac:dyDescent="0.2">
      <c r="B49" s="568">
        <v>1980</v>
      </c>
      <c r="C49" s="559">
        <v>0.32419999999999999</v>
      </c>
      <c r="D49" s="559">
        <v>0.1143</v>
      </c>
      <c r="E49" s="558">
        <f t="shared" si="12"/>
        <v>0.20989999999999998</v>
      </c>
      <c r="F49" s="537"/>
      <c r="G49" s="611" t="s">
        <v>475</v>
      </c>
      <c r="H49" s="604">
        <f>+'[3]Data-Volatility'!D5680</f>
        <v>20.035714285714285</v>
      </c>
      <c r="I49" s="604">
        <f>AVERAGE(H49:H$82)</f>
        <v>21.115432565443104</v>
      </c>
      <c r="J49" s="604">
        <f t="shared" si="22"/>
        <v>24.690716025825655</v>
      </c>
      <c r="K49" s="605">
        <f>+'[3]Data-Interest Rates'!L18452</f>
        <v>1.5163043478260876E-3</v>
      </c>
      <c r="L49" s="600">
        <f t="shared" si="17"/>
        <v>1.6803695652173913E-2</v>
      </c>
      <c r="M49" s="600">
        <f t="shared" si="19"/>
        <v>1.6391379100598111E-2</v>
      </c>
      <c r="N49" s="600">
        <f>'[3]Data-Interest Rates'!D12619</f>
        <v>1.8319999999999999E-2</v>
      </c>
      <c r="O49" s="600">
        <f t="shared" si="23"/>
        <v>2.0850741167434718E-2</v>
      </c>
      <c r="P49" s="607">
        <f>+'[3]Data-Equity Market'!F1661</f>
        <v>-2.7515047291487571E-2</v>
      </c>
      <c r="R49" s="608">
        <f t="shared" si="20"/>
        <v>7.6964733438049451E-2</v>
      </c>
      <c r="S49" s="609">
        <f t="shared" si="18"/>
        <v>5.9857359470409127E-2</v>
      </c>
      <c r="T49" s="603">
        <f t="shared" si="8"/>
        <v>9.7815474605484176E-2</v>
      </c>
    </row>
    <row r="50" spans="2:20" x14ac:dyDescent="0.2">
      <c r="B50" s="568">
        <v>1979</v>
      </c>
      <c r="C50" s="559">
        <v>0.18440000000000001</v>
      </c>
      <c r="D50" s="559">
        <v>9.4299999999999995E-2</v>
      </c>
      <c r="E50" s="558">
        <f t="shared" si="12"/>
        <v>9.0100000000000013E-2</v>
      </c>
      <c r="F50" s="537"/>
      <c r="G50" s="611" t="s">
        <v>476</v>
      </c>
      <c r="H50" s="604">
        <f>+'[3]Data-Volatility'!D5617</f>
        <v>18.204032258064515</v>
      </c>
      <c r="I50" s="604">
        <f>AVERAGE(H50:H$82)</f>
        <v>21.148151301192463</v>
      </c>
      <c r="J50" s="604">
        <f t="shared" si="22"/>
        <v>24.052382692492319</v>
      </c>
      <c r="K50" s="605">
        <f>+'[3]Data-Interest Rates'!L18361</f>
        <v>1.0347826086956528E-3</v>
      </c>
      <c r="L50" s="600">
        <f t="shared" si="17"/>
        <v>1.9341407867494827E-2</v>
      </c>
      <c r="M50" s="600">
        <f t="shared" si="19"/>
        <v>1.6391379100598111E-2</v>
      </c>
      <c r="N50" s="600">
        <f>'[3]Data-Interest Rates'!D12555</f>
        <v>2.0376190476190482E-2</v>
      </c>
      <c r="O50" s="600">
        <f t="shared" si="23"/>
        <v>2.4284803667434719E-2</v>
      </c>
      <c r="P50" s="607">
        <f>+'[3]Data-Equity Market'!F1598</f>
        <v>0.12586269187656907</v>
      </c>
      <c r="R50" s="608">
        <f t="shared" si="20"/>
        <v>7.4974950930598708E-2</v>
      </c>
      <c r="S50" s="609">
        <f t="shared" si="18"/>
        <v>5.9857359470409127E-2</v>
      </c>
      <c r="T50" s="603">
        <f t="shared" si="8"/>
        <v>9.9259754598033434E-2</v>
      </c>
    </row>
    <row r="51" spans="2:20" x14ac:dyDescent="0.2">
      <c r="B51" s="568">
        <v>1978</v>
      </c>
      <c r="C51" s="559">
        <v>6.5600000000000006E-2</v>
      </c>
      <c r="D51" s="559">
        <v>8.4100000000000008E-2</v>
      </c>
      <c r="E51" s="558">
        <v>-1.8500000000000003E-2</v>
      </c>
      <c r="F51" s="537"/>
      <c r="G51" s="611" t="s">
        <v>477</v>
      </c>
      <c r="H51" s="604">
        <f>+'[3]Data-Volatility'!D5555</f>
        <v>29.939523809523823</v>
      </c>
      <c r="I51" s="604">
        <f>AVERAGE(H51:H$82)</f>
        <v>21.24015502129021</v>
      </c>
      <c r="J51" s="604">
        <f t="shared" si="22"/>
        <v>24.155084305395551</v>
      </c>
      <c r="K51" s="605">
        <f>+'[3]Data-Interest Rates'!L18270</f>
        <v>7.4193548387096867E-4</v>
      </c>
      <c r="L51" s="600">
        <f t="shared" si="17"/>
        <v>1.9704838709677409E-2</v>
      </c>
      <c r="M51" s="600">
        <f t="shared" si="19"/>
        <v>1.6391379100598111E-2</v>
      </c>
      <c r="N51" s="600">
        <f>'[3]Data-Interest Rates'!D12493</f>
        <v>2.044677419354838E-2</v>
      </c>
      <c r="O51" s="600">
        <f t="shared" si="23"/>
        <v>2.7828057635688686E-2</v>
      </c>
      <c r="P51" s="607">
        <f>+'[3]Data-Equity Market'!F1536</f>
        <v>0.11816406755783904</v>
      </c>
      <c r="R51" s="608">
        <f t="shared" si="20"/>
        <v>7.5295087546016715E-2</v>
      </c>
      <c r="S51" s="609">
        <f t="shared" si="18"/>
        <v>5.9857359470409127E-2</v>
      </c>
      <c r="T51" s="603">
        <f t="shared" si="8"/>
        <v>0.1031231451817054</v>
      </c>
    </row>
    <row r="52" spans="2:20" x14ac:dyDescent="0.2">
      <c r="B52" s="568">
        <v>1977</v>
      </c>
      <c r="C52" s="559">
        <v>-7.1800000000000003E-2</v>
      </c>
      <c r="D52" s="559">
        <v>7.4200000000000002E-2</v>
      </c>
      <c r="E52" s="558">
        <v>-0.14600000000000002</v>
      </c>
      <c r="F52" s="537"/>
      <c r="G52" s="611" t="s">
        <v>478</v>
      </c>
      <c r="H52" s="604">
        <f>+'[3]Data-Volatility'!D5492</f>
        <v>30.583593749999995</v>
      </c>
      <c r="I52" s="604">
        <f>AVERAGE(H52:H$82)</f>
        <v>20.959530221669773</v>
      </c>
      <c r="J52" s="604">
        <f t="shared" si="22"/>
        <v>21.499812728014593</v>
      </c>
      <c r="K52" s="605">
        <f>+'[3]Data-Interest Rates'!L18178</f>
        <v>8.3440860215053757E-4</v>
      </c>
      <c r="L52" s="600">
        <f t="shared" si="17"/>
        <v>2.3425591397849471E-2</v>
      </c>
      <c r="M52" s="600">
        <f t="shared" si="19"/>
        <v>1.6391379100598111E-2</v>
      </c>
      <c r="N52" s="600">
        <f>'[3]Data-Interest Rates'!D12432</f>
        <v>2.4260000000000007E-2</v>
      </c>
      <c r="O52" s="600">
        <f t="shared" si="23"/>
        <v>2.9898506944444455E-2</v>
      </c>
      <c r="P52" s="607">
        <f>+'[3]Data-Equity Market'!F1473</f>
        <v>-0.13867847934120248</v>
      </c>
      <c r="R52" s="608">
        <f t="shared" si="20"/>
        <v>6.7018200438125689E-2</v>
      </c>
      <c r="S52" s="609">
        <f t="shared" si="18"/>
        <v>5.9857359470409127E-2</v>
      </c>
      <c r="T52" s="603">
        <f t="shared" si="8"/>
        <v>9.6916707382570147E-2</v>
      </c>
    </row>
    <row r="53" spans="2:20" x14ac:dyDescent="0.2">
      <c r="B53" s="568">
        <v>1976</v>
      </c>
      <c r="C53" s="559">
        <v>0.2384</v>
      </c>
      <c r="D53" s="559">
        <v>7.6100000000000001E-2</v>
      </c>
      <c r="E53" s="558">
        <v>0.1623</v>
      </c>
      <c r="F53" s="537"/>
      <c r="G53" s="611" t="s">
        <v>479</v>
      </c>
      <c r="H53" s="604">
        <f>+'[3]Data-Volatility'!D5428</f>
        <v>17.482380952380954</v>
      </c>
      <c r="I53" s="604">
        <f>AVERAGE(H53:H$82)</f>
        <v>20.638728104058771</v>
      </c>
      <c r="J53" s="604">
        <f t="shared" si="22"/>
        <v>19.924812728014594</v>
      </c>
      <c r="K53" s="605">
        <f>+'[3]Data-Interest Rates'!L18086</f>
        <v>9.4673913043478151E-4</v>
      </c>
      <c r="L53" s="600">
        <f t="shared" si="17"/>
        <v>3.1109510869565218E-2</v>
      </c>
      <c r="M53" s="600">
        <f t="shared" si="19"/>
        <v>1.6391379100598111E-2</v>
      </c>
      <c r="N53" s="600">
        <f>'[3]Data-Interest Rates'!D12368</f>
        <v>3.2056250000000001E-2</v>
      </c>
      <c r="O53" s="600">
        <f t="shared" si="23"/>
        <v>3.0801968482905995E-2</v>
      </c>
      <c r="P53" s="607">
        <f>+'[3]Data-Equity Market'!F1409</f>
        <v>9.9131925838591428E-4</v>
      </c>
      <c r="R53" s="608">
        <f t="shared" si="20"/>
        <v>6.2108684851856895E-2</v>
      </c>
      <c r="S53" s="609">
        <f t="shared" si="18"/>
        <v>5.9857359470409127E-2</v>
      </c>
      <c r="T53" s="603">
        <f t="shared" si="8"/>
        <v>9.2910653334762894E-2</v>
      </c>
    </row>
    <row r="54" spans="2:20" x14ac:dyDescent="0.2">
      <c r="B54" s="568">
        <v>1975</v>
      </c>
      <c r="C54" s="559">
        <v>0.372</v>
      </c>
      <c r="D54" s="559">
        <v>7.9899999999999999E-2</v>
      </c>
      <c r="E54" s="558">
        <v>0.29210000000000003</v>
      </c>
      <c r="F54" s="537"/>
      <c r="G54" s="611" t="s">
        <v>480</v>
      </c>
      <c r="H54" s="604">
        <f>+'[3]Data-Volatility'!D5365</f>
        <v>18.614838709677429</v>
      </c>
      <c r="I54" s="604">
        <f>AVERAGE(H54:H$82)</f>
        <v>20.747567661013175</v>
      </c>
      <c r="J54" s="604">
        <f t="shared" si="22"/>
        <v>22.1520746327765</v>
      </c>
      <c r="K54" s="605">
        <f>+'[3]Data-Interest Rates'!L17995</f>
        <v>1.5428571428571453E-3</v>
      </c>
      <c r="L54" s="600">
        <f t="shared" si="17"/>
        <v>3.3006349206349213E-2</v>
      </c>
      <c r="M54" s="600">
        <f t="shared" si="19"/>
        <v>1.6391379100598111E-2</v>
      </c>
      <c r="N54" s="600">
        <f>'[3]Data-Interest Rates'!D12305</f>
        <v>3.4549206349206357E-2</v>
      </c>
      <c r="O54" s="600">
        <f t="shared" si="23"/>
        <v>3.1532521367521375E-2</v>
      </c>
      <c r="P54" s="607">
        <f>+'[3]Data-Equity Market'!F1346</f>
        <v>5.9192447582876673E-2</v>
      </c>
      <c r="R54" s="608">
        <f t="shared" si="20"/>
        <v>6.905140043035296E-2</v>
      </c>
      <c r="S54" s="609">
        <f t="shared" si="18"/>
        <v>5.9857359470409127E-2</v>
      </c>
      <c r="T54" s="603">
        <f t="shared" si="8"/>
        <v>0.10058392179787434</v>
      </c>
    </row>
    <row r="55" spans="2:20" x14ac:dyDescent="0.2">
      <c r="B55" s="568">
        <v>1974</v>
      </c>
      <c r="C55" s="559">
        <v>-0.26469999999999999</v>
      </c>
      <c r="D55" s="559">
        <v>7.5600000000000001E-2</v>
      </c>
      <c r="E55" s="558">
        <v>-0.34029999999999999</v>
      </c>
      <c r="F55" s="537"/>
      <c r="G55" s="611" t="s">
        <v>481</v>
      </c>
      <c r="H55" s="604">
        <f>+'[3]Data-Volatility'!D5303</f>
        <v>19.318437500000002</v>
      </c>
      <c r="I55" s="604">
        <f>AVERAGE(H55:H$82)</f>
        <v>20.82373655213231</v>
      </c>
      <c r="J55" s="604">
        <f t="shared" si="22"/>
        <v>22.535782988144028</v>
      </c>
      <c r="K55" s="605">
        <f>+'[3]Data-Interest Rates'!L17905</f>
        <v>1.8913978494623652E-3</v>
      </c>
      <c r="L55" s="600">
        <f t="shared" si="17"/>
        <v>2.6837173579109082E-2</v>
      </c>
      <c r="M55" s="600">
        <f t="shared" si="19"/>
        <v>1.6391379100598111E-2</v>
      </c>
      <c r="N55" s="600">
        <f>'[3]Data-Interest Rates'!D12243</f>
        <v>2.8728571428571447E-2</v>
      </c>
      <c r="O55" s="600">
        <f t="shared" si="23"/>
        <v>3.2195219780219789E-2</v>
      </c>
      <c r="P55" s="607">
        <f>+'[3]Data-Equity Market'!F1284</f>
        <v>0.10756698708714207</v>
      </c>
      <c r="R55" s="608">
        <f t="shared" si="20"/>
        <v>7.0247477986707538E-2</v>
      </c>
      <c r="S55" s="609">
        <f t="shared" si="18"/>
        <v>5.9857359470409127E-2</v>
      </c>
      <c r="T55" s="603">
        <f t="shared" si="8"/>
        <v>0.10244269776692733</v>
      </c>
    </row>
    <row r="56" spans="2:20" x14ac:dyDescent="0.2">
      <c r="B56" s="568">
        <v>1973</v>
      </c>
      <c r="C56" s="559">
        <v>-0.14660000000000001</v>
      </c>
      <c r="D56" s="559">
        <v>6.8499999999999991E-2</v>
      </c>
      <c r="E56" s="558">
        <v>-0.21510000000000001</v>
      </c>
      <c r="F56" s="537"/>
      <c r="G56" s="611" t="s">
        <v>482</v>
      </c>
      <c r="H56" s="604">
        <f>+'[3]Data-Volatility'!D5239</f>
        <v>24.283593749999998</v>
      </c>
      <c r="I56" s="604">
        <f>AVERAGE(H56:H$82)</f>
        <v>20.879488368877951</v>
      </c>
      <c r="J56" s="604">
        <f t="shared" si="22"/>
        <v>23.47371267564403</v>
      </c>
      <c r="K56" s="605">
        <f>+'[3]Data-Interest Rates'!L17813</f>
        <v>1.8774193548387094E-3</v>
      </c>
      <c r="L56" s="600">
        <f t="shared" si="17"/>
        <v>2.599642679900746E-2</v>
      </c>
      <c r="M56" s="600">
        <f t="shared" si="19"/>
        <v>1.6391379100598111E-2</v>
      </c>
      <c r="N56" s="600">
        <f>'[3]Data-Interest Rates'!D12181</f>
        <v>2.7873846153846169E-2</v>
      </c>
      <c r="O56" s="600">
        <f t="shared" si="23"/>
        <v>3.3667045177045184E-2</v>
      </c>
      <c r="P56" s="607">
        <f>+'[3]Data-Equity Market'!F1220</f>
        <v>0.11294112159885272</v>
      </c>
      <c r="R56" s="608">
        <f t="shared" si="20"/>
        <v>7.3171148094393554E-2</v>
      </c>
      <c r="S56" s="609">
        <f t="shared" si="18"/>
        <v>5.9857359470409127E-2</v>
      </c>
      <c r="T56" s="603">
        <f t="shared" si="8"/>
        <v>0.10683819327143873</v>
      </c>
    </row>
    <row r="57" spans="2:20" x14ac:dyDescent="0.2">
      <c r="B57" s="568">
        <v>1972</v>
      </c>
      <c r="C57" s="559">
        <v>0.1898</v>
      </c>
      <c r="D57" s="559">
        <v>6.2100000000000002E-2</v>
      </c>
      <c r="E57" s="558">
        <v>0.12769999999999998</v>
      </c>
      <c r="F57" s="537"/>
      <c r="G57" s="611" t="s">
        <v>483</v>
      </c>
      <c r="H57" s="604">
        <f>+'[3]Data-Volatility'!D5175</f>
        <v>26.391428571428573</v>
      </c>
      <c r="I57" s="604">
        <f>AVERAGE(H57:H$82)</f>
        <v>20.748561238834796</v>
      </c>
      <c r="J57" s="604">
        <f t="shared" si="22"/>
        <v>23.774376738144031</v>
      </c>
      <c r="K57" s="605">
        <f>+'[3]Data-Interest Rates'!L17721</f>
        <v>1.9086956521739121E-3</v>
      </c>
      <c r="L57" s="600">
        <f t="shared" si="17"/>
        <v>3.3069765886287621E-2</v>
      </c>
      <c r="M57" s="600">
        <f t="shared" si="19"/>
        <v>1.6391379100598111E-2</v>
      </c>
      <c r="N57" s="600">
        <f>'[3]Data-Interest Rates'!D12117</f>
        <v>3.4978461538461535E-2</v>
      </c>
      <c r="O57" s="600">
        <f t="shared" si="23"/>
        <v>3.549358363858364E-2</v>
      </c>
      <c r="P57" s="607">
        <f>+'[3]Data-Equity Market'!F1156</f>
        <v>-0.11425369743038916</v>
      </c>
      <c r="R57" s="608">
        <f t="shared" si="20"/>
        <v>7.4108363904599683E-2</v>
      </c>
      <c r="S57" s="609">
        <f t="shared" si="18"/>
        <v>5.9857359470409127E-2</v>
      </c>
      <c r="T57" s="603">
        <f t="shared" si="8"/>
        <v>0.10960194754318332</v>
      </c>
    </row>
    <row r="58" spans="2:20" x14ac:dyDescent="0.2">
      <c r="B58" s="568">
        <v>1971</v>
      </c>
      <c r="C58" s="559">
        <v>0.1431</v>
      </c>
      <c r="D58" s="559">
        <v>6.1600000000000002E-2</v>
      </c>
      <c r="E58" s="558">
        <v>8.1500000000000003E-2</v>
      </c>
      <c r="F58" s="537"/>
      <c r="G58" s="611" t="s">
        <v>484</v>
      </c>
      <c r="H58" s="604">
        <f>+'[3]Data-Volatility'!D5112</f>
        <v>20.14967213114754</v>
      </c>
      <c r="I58" s="604">
        <f>AVERAGE(H58:H$82)</f>
        <v>20.522846545531046</v>
      </c>
      <c r="J58" s="604">
        <f t="shared" si="22"/>
        <v>25.430448166715454</v>
      </c>
      <c r="K58" s="605">
        <f>+'[3]Data-Interest Rates'!L17630</f>
        <v>1.3296703296703297E-3</v>
      </c>
      <c r="L58" s="600">
        <f t="shared" si="17"/>
        <v>3.5870329670329673E-2</v>
      </c>
      <c r="M58" s="600">
        <f t="shared" si="19"/>
        <v>1.6391379100598111E-2</v>
      </c>
      <c r="N58" s="600">
        <f>'[3]Data-Interest Rates'!D12053</f>
        <v>3.7200000000000004E-2</v>
      </c>
      <c r="O58" s="600">
        <f t="shared" si="23"/>
        <v>3.5027093253968258E-2</v>
      </c>
      <c r="P58" s="607">
        <f>+'[3]Data-Equity Market'!F1093</f>
        <v>5.3866666666666729E-2</v>
      </c>
      <c r="R58" s="608">
        <f t="shared" si="20"/>
        <v>7.9270591517644665E-2</v>
      </c>
      <c r="S58" s="609">
        <f t="shared" si="18"/>
        <v>5.9857359470409127E-2</v>
      </c>
      <c r="T58" s="603">
        <f t="shared" si="8"/>
        <v>0.11429768477161292</v>
      </c>
    </row>
    <row r="59" spans="2:20" x14ac:dyDescent="0.2">
      <c r="B59" s="568">
        <v>1970</v>
      </c>
      <c r="C59" s="559">
        <v>4.0099999999999997E-2</v>
      </c>
      <c r="D59" s="559">
        <v>7.3499999999999996E-2</v>
      </c>
      <c r="E59" s="558">
        <v>-3.3399999999999999E-2</v>
      </c>
      <c r="F59" s="537"/>
      <c r="G59" s="611" t="s">
        <v>485</v>
      </c>
      <c r="H59" s="604">
        <f>+'[3]Data-Volatility'!D5051</f>
        <v>23.070156250000004</v>
      </c>
      <c r="I59" s="604">
        <f>AVERAGE(H59:H$82)</f>
        <v>20.538395479463691</v>
      </c>
      <c r="J59" s="604">
        <f t="shared" si="22"/>
        <v>31.643030133928569</v>
      </c>
      <c r="K59" s="605">
        <f>+'[3]Data-Interest Rates'!L17540</f>
        <v>1.1784946236559129E-3</v>
      </c>
      <c r="L59" s="600">
        <f t="shared" si="17"/>
        <v>3.3437378392217103E-2</v>
      </c>
      <c r="M59" s="600">
        <f t="shared" si="19"/>
        <v>1.6391379100598111E-2</v>
      </c>
      <c r="N59" s="600">
        <f>'[3]Data-Interest Rates'!D11992</f>
        <v>3.4615873015873017E-2</v>
      </c>
      <c r="O59" s="600">
        <f t="shared" si="23"/>
        <v>3.2548060995903738E-2</v>
      </c>
      <c r="P59" s="607">
        <f>+'[3]Data-Equity Market'!F1032</f>
        <v>6.0385720716041646E-2</v>
      </c>
      <c r="R59" s="608">
        <f t="shared" si="20"/>
        <v>9.8636158501140075E-2</v>
      </c>
      <c r="S59" s="609">
        <f t="shared" si="18"/>
        <v>5.9857359470409127E-2</v>
      </c>
      <c r="T59" s="603">
        <f t="shared" si="8"/>
        <v>0.13118421949704381</v>
      </c>
    </row>
    <row r="60" spans="2:20" x14ac:dyDescent="0.2">
      <c r="B60" s="568">
        <v>1969</v>
      </c>
      <c r="C60" s="559">
        <v>-8.5000000000000006E-2</v>
      </c>
      <c r="D60" s="559">
        <v>6.6699999999999995E-2</v>
      </c>
      <c r="E60" s="558">
        <v>-0.1517</v>
      </c>
      <c r="F60" s="537"/>
      <c r="G60" s="611" t="s">
        <v>486</v>
      </c>
      <c r="H60" s="604">
        <f>+'[3]Data-Volatility'!D4987</f>
        <v>25.486249999999998</v>
      </c>
      <c r="I60" s="604">
        <f>AVERAGE(H60:H$82)</f>
        <v>20.428318924222985</v>
      </c>
      <c r="J60" s="604">
        <f t="shared" si="22"/>
        <v>40.524475446428575</v>
      </c>
      <c r="K60" s="605">
        <f>+'[3]Data-Interest Rates'!L17448</f>
        <v>1.5505376344086036E-3</v>
      </c>
      <c r="L60" s="600">
        <f t="shared" si="17"/>
        <v>3.3629462365591389E-2</v>
      </c>
      <c r="M60" s="600">
        <f t="shared" si="19"/>
        <v>1.6391379100598111E-2</v>
      </c>
      <c r="N60" s="600">
        <f>'[3]Data-Interest Rates'!D11930</f>
        <v>3.5179999999999996E-2</v>
      </c>
      <c r="O60" s="600">
        <f t="shared" si="23"/>
        <v>3.2005203853046595E-2</v>
      </c>
      <c r="P60" s="607">
        <f>+'[3]Data-Equity Market'!F968</f>
        <v>0.15605694690914906</v>
      </c>
      <c r="R60" s="608">
        <f t="shared" si="20"/>
        <v>0.12632098020927515</v>
      </c>
      <c r="S60" s="609">
        <f t="shared" si="18"/>
        <v>5.9857359470409127E-2</v>
      </c>
      <c r="T60" s="603">
        <f t="shared" si="8"/>
        <v>0.15832618406232174</v>
      </c>
    </row>
    <row r="61" spans="2:20" x14ac:dyDescent="0.2">
      <c r="B61" s="568">
        <v>1968</v>
      </c>
      <c r="C61" s="559">
        <v>0.1106</v>
      </c>
      <c r="D61" s="559">
        <v>5.6399999999999999E-2</v>
      </c>
      <c r="E61" s="558">
        <v>5.4200000000000005E-2</v>
      </c>
      <c r="F61" s="537"/>
      <c r="G61" s="611" t="s">
        <v>487</v>
      </c>
      <c r="H61" s="604">
        <f>+'[3]Data-Volatility'!D4923</f>
        <v>33.015714285714282</v>
      </c>
      <c r="I61" s="604">
        <f>AVERAGE(H61:H$82)</f>
        <v>20.198412966233118</v>
      </c>
      <c r="J61" s="604">
        <f t="shared" si="22"/>
        <v>40.421233258928574</v>
      </c>
      <c r="K61" s="605">
        <f>+'[3]Data-Interest Rates'!L17356</f>
        <v>1.7782608695652174E-3</v>
      </c>
      <c r="L61" s="600">
        <f t="shared" si="17"/>
        <v>3.1334239130434788E-2</v>
      </c>
      <c r="M61" s="600">
        <f t="shared" si="19"/>
        <v>1.6391379100598111E-2</v>
      </c>
      <c r="N61" s="600">
        <f>'[3]Data-Interest Rates'!D11866</f>
        <v>3.3112500000000003E-2</v>
      </c>
      <c r="O61" s="600">
        <f t="shared" si="23"/>
        <v>3.2870588468431217E-2</v>
      </c>
      <c r="P61" s="607">
        <f>+'[3]Data-Equity Market'!F904</f>
        <v>0.15929094030843483</v>
      </c>
      <c r="R61" s="608">
        <f t="shared" si="20"/>
        <v>0.12599915854026453</v>
      </c>
      <c r="S61" s="609">
        <f t="shared" si="18"/>
        <v>5.9857359470409127E-2</v>
      </c>
      <c r="T61" s="603">
        <f t="shared" si="8"/>
        <v>0.15886974700869574</v>
      </c>
    </row>
    <row r="62" spans="2:20" x14ac:dyDescent="0.2">
      <c r="B62" s="568">
        <v>1967</v>
      </c>
      <c r="C62" s="559">
        <v>0.23980000000000001</v>
      </c>
      <c r="D62" s="559">
        <v>5.0700000000000002E-2</v>
      </c>
      <c r="E62" s="558">
        <v>0.18910000000000002</v>
      </c>
      <c r="F62" s="537"/>
      <c r="G62" s="611" t="s">
        <v>488</v>
      </c>
      <c r="H62" s="604">
        <f>+'[3]Data-Volatility'!D4860</f>
        <v>44.999999999999993</v>
      </c>
      <c r="I62" s="604">
        <f>AVERAGE(H62:H$82)</f>
        <v>19.588065284353064</v>
      </c>
      <c r="J62" s="604">
        <f t="shared" si="22"/>
        <v>37.723429687500001</v>
      </c>
      <c r="K62" s="605">
        <f>+'[3]Data-Interest Rates'!L17265</f>
        <v>1.8395604395604398E-3</v>
      </c>
      <c r="L62" s="600">
        <f t="shared" si="17"/>
        <v>2.5444310528181496E-2</v>
      </c>
      <c r="M62" s="600">
        <f t="shared" si="19"/>
        <v>1.6391379100598111E-2</v>
      </c>
      <c r="N62" s="600">
        <f>'[3]Data-Interest Rates'!D11803</f>
        <v>2.7283870967741937E-2</v>
      </c>
      <c r="O62" s="600">
        <f t="shared" si="23"/>
        <v>3.4279771160738909E-2</v>
      </c>
      <c r="P62" s="607">
        <f>+'[3]Data-Equity Market'!F841</f>
        <v>-0.11011851505182457</v>
      </c>
      <c r="R62" s="608">
        <f t="shared" si="20"/>
        <v>0.11758969271002946</v>
      </c>
      <c r="S62" s="609">
        <f t="shared" si="18"/>
        <v>5.9857359470409127E-2</v>
      </c>
      <c r="T62" s="603">
        <f t="shared" si="8"/>
        <v>0.15186946387076838</v>
      </c>
    </row>
    <row r="63" spans="2:20" x14ac:dyDescent="0.2">
      <c r="B63" s="568">
        <v>1966</v>
      </c>
      <c r="C63" s="559">
        <v>-0.10059999999999999</v>
      </c>
      <c r="D63" s="559">
        <v>4.9299999999999997E-2</v>
      </c>
      <c r="E63" s="558">
        <v>-0.14989999999999998</v>
      </c>
      <c r="F63" s="537"/>
      <c r="G63" s="611" t="s">
        <v>489</v>
      </c>
      <c r="H63" s="604">
        <f>+'[3]Data-Volatility'!D4799</f>
        <v>58.595937500000012</v>
      </c>
      <c r="I63" s="604">
        <f>AVERAGE(H63:H$82)</f>
        <v>18.317468548570712</v>
      </c>
      <c r="J63" s="604">
        <f t="shared" si="22"/>
        <v>33.003470671106555</v>
      </c>
      <c r="K63" s="605">
        <f>+'[3]Data-Interest Rates'!L17175</f>
        <v>5.2172043010752719E-3</v>
      </c>
      <c r="L63" s="600">
        <f t="shared" si="17"/>
        <v>2.722724014336917E-2</v>
      </c>
      <c r="M63" s="600">
        <f t="shared" si="19"/>
        <v>1.6391379100598111E-2</v>
      </c>
      <c r="N63" s="600">
        <f>'[3]Data-Interest Rates'!D11742</f>
        <v>3.2444444444444442E-2</v>
      </c>
      <c r="O63" s="600">
        <f t="shared" si="23"/>
        <v>3.6637029225255031E-2</v>
      </c>
      <c r="P63" s="607">
        <f>+'[3]Data-Equity Market'!F780</f>
        <v>-0.21943226749183431</v>
      </c>
      <c r="R63" s="608">
        <f t="shared" si="20"/>
        <v>0.10287685946715101</v>
      </c>
      <c r="S63" s="609">
        <f t="shared" si="18"/>
        <v>5.9857359470409127E-2</v>
      </c>
      <c r="T63" s="603">
        <f t="shared" si="8"/>
        <v>0.13951388869240605</v>
      </c>
    </row>
    <row r="64" spans="2:20" x14ac:dyDescent="0.2">
      <c r="B64" s="568">
        <v>1965</v>
      </c>
      <c r="C64" s="559">
        <v>0.1245</v>
      </c>
      <c r="D64" s="559">
        <v>4.2800000000000005E-2</v>
      </c>
      <c r="E64" s="558">
        <v>8.1699999999999995E-2</v>
      </c>
      <c r="F64" s="537"/>
      <c r="G64" s="611" t="s">
        <v>490</v>
      </c>
      <c r="H64" s="604">
        <f>+'[3]Data-Volatility'!D4735</f>
        <v>25.073281250000004</v>
      </c>
      <c r="I64" s="604">
        <f>AVERAGE(H64:H$82)</f>
        <v>16.197549130074435</v>
      </c>
      <c r="J64" s="604">
        <f t="shared" si="22"/>
        <v>23.861947233606557</v>
      </c>
      <c r="K64" s="605">
        <f>+'[3]Data-Interest Rates'!L17083</f>
        <v>1.9463440860215054E-2</v>
      </c>
      <c r="L64" s="600">
        <f t="shared" si="17"/>
        <v>1.9178097601323409E-2</v>
      </c>
      <c r="M64" s="600">
        <f t="shared" si="19"/>
        <v>1.6391379100598111E-2</v>
      </c>
      <c r="N64" s="600">
        <f>'[3]Data-Interest Rates'!D11680</f>
        <v>3.8641538461538463E-2</v>
      </c>
      <c r="O64" s="600">
        <f t="shared" si="23"/>
        <v>3.9205283193508994E-2</v>
      </c>
      <c r="P64" s="607">
        <f>+'[3]Data-Equity Market'!F716</f>
        <v>-8.3698011784569815E-2</v>
      </c>
      <c r="R64" s="608">
        <f t="shared" si="20"/>
        <v>7.4381334515628603E-2</v>
      </c>
      <c r="S64" s="609">
        <f t="shared" si="18"/>
        <v>5.9857359470409127E-2</v>
      </c>
      <c r="T64" s="603">
        <f t="shared" si="8"/>
        <v>0.1135866177091376</v>
      </c>
    </row>
    <row r="65" spans="2:20" x14ac:dyDescent="0.2">
      <c r="B65" s="568">
        <v>1964</v>
      </c>
      <c r="C65" s="559">
        <v>0.1648</v>
      </c>
      <c r="D65" s="559">
        <v>4.1900000000000007E-2</v>
      </c>
      <c r="E65" s="558">
        <v>0.1229</v>
      </c>
      <c r="F65" s="537"/>
      <c r="G65" s="611" t="s">
        <v>491</v>
      </c>
      <c r="H65" s="604">
        <f>+'[3]Data-Volatility'!D4671</f>
        <v>22.224499999999999</v>
      </c>
      <c r="I65" s="604">
        <f>AVERAGE(H65:H$82)</f>
        <v>15.704452901189683</v>
      </c>
      <c r="J65" s="604">
        <f t="shared" si="22"/>
        <v>22.990928508408143</v>
      </c>
      <c r="K65" s="605">
        <f>+'[3]Data-Interest Rates'!L16991</f>
        <v>2.0893478260869562E-2</v>
      </c>
      <c r="L65" s="600">
        <f t="shared" si="17"/>
        <v>1.785575250836121E-2</v>
      </c>
      <c r="M65" s="600">
        <f t="shared" si="19"/>
        <v>1.6391379100598111E-2</v>
      </c>
      <c r="N65" s="600">
        <f>'[3]Data-Interest Rates'!D11616</f>
        <v>3.8749230769230772E-2</v>
      </c>
      <c r="O65" s="600">
        <f t="shared" si="23"/>
        <v>4.1402320453124378E-2</v>
      </c>
      <c r="P65" s="607">
        <f>+'[3]Data-Equity Market'!F652</f>
        <v>-2.726941898660229E-2</v>
      </c>
      <c r="R65" s="608">
        <f t="shared" si="20"/>
        <v>7.1666236098299349E-2</v>
      </c>
      <c r="S65" s="609">
        <f t="shared" si="18"/>
        <v>5.9857359470409127E-2</v>
      </c>
      <c r="T65" s="603">
        <f t="shared" si="8"/>
        <v>0.11306855655142373</v>
      </c>
    </row>
    <row r="66" spans="2:20" x14ac:dyDescent="0.2">
      <c r="B66" s="568">
        <v>1963</v>
      </c>
      <c r="C66" s="559">
        <v>0.22800000000000001</v>
      </c>
      <c r="D66" s="559">
        <v>0.04</v>
      </c>
      <c r="E66" s="558">
        <v>0.188</v>
      </c>
      <c r="F66" s="537"/>
      <c r="G66" s="611" t="s">
        <v>492</v>
      </c>
      <c r="H66" s="604">
        <f>+'[3]Data-Volatility'!D4607</f>
        <v>26.120163934426223</v>
      </c>
      <c r="I66" s="604">
        <f>AVERAGE(H66:H$82)</f>
        <v>15.320920718906724</v>
      </c>
      <c r="J66" s="604">
        <f t="shared" si="22"/>
        <v>20.867779698884334</v>
      </c>
      <c r="K66" s="605">
        <f>+'[3]Data-Interest Rates'!L16900</f>
        <v>3.1801086956521736E-2</v>
      </c>
      <c r="L66" s="600">
        <f t="shared" si="17"/>
        <v>4.911816269284712E-3</v>
      </c>
      <c r="M66" s="600">
        <f t="shared" si="19"/>
        <v>1.6391379100598111E-2</v>
      </c>
      <c r="N66" s="600">
        <f>'[3]Data-Interest Rates'!D11552</f>
        <v>3.6712903225806448E-2</v>
      </c>
      <c r="O66" s="600">
        <f t="shared" si="23"/>
        <v>4.3822705068508994E-2</v>
      </c>
      <c r="P66" s="607">
        <f>+'[3]Data-Equity Market'!F588</f>
        <v>-9.4444179461718902E-2</v>
      </c>
      <c r="R66" s="608">
        <f t="shared" si="20"/>
        <v>6.5048056941267487E-2</v>
      </c>
      <c r="S66" s="609">
        <f t="shared" si="18"/>
        <v>5.9857359470409127E-2</v>
      </c>
      <c r="T66" s="603">
        <f t="shared" si="8"/>
        <v>0.10887076200977648</v>
      </c>
    </row>
    <row r="67" spans="2:20" x14ac:dyDescent="0.2">
      <c r="B67" s="612" t="s">
        <v>493</v>
      </c>
      <c r="C67" s="613"/>
      <c r="D67" s="613"/>
      <c r="E67" s="614">
        <f>AVERAGE(E11:E66)</f>
        <v>5.148524414297629E-2</v>
      </c>
      <c r="F67" s="537"/>
      <c r="G67" s="611" t="s">
        <v>494</v>
      </c>
      <c r="H67" s="604">
        <f>+'[3]Data-Volatility'!D4546</f>
        <v>22.029843750000001</v>
      </c>
      <c r="I67" s="604">
        <f>AVERAGE(H67:H$82)</f>
        <v>14.645968017936752</v>
      </c>
      <c r="J67" s="604">
        <f t="shared" si="22"/>
        <v>17.478640354622037</v>
      </c>
      <c r="K67" s="605">
        <f>+'[3]Data-Interest Rates'!L16809</f>
        <v>4.4965591397849468E-2</v>
      </c>
      <c r="L67" s="600">
        <f t="shared" si="17"/>
        <v>-2.248131080389161E-3</v>
      </c>
      <c r="M67" s="600">
        <f t="shared" si="19"/>
        <v>1.6391379100598111E-2</v>
      </c>
      <c r="N67" s="600">
        <f>'[3]Data-Interest Rates'!D11491</f>
        <v>4.2717460317460307E-2</v>
      </c>
      <c r="O67" s="600">
        <f t="shared" si="23"/>
        <v>4.6343288785866903E-2</v>
      </c>
      <c r="P67" s="607">
        <f>+'[3]Data-Equity Market'!F527</f>
        <v>-3.3319081870462508E-2</v>
      </c>
      <c r="R67" s="608">
        <f t="shared" si="20"/>
        <v>5.4483591903367434E-2</v>
      </c>
      <c r="S67" s="609">
        <f t="shared" si="18"/>
        <v>5.9857359470409127E-2</v>
      </c>
      <c r="T67" s="603">
        <f t="shared" si="8"/>
        <v>0.10082688068923434</v>
      </c>
    </row>
    <row r="68" spans="2:20" x14ac:dyDescent="0.2">
      <c r="B68" s="615" t="s">
        <v>495</v>
      </c>
      <c r="C68" s="616"/>
      <c r="D68" s="616"/>
      <c r="E68" s="617">
        <f>STDEV(C11:C66)</f>
        <v>0.16516753659359493</v>
      </c>
      <c r="F68" s="618"/>
      <c r="G68" s="611" t="s">
        <v>496</v>
      </c>
      <c r="H68" s="604">
        <f>+'[3]Data-Volatility'!D4482</f>
        <v>21.589206349206346</v>
      </c>
      <c r="I68" s="604">
        <f>AVERAGE(H68:H$82)</f>
        <v>14.153709635799204</v>
      </c>
      <c r="J68" s="604">
        <f t="shared" si="22"/>
        <v>14.729909575852197</v>
      </c>
      <c r="K68" s="605">
        <f>+'[3]Data-Interest Rates'!L16717</f>
        <v>5.076881720430107E-2</v>
      </c>
      <c r="L68" s="600">
        <f t="shared" si="17"/>
        <v>-3.3391297043010859E-3</v>
      </c>
      <c r="M68" s="600">
        <f t="shared" si="19"/>
        <v>1.6391379100598111E-2</v>
      </c>
      <c r="N68" s="600">
        <f>'[3]Data-Interest Rates'!D11429</f>
        <v>4.7429687499999984E-2</v>
      </c>
      <c r="O68" s="600">
        <f t="shared" si="23"/>
        <v>4.7240907833485953E-2</v>
      </c>
      <c r="P68" s="607">
        <f>+'[3]Data-Equity Market'!F463</f>
        <v>2.0301507537688446E-2</v>
      </c>
      <c r="R68" s="608">
        <f t="shared" si="20"/>
        <v>4.5915378188556455E-2</v>
      </c>
      <c r="S68" s="609">
        <f t="shared" si="18"/>
        <v>5.9857359470409127E-2</v>
      </c>
      <c r="T68" s="603">
        <f t="shared" si="8"/>
        <v>9.31562860220424E-2</v>
      </c>
    </row>
    <row r="69" spans="2:20" x14ac:dyDescent="0.2">
      <c r="B69" s="615" t="s">
        <v>497</v>
      </c>
      <c r="C69" s="616"/>
      <c r="D69" s="616"/>
      <c r="E69" s="619">
        <f>E67/E68</f>
        <v>0.31171527531865395</v>
      </c>
      <c r="F69" s="618"/>
      <c r="G69" s="611" t="s">
        <v>498</v>
      </c>
      <c r="H69" s="604">
        <f>+'[3]Data-Volatility'!D4419</f>
        <v>13.731904761904756</v>
      </c>
      <c r="I69" s="604">
        <f>AVERAGE(H69:H$82)</f>
        <v>13.622602727698693</v>
      </c>
      <c r="J69" s="604">
        <f t="shared" si="22"/>
        <v>12.734592115534735</v>
      </c>
      <c r="K69" s="605">
        <f>+'[3]Data-Interest Rates'!L16625</f>
        <v>5.2529347826086974E-2</v>
      </c>
      <c r="L69" s="600">
        <f t="shared" si="17"/>
        <v>-4.098578595317752E-3</v>
      </c>
      <c r="M69" s="600">
        <f t="shared" si="19"/>
        <v>1.6391379100598111E-2</v>
      </c>
      <c r="N69" s="600">
        <f>'[3]Data-Interest Rates'!D11366</f>
        <v>4.8430769230769222E-2</v>
      </c>
      <c r="O69" s="600">
        <f t="shared" si="23"/>
        <v>4.7627235958485961E-2</v>
      </c>
      <c r="P69" s="607">
        <f>+'[3]Data-Equity Market'!F400</f>
        <v>6.2782939112412173E-2</v>
      </c>
      <c r="R69" s="608">
        <f t="shared" si="20"/>
        <v>3.96956688736467E-2</v>
      </c>
      <c r="S69" s="609">
        <f t="shared" si="18"/>
        <v>5.9857359470409127E-2</v>
      </c>
      <c r="T69" s="603">
        <f t="shared" si="8"/>
        <v>8.7322904832132661E-2</v>
      </c>
    </row>
    <row r="70" spans="2:20" x14ac:dyDescent="0.2">
      <c r="B70" s="615" t="s">
        <v>499</v>
      </c>
      <c r="C70" s="616"/>
      <c r="D70" s="616"/>
      <c r="E70" s="619">
        <f>(AVERAGE(E11:E66)/(STDEV(C11:C66)))</f>
        <v>0.31171527531865395</v>
      </c>
      <c r="F70" s="537"/>
      <c r="G70" s="611" t="s">
        <v>500</v>
      </c>
      <c r="H70" s="604">
        <f>+'[3]Data-Volatility'!D4356</f>
        <v>12.563606557377048</v>
      </c>
      <c r="I70" s="604">
        <f>AVERAGE(H70:H$82)</f>
        <v>13.614194878913612</v>
      </c>
      <c r="J70" s="604">
        <f t="shared" si="22"/>
        <v>12.933798464741084</v>
      </c>
      <c r="K70" s="605">
        <f>+'[3]Data-Interest Rates'!L16534</f>
        <v>5.2536263736263758E-2</v>
      </c>
      <c r="L70" s="600">
        <f t="shared" si="17"/>
        <v>-5.7410256410256669E-3</v>
      </c>
      <c r="M70" s="600">
        <f t="shared" si="19"/>
        <v>1.6391379100598111E-2</v>
      </c>
      <c r="N70" s="600">
        <f>'[3]Data-Interest Rates'!D11302</f>
        <v>4.6795238095238091E-2</v>
      </c>
      <c r="O70" s="600">
        <f t="shared" si="23"/>
        <v>4.8192981150793658E-2</v>
      </c>
      <c r="P70" s="607">
        <f>+'[3]Data-Equity Market'!F337</f>
        <v>6.3994364470547627E-3</v>
      </c>
      <c r="R70" s="608">
        <f t="shared" si="20"/>
        <v>4.0316625493527505E-2</v>
      </c>
      <c r="S70" s="609">
        <f t="shared" si="18"/>
        <v>5.9857359470409127E-2</v>
      </c>
      <c r="T70" s="603">
        <f t="shared" si="8"/>
        <v>8.850960664432117E-2</v>
      </c>
    </row>
    <row r="71" spans="2:20" x14ac:dyDescent="0.2">
      <c r="B71" s="615" t="s">
        <v>501</v>
      </c>
      <c r="C71" s="616"/>
      <c r="D71" s="616"/>
      <c r="E71" s="619">
        <f>(AVERAGE(E10:E66)/(STDEV(C10:C66)))</f>
        <v>0.33604531772583685</v>
      </c>
      <c r="F71" s="537"/>
      <c r="G71" s="611" t="s">
        <v>502</v>
      </c>
      <c r="H71" s="604">
        <f>+'[3]Data-Volatility'!D4295</f>
        <v>11.034920634920635</v>
      </c>
      <c r="I71" s="604">
        <f>AVERAGE(H71:H$82)</f>
        <v>13.701743905708327</v>
      </c>
      <c r="J71" s="604">
        <f t="shared" si="22"/>
        <v>12.803501664106502</v>
      </c>
      <c r="K71" s="605">
        <f>+'[3]Data-Interest Rates'!L16444</f>
        <v>5.2439784946236551E-2</v>
      </c>
      <c r="L71" s="600">
        <f t="shared" si="17"/>
        <v>-6.1318484383000235E-3</v>
      </c>
      <c r="M71" s="600">
        <f t="shared" si="19"/>
        <v>1.6391379100598111E-2</v>
      </c>
      <c r="N71" s="600">
        <f>'[3]Data-Interest Rates'!D11240</f>
        <v>4.6307936507936527E-2</v>
      </c>
      <c r="O71" s="600">
        <f t="shared" si="23"/>
        <v>4.7929489087301602E-2</v>
      </c>
      <c r="P71" s="607">
        <f>+'[3]Data-Equity Market'!F276</f>
        <v>6.6982610096198547E-2</v>
      </c>
      <c r="R71" s="608">
        <f t="shared" si="20"/>
        <v>3.9910470462698022E-2</v>
      </c>
      <c r="S71" s="609">
        <f t="shared" si="18"/>
        <v>5.9857359470409127E-2</v>
      </c>
      <c r="T71" s="603">
        <f t="shared" ref="T71:T98" si="24">O71+(1*R71)</f>
        <v>8.7839959549999624E-2</v>
      </c>
    </row>
    <row r="72" spans="2:20" x14ac:dyDescent="0.2">
      <c r="B72" s="615" t="s">
        <v>503</v>
      </c>
      <c r="C72" s="620"/>
      <c r="D72" s="620"/>
      <c r="E72" s="619">
        <f>(AVERAGE(E9:E66)/(STDEV(C9:C66)))</f>
        <v>0.33122555212243776</v>
      </c>
      <c r="F72" s="537"/>
      <c r="G72" s="611" t="s">
        <v>504</v>
      </c>
      <c r="H72" s="604">
        <f>+'[3]Data-Volatility'!D4232</f>
        <v>13.607936507936504</v>
      </c>
      <c r="I72" s="604">
        <f>AVERAGE(H72:H$82)</f>
        <v>13.944182384870844</v>
      </c>
      <c r="J72" s="604">
        <f t="shared" si="22"/>
        <v>13.240208013312852</v>
      </c>
      <c r="K72" s="605">
        <f>+'[3]Data-Interest Rates'!L16352</f>
        <v>5.2432258064516138E-2</v>
      </c>
      <c r="L72" s="600">
        <f t="shared" si="17"/>
        <v>-3.4572580645161263E-3</v>
      </c>
      <c r="M72" s="600">
        <f t="shared" si="19"/>
        <v>1.6391379100598111E-2</v>
      </c>
      <c r="N72" s="600">
        <f>'[3]Data-Interest Rates'!D11178</f>
        <v>4.8975000000000012E-2</v>
      </c>
      <c r="O72" s="600">
        <f t="shared" si="23"/>
        <v>4.756702108934973E-2</v>
      </c>
      <c r="P72" s="607">
        <f>+'[3]Data-Equity Market'!F213</f>
        <v>5.6657194576669623E-2</v>
      </c>
      <c r="R72" s="608">
        <f t="shared" si="20"/>
        <v>4.1271750861460642E-2</v>
      </c>
      <c r="S72" s="609">
        <f t="shared" si="18"/>
        <v>5.9857359470409127E-2</v>
      </c>
      <c r="T72" s="603">
        <f t="shared" si="24"/>
        <v>8.8838771950810372E-2</v>
      </c>
    </row>
    <row r="73" spans="2:20" x14ac:dyDescent="0.2">
      <c r="B73" s="615" t="s">
        <v>505</v>
      </c>
      <c r="C73" s="620"/>
      <c r="D73" s="620"/>
      <c r="E73" s="621">
        <f>(AVERAGE(E8:E66)/(STDEV(C8:C66)))</f>
        <v>0.34481121670378745</v>
      </c>
      <c r="F73" s="537"/>
      <c r="G73" s="611" t="s">
        <v>506</v>
      </c>
      <c r="H73" s="604">
        <f>+'[3]Data-Volatility'!D4169</f>
        <v>14.528730158730159</v>
      </c>
      <c r="I73" s="604">
        <f>AVERAGE(H73:H$82)</f>
        <v>13.977806972564277</v>
      </c>
      <c r="J73" s="604">
        <f t="shared" si="22"/>
        <v>12.900919198828726</v>
      </c>
      <c r="K73" s="605">
        <f>+'[3]Data-Interest Rates'!L16260</f>
        <v>4.9085869565217398E-2</v>
      </c>
      <c r="L73" s="600">
        <f t="shared" si="17"/>
        <v>1.6078804347826117E-3</v>
      </c>
      <c r="M73" s="600">
        <f t="shared" si="19"/>
        <v>1.6391379100598111E-2</v>
      </c>
      <c r="N73" s="600">
        <f>'[3]Data-Interest Rates'!D11115</f>
        <v>5.069375000000001E-2</v>
      </c>
      <c r="O73" s="600">
        <f t="shared" si="23"/>
        <v>4.5850578781657415E-2</v>
      </c>
      <c r="P73" s="607">
        <f>+'[3]Data-Equity Market'!F150</f>
        <v>-1.4410027549329629E-2</v>
      </c>
      <c r="Q73" s="622"/>
      <c r="R73" s="608">
        <f t="shared" si="20"/>
        <v>4.0214135799266047E-2</v>
      </c>
      <c r="S73" s="609">
        <f t="shared" si="18"/>
        <v>5.9857359470409127E-2</v>
      </c>
      <c r="T73" s="603">
        <f t="shared" si="24"/>
        <v>8.6064714580923463E-2</v>
      </c>
    </row>
    <row r="74" spans="2:20" x14ac:dyDescent="0.2">
      <c r="B74" s="615" t="s">
        <v>507</v>
      </c>
      <c r="C74" s="620"/>
      <c r="D74" s="620"/>
      <c r="E74" s="623">
        <f>(AVERAGE(E7:E66)/(STDEV(C7:C66)))</f>
        <v>0.35286238765547318</v>
      </c>
      <c r="F74" s="537"/>
      <c r="G74" s="611" t="s">
        <v>508</v>
      </c>
      <c r="H74" s="604">
        <f>+'[3]Data-Volatility'!D4106</f>
        <v>12.042419354838714</v>
      </c>
      <c r="I74" s="604">
        <f>AVERAGE(H74:H$82)</f>
        <v>13.916593285212512</v>
      </c>
      <c r="J74" s="604">
        <f t="shared" si="22"/>
        <v>12.620572596646188</v>
      </c>
      <c r="K74" s="605">
        <f>+'[3]Data-Interest Rates'!L16169</f>
        <v>4.4501098901098865E-2</v>
      </c>
      <c r="L74" s="600">
        <f t="shared" si="17"/>
        <v>1.2401709401709954E-3</v>
      </c>
      <c r="M74" s="600">
        <f t="shared" si="19"/>
        <v>1.6391379100598111E-2</v>
      </c>
      <c r="N74" s="600">
        <f>'[3]Data-Interest Rates'!D11052</f>
        <v>4.574126984126986E-2</v>
      </c>
      <c r="O74" s="600">
        <f t="shared" si="23"/>
        <v>4.3586756666272798E-2</v>
      </c>
      <c r="P74" s="607">
        <f>+'[3]Data-Equity Market'!F87</f>
        <v>4.2077608398572108E-2</v>
      </c>
      <c r="R74" s="608">
        <f t="shared" si="20"/>
        <v>3.9340252616426256E-2</v>
      </c>
      <c r="S74" s="609">
        <f t="shared" si="18"/>
        <v>5.9857359470409127E-2</v>
      </c>
      <c r="T74" s="603">
        <f t="shared" si="24"/>
        <v>8.2927009282699055E-2</v>
      </c>
    </row>
    <row r="75" spans="2:20" x14ac:dyDescent="0.2">
      <c r="B75" s="624" t="s">
        <v>509</v>
      </c>
      <c r="C75" s="625"/>
      <c r="D75" s="625"/>
      <c r="E75" s="626">
        <f>AVERAGE(D10:D66)</f>
        <v>6.1578175614899283E-2</v>
      </c>
      <c r="F75" s="537"/>
      <c r="G75" s="611" t="s">
        <v>510</v>
      </c>
      <c r="H75" s="604">
        <f>+'[3]Data-Volatility'!D4044</f>
        <v>12.781746031746035</v>
      </c>
      <c r="I75" s="604">
        <f>AVERAGE(H75:H$82)</f>
        <v>14.150865026509237</v>
      </c>
      <c r="J75" s="604">
        <f t="shared" si="22"/>
        <v>12.806730053018475</v>
      </c>
      <c r="K75" s="605">
        <f>+'[3]Data-Interest Rates'!L16079</f>
        <v>3.9777419354838701E-2</v>
      </c>
      <c r="L75" s="600">
        <f t="shared" si="17"/>
        <v>5.0806451612903369E-3</v>
      </c>
      <c r="M75" s="600">
        <f t="shared" si="19"/>
        <v>1.6391379100598111E-2</v>
      </c>
      <c r="N75" s="600">
        <f>'[3]Data-Interest Rates'!D10990</f>
        <v>4.4858064516129038E-2</v>
      </c>
      <c r="O75" s="600">
        <f>AVERAGE(N75:N78)</f>
        <v>4.2907890818858568E-2</v>
      </c>
      <c r="P75" s="607"/>
      <c r="R75" s="608">
        <f t="shared" si="20"/>
        <v>3.9920533844083332E-2</v>
      </c>
      <c r="S75" s="609">
        <f t="shared" si="18"/>
        <v>5.9857359470409127E-2</v>
      </c>
      <c r="T75" s="627"/>
    </row>
    <row r="76" spans="2:20" x14ac:dyDescent="0.2">
      <c r="F76" s="537"/>
      <c r="G76" s="611" t="s">
        <v>511</v>
      </c>
      <c r="H76" s="604">
        <f>+'[3]Data-Volatility'!D3981</f>
        <v>12.250781249999998</v>
      </c>
      <c r="I76" s="604">
        <f>AVERAGE(H76:H$82)</f>
        <v>14.346453454332551</v>
      </c>
      <c r="J76" s="604">
        <f t="shared" si="22"/>
        <v>13.023793545081965</v>
      </c>
      <c r="K76" s="605">
        <f>+'[3]Data-Interest Rates'!L15987</f>
        <v>3.4588172043010762E-2</v>
      </c>
      <c r="L76" s="600">
        <f t="shared" si="17"/>
        <v>7.5210587262200049E-3</v>
      </c>
      <c r="M76" s="600">
        <f t="shared" si="19"/>
        <v>1.6391379100598111E-2</v>
      </c>
      <c r="N76" s="600">
        <f>'[3]Data-Interest Rates'!D10929</f>
        <v>4.2109230769230767E-2</v>
      </c>
      <c r="O76" s="629"/>
      <c r="P76" s="627"/>
      <c r="R76" s="608">
        <f t="shared" si="20"/>
        <v>4.0597153905985325E-2</v>
      </c>
      <c r="S76" s="609">
        <f t="shared" si="18"/>
        <v>5.9857359470409127E-2</v>
      </c>
      <c r="T76" s="627"/>
    </row>
    <row r="77" spans="2:20" x14ac:dyDescent="0.2">
      <c r="F77" s="537"/>
      <c r="G77" s="611" t="s">
        <v>512</v>
      </c>
      <c r="H77" s="604">
        <f>+'[3]Data-Volatility'!D3917</f>
        <v>13.407343750000003</v>
      </c>
      <c r="I77" s="604">
        <f>AVERAGE(H77:H$82)</f>
        <v>14.695732155054642</v>
      </c>
      <c r="J77" s="604">
        <f t="shared" si="22"/>
        <v>13.821098232581965</v>
      </c>
      <c r="K77" s="605">
        <f>+'[3]Data-Interest Rates'!L15895</f>
        <v>2.9419565217391308E-2</v>
      </c>
      <c r="L77" s="600">
        <f t="shared" si="17"/>
        <v>1.2218896321070233E-2</v>
      </c>
      <c r="M77" s="600">
        <f t="shared" si="19"/>
        <v>1.6391379100598111E-2</v>
      </c>
      <c r="N77" s="600">
        <f>'[3]Data-Interest Rates'!D10865</f>
        <v>4.1638461538461541E-2</v>
      </c>
      <c r="O77" s="629"/>
      <c r="P77" s="627"/>
      <c r="R77" s="608">
        <f t="shared" si="20"/>
        <v>4.3082474407754486E-2</v>
      </c>
      <c r="S77" s="609">
        <f t="shared" si="18"/>
        <v>5.9857359470409127E-2</v>
      </c>
      <c r="T77" s="627"/>
    </row>
    <row r="78" spans="2:20" x14ac:dyDescent="0.2">
      <c r="F78" s="537"/>
      <c r="G78" s="611" t="s">
        <v>513</v>
      </c>
      <c r="H78" s="604">
        <f>+'[3]Data-Volatility'!D3853</f>
        <v>12.787049180327864</v>
      </c>
      <c r="I78" s="604">
        <f>AVERAGE(H78:H$82)</f>
        <v>14.953409836065571</v>
      </c>
      <c r="J78" s="604">
        <f t="shared" si="22"/>
        <v>14.526762295081966</v>
      </c>
      <c r="K78" s="605">
        <f>+'[3]Data-Interest Rates'!L15804</f>
        <v>2.4635164835164834E-2</v>
      </c>
      <c r="L78" s="630">
        <f>+N78-K78</f>
        <v>1.8390641616448072E-2</v>
      </c>
      <c r="M78" s="630">
        <f>+M77</f>
        <v>1.6391379100598111E-2</v>
      </c>
      <c r="N78" s="630">
        <f>'[3]Data-Interest Rates'!D10801</f>
        <v>4.3025806451612907E-2</v>
      </c>
      <c r="O78" s="629"/>
      <c r="P78" s="627"/>
      <c r="R78" s="631">
        <f t="shared" si="20"/>
        <v>4.5282137083001162E-2</v>
      </c>
      <c r="S78" s="632">
        <f t="shared" si="18"/>
        <v>5.9857359470409127E-2</v>
      </c>
      <c r="T78" s="633"/>
    </row>
    <row r="79" spans="2:20" x14ac:dyDescent="0.2">
      <c r="F79" s="537"/>
      <c r="G79" s="634" t="s">
        <v>514</v>
      </c>
      <c r="H79" s="635">
        <v>13.65</v>
      </c>
      <c r="I79" s="635"/>
      <c r="J79" s="635">
        <f t="shared" si="22"/>
        <v>15.495000000000001</v>
      </c>
      <c r="K79" s="636"/>
      <c r="L79" s="629"/>
      <c r="M79" s="600"/>
      <c r="N79" s="629"/>
      <c r="O79" s="637"/>
      <c r="P79" s="622"/>
      <c r="R79" s="638">
        <f t="shared" si="20"/>
        <v>4.830028191062543E-2</v>
      </c>
      <c r="S79" s="609">
        <f t="shared" si="18"/>
        <v>5.9857359470409127E-2</v>
      </c>
      <c r="T79" s="639"/>
    </row>
    <row r="80" spans="2:20" x14ac:dyDescent="0.2">
      <c r="F80" s="537"/>
      <c r="G80" s="611" t="s">
        <v>515</v>
      </c>
      <c r="H80" s="604">
        <v>15.44</v>
      </c>
      <c r="I80" s="604"/>
      <c r="J80" s="604">
        <f t="shared" si="22"/>
        <v>16.439999999999998</v>
      </c>
      <c r="K80" s="560"/>
      <c r="L80" s="629"/>
      <c r="M80" s="600"/>
      <c r="N80" s="629"/>
      <c r="O80" s="629"/>
      <c r="R80" s="537">
        <f t="shared" si="20"/>
        <v>5.12459912623867E-2</v>
      </c>
      <c r="S80" s="609">
        <f t="shared" si="18"/>
        <v>5.9857359470409127E-2</v>
      </c>
      <c r="T80" s="627"/>
    </row>
    <row r="81" spans="6:20" x14ac:dyDescent="0.2">
      <c r="F81" s="537"/>
      <c r="G81" s="611" t="s">
        <v>516</v>
      </c>
      <c r="H81" s="604">
        <v>16.23</v>
      </c>
      <c r="I81" s="604"/>
      <c r="J81" s="604">
        <f t="shared" si="22"/>
        <v>17.41</v>
      </c>
      <c r="K81" s="560"/>
      <c r="L81" s="629"/>
      <c r="M81" s="600"/>
      <c r="N81" s="629"/>
      <c r="O81" s="629"/>
      <c r="R81" s="537">
        <f t="shared" si="20"/>
        <v>5.426962943297766E-2</v>
      </c>
      <c r="S81" s="609">
        <f t="shared" si="18"/>
        <v>5.9857359470409127E-2</v>
      </c>
      <c r="T81" s="627"/>
    </row>
    <row r="82" spans="6:20" x14ac:dyDescent="0.2">
      <c r="F82" s="537"/>
      <c r="G82" s="611" t="s">
        <v>517</v>
      </c>
      <c r="H82" s="604">
        <v>16.66</v>
      </c>
      <c r="I82" s="604"/>
      <c r="J82" s="604">
        <f t="shared" si="22"/>
        <v>18.734999999999999</v>
      </c>
      <c r="K82" s="560"/>
      <c r="L82" s="629"/>
      <c r="M82" s="600"/>
      <c r="N82" s="629"/>
      <c r="O82" s="629"/>
      <c r="R82" s="537">
        <f t="shared" si="20"/>
        <v>5.8399856830949816E-2</v>
      </c>
      <c r="S82" s="609">
        <f t="shared" si="18"/>
        <v>5.9857359470409127E-2</v>
      </c>
      <c r="T82" s="627"/>
    </row>
    <row r="83" spans="6:20" x14ac:dyDescent="0.2">
      <c r="F83" s="537"/>
      <c r="G83" s="611" t="s">
        <v>518</v>
      </c>
      <c r="H83" s="604">
        <v>17.43</v>
      </c>
      <c r="I83" s="604"/>
      <c r="J83" s="604">
        <f t="shared" si="22"/>
        <v>22.074999999999999</v>
      </c>
      <c r="K83" s="560"/>
      <c r="L83" s="629"/>
      <c r="M83" s="600"/>
      <c r="N83" s="629"/>
      <c r="O83" s="629"/>
      <c r="R83" s="537">
        <f t="shared" si="20"/>
        <v>6.8811147026592856E-2</v>
      </c>
      <c r="S83" s="609">
        <f t="shared" si="18"/>
        <v>5.9857359470409127E-2</v>
      </c>
      <c r="T83" s="627"/>
    </row>
    <row r="84" spans="6:20" x14ac:dyDescent="0.2">
      <c r="F84" s="537"/>
      <c r="G84" s="611" t="s">
        <v>519</v>
      </c>
      <c r="H84" s="604">
        <v>19.32</v>
      </c>
      <c r="I84" s="604"/>
      <c r="J84" s="604">
        <f t="shared" si="22"/>
        <v>25.400000000000002</v>
      </c>
      <c r="K84" s="560"/>
      <c r="L84" s="629"/>
      <c r="M84" s="600"/>
      <c r="N84" s="629"/>
      <c r="O84" s="629"/>
      <c r="R84" s="537">
        <f t="shared" si="20"/>
        <v>7.9175679930938103E-2</v>
      </c>
      <c r="S84" s="609">
        <f t="shared" si="18"/>
        <v>5.9857359470409127E-2</v>
      </c>
      <c r="T84" s="627"/>
    </row>
    <row r="85" spans="6:20" x14ac:dyDescent="0.2">
      <c r="F85" s="537"/>
      <c r="G85" s="611" t="s">
        <v>520</v>
      </c>
      <c r="H85" s="604">
        <v>21.53</v>
      </c>
      <c r="I85" s="604"/>
      <c r="J85" s="604">
        <f t="shared" si="22"/>
        <v>29.337499999999999</v>
      </c>
      <c r="K85" s="560"/>
      <c r="L85" s="629"/>
      <c r="M85" s="600"/>
      <c r="N85" s="629"/>
      <c r="O85" s="629"/>
      <c r="R85" s="537">
        <f t="shared" si="20"/>
        <v>9.1449468896610112E-2</v>
      </c>
      <c r="S85" s="609">
        <f t="shared" si="18"/>
        <v>5.9857359470409127E-2</v>
      </c>
      <c r="T85" s="627"/>
    </row>
    <row r="86" spans="6:20" x14ac:dyDescent="0.2">
      <c r="F86" s="537"/>
      <c r="G86" s="611" t="s">
        <v>521</v>
      </c>
      <c r="H86" s="604">
        <v>30.02</v>
      </c>
      <c r="I86" s="604"/>
      <c r="J86" s="604">
        <f t="shared" si="22"/>
        <v>29.364999999999998</v>
      </c>
      <c r="K86" s="560"/>
      <c r="L86" s="629"/>
      <c r="M86" s="600"/>
      <c r="N86" s="629"/>
      <c r="O86" s="629"/>
      <c r="R86" s="537">
        <f t="shared" si="20"/>
        <v>9.1535190597322735E-2</v>
      </c>
      <c r="S86" s="609">
        <f t="shared" si="18"/>
        <v>5.9857359470409127E-2</v>
      </c>
      <c r="T86" s="627"/>
    </row>
    <row r="87" spans="6:20" x14ac:dyDescent="0.2">
      <c r="F87" s="537"/>
      <c r="G87" s="611" t="s">
        <v>522</v>
      </c>
      <c r="H87" s="604">
        <v>30.73</v>
      </c>
      <c r="I87" s="604"/>
      <c r="J87" s="604">
        <f t="shared" si="22"/>
        <v>27.2</v>
      </c>
      <c r="K87" s="560"/>
      <c r="L87" s="629"/>
      <c r="M87" s="600"/>
      <c r="N87" s="629"/>
      <c r="O87" s="629"/>
      <c r="R87" s="537">
        <f t="shared" si="20"/>
        <v>8.4786554886673873E-2</v>
      </c>
      <c r="S87" s="609">
        <f t="shared" si="18"/>
        <v>5.9857359470409127E-2</v>
      </c>
      <c r="T87" s="627"/>
    </row>
    <row r="88" spans="6:20" x14ac:dyDescent="0.2">
      <c r="F88" s="537"/>
      <c r="G88" s="611" t="s">
        <v>523</v>
      </c>
      <c r="H88" s="604">
        <v>35.07</v>
      </c>
      <c r="I88" s="604"/>
      <c r="J88" s="604">
        <f t="shared" si="22"/>
        <v>26.494999999999997</v>
      </c>
      <c r="K88" s="560"/>
      <c r="L88" s="629"/>
      <c r="M88" s="600"/>
      <c r="N88" s="629"/>
      <c r="O88" s="629"/>
      <c r="R88" s="537">
        <f t="shared" si="20"/>
        <v>8.2588962195677365E-2</v>
      </c>
      <c r="S88" s="609">
        <f t="shared" si="18"/>
        <v>5.9857359470409127E-2</v>
      </c>
      <c r="T88" s="627"/>
    </row>
    <row r="89" spans="6:20" x14ac:dyDescent="0.2">
      <c r="F89" s="537"/>
      <c r="G89" s="611" t="s">
        <v>524</v>
      </c>
      <c r="H89" s="604">
        <v>21.64</v>
      </c>
      <c r="I89" s="604"/>
      <c r="J89" s="604">
        <f t="shared" si="22"/>
        <v>24.072499999999998</v>
      </c>
      <c r="K89" s="560"/>
      <c r="L89" s="629"/>
      <c r="M89" s="600"/>
      <c r="N89" s="629"/>
      <c r="O89" s="629"/>
      <c r="R89" s="537">
        <f t="shared" si="20"/>
        <v>7.5037659651082972E-2</v>
      </c>
      <c r="S89" s="609">
        <f t="shared" si="18"/>
        <v>5.9857359470409127E-2</v>
      </c>
      <c r="T89" s="627"/>
    </row>
    <row r="90" spans="6:20" x14ac:dyDescent="0.2">
      <c r="F90" s="537"/>
      <c r="G90" s="611" t="s">
        <v>525</v>
      </c>
      <c r="H90" s="604">
        <v>21.36</v>
      </c>
      <c r="I90" s="604"/>
      <c r="J90" s="604">
        <f t="shared" si="22"/>
        <v>24.642499999999998</v>
      </c>
      <c r="K90" s="560"/>
      <c r="L90" s="629"/>
      <c r="M90" s="600"/>
      <c r="N90" s="629"/>
      <c r="O90" s="629"/>
      <c r="R90" s="537">
        <f t="shared" si="20"/>
        <v>7.6814436720399296E-2</v>
      </c>
      <c r="S90" s="609">
        <f t="shared" ref="S90:S130" si="25">+S89</f>
        <v>5.9857359470409127E-2</v>
      </c>
      <c r="T90" s="627"/>
    </row>
    <row r="91" spans="6:20" x14ac:dyDescent="0.2">
      <c r="F91" s="537"/>
      <c r="G91" s="611" t="s">
        <v>526</v>
      </c>
      <c r="H91" s="604">
        <v>27.91</v>
      </c>
      <c r="I91" s="604"/>
      <c r="J91" s="604">
        <f t="shared" si="22"/>
        <v>25.735000000000003</v>
      </c>
      <c r="K91" s="560"/>
      <c r="L91" s="629"/>
      <c r="M91" s="600"/>
      <c r="N91" s="629"/>
      <c r="O91" s="629"/>
      <c r="R91" s="537">
        <f t="shared" ref="R91:R130" si="26">$E$69*J91/100</f>
        <v>8.0219926103255595E-2</v>
      </c>
      <c r="S91" s="609">
        <f t="shared" si="25"/>
        <v>5.9857359470409127E-2</v>
      </c>
      <c r="T91" s="627"/>
    </row>
    <row r="92" spans="6:20" x14ac:dyDescent="0.2">
      <c r="F92" s="537"/>
      <c r="G92" s="611" t="s">
        <v>527</v>
      </c>
      <c r="H92" s="604">
        <v>25.38</v>
      </c>
      <c r="I92" s="604"/>
      <c r="J92" s="604">
        <f t="shared" si="22"/>
        <v>25.262499999999999</v>
      </c>
      <c r="K92" s="560"/>
      <c r="L92" s="629"/>
      <c r="M92" s="600"/>
      <c r="N92" s="629"/>
      <c r="O92" s="629"/>
      <c r="R92" s="537">
        <f t="shared" si="26"/>
        <v>7.8747071427374957E-2</v>
      </c>
      <c r="S92" s="609">
        <f t="shared" si="25"/>
        <v>5.9857359470409127E-2</v>
      </c>
      <c r="T92" s="627"/>
    </row>
    <row r="93" spans="6:20" x14ac:dyDescent="0.2">
      <c r="F93" s="537"/>
      <c r="G93" s="611" t="s">
        <v>528</v>
      </c>
      <c r="H93" s="604">
        <v>23.92</v>
      </c>
      <c r="I93" s="604"/>
      <c r="J93" s="604">
        <f t="shared" si="22"/>
        <v>23.71</v>
      </c>
      <c r="K93" s="560"/>
      <c r="L93" s="629"/>
      <c r="M93" s="600"/>
      <c r="N93" s="629"/>
      <c r="O93" s="629"/>
      <c r="R93" s="537">
        <f t="shared" si="26"/>
        <v>7.3907691778052856E-2</v>
      </c>
      <c r="S93" s="609">
        <f t="shared" si="25"/>
        <v>5.9857359470409127E-2</v>
      </c>
      <c r="T93" s="627"/>
    </row>
    <row r="94" spans="6:20" x14ac:dyDescent="0.2">
      <c r="F94" s="537"/>
      <c r="G94" s="611" t="s">
        <v>529</v>
      </c>
      <c r="H94" s="604">
        <v>25.73</v>
      </c>
      <c r="I94" s="604"/>
      <c r="J94" s="604">
        <f t="shared" si="22"/>
        <v>23.96</v>
      </c>
      <c r="K94" s="560"/>
      <c r="L94" s="629"/>
      <c r="M94" s="600"/>
      <c r="N94" s="629"/>
      <c r="O94" s="629"/>
      <c r="R94" s="537">
        <f t="shared" si="26"/>
        <v>7.4686979966349487E-2</v>
      </c>
      <c r="S94" s="609">
        <f t="shared" si="25"/>
        <v>5.9857359470409127E-2</v>
      </c>
      <c r="T94" s="627"/>
    </row>
    <row r="95" spans="6:20" x14ac:dyDescent="0.2">
      <c r="F95" s="537"/>
      <c r="G95" s="611" t="s">
        <v>530</v>
      </c>
      <c r="H95" s="604">
        <v>26.02</v>
      </c>
      <c r="I95" s="604"/>
      <c r="J95" s="604">
        <f t="shared" si="22"/>
        <v>23.314999999999998</v>
      </c>
      <c r="K95" s="560"/>
      <c r="L95" s="629"/>
      <c r="M95" s="600"/>
      <c r="N95" s="629"/>
      <c r="O95" s="629"/>
      <c r="R95" s="537">
        <f t="shared" si="26"/>
        <v>7.2676416440544164E-2</v>
      </c>
      <c r="S95" s="609">
        <f t="shared" si="25"/>
        <v>5.9857359470409127E-2</v>
      </c>
      <c r="T95" s="627"/>
    </row>
    <row r="96" spans="6:20" x14ac:dyDescent="0.2">
      <c r="F96" s="537"/>
      <c r="G96" s="611" t="s">
        <v>531</v>
      </c>
      <c r="H96" s="604">
        <v>19.170000000000002</v>
      </c>
      <c r="I96" s="604"/>
      <c r="J96" s="604">
        <f t="shared" si="22"/>
        <v>22.475000000000001</v>
      </c>
      <c r="K96" s="560"/>
      <c r="L96" s="629"/>
      <c r="M96" s="600"/>
      <c r="N96" s="629"/>
      <c r="O96" s="629"/>
      <c r="R96" s="537">
        <f t="shared" si="26"/>
        <v>7.0058008127867485E-2</v>
      </c>
      <c r="S96" s="609">
        <f t="shared" si="25"/>
        <v>5.9857359470409127E-2</v>
      </c>
      <c r="T96" s="627"/>
    </row>
    <row r="97" spans="5:20" x14ac:dyDescent="0.2">
      <c r="F97" s="537"/>
      <c r="G97" s="611" t="s">
        <v>532</v>
      </c>
      <c r="H97" s="604">
        <v>24.92</v>
      </c>
      <c r="I97" s="604"/>
      <c r="J97" s="604">
        <f t="shared" si="22"/>
        <v>23.512500000000003</v>
      </c>
      <c r="K97" s="560"/>
      <c r="L97" s="629"/>
      <c r="M97" s="600"/>
      <c r="N97" s="629"/>
      <c r="O97" s="629"/>
      <c r="R97" s="537">
        <f t="shared" si="26"/>
        <v>7.3292054109298524E-2</v>
      </c>
      <c r="S97" s="609">
        <f t="shared" si="25"/>
        <v>5.9857359470409127E-2</v>
      </c>
      <c r="T97" s="627"/>
    </row>
    <row r="98" spans="5:20" x14ac:dyDescent="0.2">
      <c r="F98" s="537"/>
      <c r="G98" s="611" t="s">
        <v>533</v>
      </c>
      <c r="H98" s="604">
        <v>23.15</v>
      </c>
      <c r="I98" s="604"/>
      <c r="J98" s="604">
        <f t="shared" ref="J98:J135" si="27">AVERAGE(H98:H101)</f>
        <v>23.3825</v>
      </c>
      <c r="K98" s="560"/>
      <c r="L98" s="629"/>
      <c r="M98" s="600"/>
      <c r="N98" s="629"/>
      <c r="O98" s="629"/>
      <c r="R98" s="537">
        <f t="shared" si="26"/>
        <v>7.2886824251384263E-2</v>
      </c>
      <c r="S98" s="609">
        <f t="shared" si="25"/>
        <v>5.9857359470409127E-2</v>
      </c>
      <c r="T98" s="627"/>
    </row>
    <row r="99" spans="5:20" x14ac:dyDescent="0.2">
      <c r="F99" s="537"/>
      <c r="G99" s="611" t="s">
        <v>534</v>
      </c>
      <c r="H99" s="604">
        <v>22.66</v>
      </c>
      <c r="I99" s="604"/>
      <c r="J99" s="604">
        <f t="shared" si="27"/>
        <v>24.407499999999999</v>
      </c>
      <c r="K99" s="560"/>
      <c r="L99" s="629"/>
      <c r="M99" s="600"/>
      <c r="N99" s="629"/>
      <c r="O99" s="629"/>
      <c r="R99" s="537">
        <f t="shared" si="26"/>
        <v>7.6081905823400464E-2</v>
      </c>
      <c r="S99" s="609">
        <f t="shared" si="25"/>
        <v>5.9857359470409127E-2</v>
      </c>
      <c r="T99" s="627"/>
    </row>
    <row r="100" spans="5:20" x14ac:dyDescent="0.2">
      <c r="F100" s="537"/>
      <c r="G100" s="611" t="s">
        <v>535</v>
      </c>
      <c r="H100" s="604">
        <v>23.32</v>
      </c>
      <c r="I100" s="604"/>
      <c r="J100" s="604">
        <f t="shared" si="27"/>
        <v>26.127499999999998</v>
      </c>
      <c r="K100" s="560"/>
      <c r="L100" s="629"/>
      <c r="M100" s="600"/>
      <c r="N100" s="629"/>
      <c r="O100" s="629"/>
      <c r="R100" s="537">
        <f t="shared" si="26"/>
        <v>8.1443408558881297E-2</v>
      </c>
      <c r="S100" s="609">
        <f t="shared" si="25"/>
        <v>5.9857359470409127E-2</v>
      </c>
      <c r="T100" s="627"/>
    </row>
    <row r="101" spans="5:20" x14ac:dyDescent="0.2">
      <c r="F101" s="537"/>
      <c r="G101" s="611" t="s">
        <v>536</v>
      </c>
      <c r="H101" s="604">
        <v>24.4</v>
      </c>
      <c r="I101" s="604"/>
      <c r="J101" s="604">
        <f t="shared" si="27"/>
        <v>27.734999999999999</v>
      </c>
      <c r="K101" s="560"/>
      <c r="L101" s="629"/>
      <c r="M101" s="600"/>
      <c r="N101" s="629"/>
      <c r="O101" s="629"/>
      <c r="R101" s="537">
        <f t="shared" si="26"/>
        <v>8.6454231609628673E-2</v>
      </c>
      <c r="S101" s="609">
        <f t="shared" si="25"/>
        <v>5.9857359470409127E-2</v>
      </c>
      <c r="T101" s="627"/>
    </row>
    <row r="102" spans="5:20" x14ac:dyDescent="0.2">
      <c r="G102" s="611" t="s">
        <v>537</v>
      </c>
      <c r="H102" s="604">
        <v>27.25</v>
      </c>
      <c r="I102" s="604"/>
      <c r="J102" s="604">
        <f t="shared" si="27"/>
        <v>27.017499999999998</v>
      </c>
      <c r="K102" s="560"/>
      <c r="L102" s="629"/>
      <c r="M102" s="600"/>
      <c r="N102" s="629"/>
      <c r="O102" s="629"/>
      <c r="R102" s="537">
        <f t="shared" si="26"/>
        <v>8.4217674509217327E-2</v>
      </c>
      <c r="S102" s="609">
        <f t="shared" si="25"/>
        <v>5.9857359470409127E-2</v>
      </c>
      <c r="T102" s="627"/>
    </row>
    <row r="103" spans="5:20" x14ac:dyDescent="0.2">
      <c r="G103" s="611" t="s">
        <v>538</v>
      </c>
      <c r="H103" s="604">
        <v>29.54</v>
      </c>
      <c r="I103" s="604"/>
      <c r="J103" s="604">
        <f t="shared" si="27"/>
        <v>25.534999999999997</v>
      </c>
      <c r="K103" s="560"/>
      <c r="L103" s="629"/>
      <c r="M103" s="600"/>
      <c r="N103" s="629"/>
      <c r="O103" s="629"/>
      <c r="R103" s="537">
        <f t="shared" si="26"/>
        <v>7.9596495552618274E-2</v>
      </c>
      <c r="S103" s="609">
        <f t="shared" si="25"/>
        <v>5.9857359470409127E-2</v>
      </c>
      <c r="T103" s="627"/>
    </row>
    <row r="104" spans="5:20" x14ac:dyDescent="0.2">
      <c r="G104" s="611" t="s">
        <v>539</v>
      </c>
      <c r="H104" s="604">
        <v>29.75</v>
      </c>
      <c r="I104" s="604"/>
      <c r="J104" s="604">
        <f t="shared" si="27"/>
        <v>24.922499999999999</v>
      </c>
      <c r="K104" s="560"/>
      <c r="L104" s="629"/>
      <c r="M104" s="600"/>
      <c r="N104" s="629"/>
      <c r="O104" s="629"/>
      <c r="R104" s="537">
        <f t="shared" si="26"/>
        <v>7.7687239491291527E-2</v>
      </c>
      <c r="S104" s="609">
        <f t="shared" si="25"/>
        <v>5.9857359470409127E-2</v>
      </c>
      <c r="T104" s="627"/>
    </row>
    <row r="105" spans="5:20" x14ac:dyDescent="0.2">
      <c r="G105" s="611" t="s">
        <v>540</v>
      </c>
      <c r="H105" s="604">
        <v>21.53</v>
      </c>
      <c r="I105" s="604"/>
      <c r="J105" s="604">
        <f t="shared" si="27"/>
        <v>23.0975</v>
      </c>
      <c r="K105" s="560"/>
      <c r="L105" s="629"/>
      <c r="M105" s="600"/>
      <c r="N105" s="629"/>
      <c r="O105" s="629"/>
      <c r="R105" s="537">
        <f t="shared" si="26"/>
        <v>7.1998435716726095E-2</v>
      </c>
      <c r="S105" s="609">
        <f t="shared" si="25"/>
        <v>5.9857359470409127E-2</v>
      </c>
      <c r="T105" s="627"/>
    </row>
    <row r="106" spans="5:20" x14ac:dyDescent="0.2">
      <c r="G106" s="611" t="s">
        <v>541</v>
      </c>
      <c r="H106" s="604">
        <v>21.32</v>
      </c>
      <c r="I106" s="604"/>
      <c r="J106" s="604">
        <f t="shared" si="27"/>
        <v>22.695</v>
      </c>
      <c r="K106" s="560"/>
      <c r="L106" s="629"/>
      <c r="M106" s="600"/>
      <c r="N106" s="629"/>
      <c r="O106" s="629"/>
      <c r="R106" s="537">
        <f t="shared" si="26"/>
        <v>7.0743781733568517E-2</v>
      </c>
      <c r="S106" s="609">
        <f t="shared" si="25"/>
        <v>5.9857359470409127E-2</v>
      </c>
      <c r="T106" s="627"/>
    </row>
    <row r="107" spans="5:20" x14ac:dyDescent="0.2">
      <c r="G107" s="611" t="s">
        <v>542</v>
      </c>
      <c r="H107" s="604">
        <v>27.09</v>
      </c>
      <c r="I107" s="604"/>
      <c r="J107" s="604">
        <f t="shared" si="27"/>
        <v>22.345000000000002</v>
      </c>
      <c r="K107" s="560"/>
      <c r="L107" s="629"/>
      <c r="M107" s="600"/>
      <c r="N107" s="629"/>
      <c r="O107" s="629"/>
      <c r="R107" s="537">
        <f t="shared" si="26"/>
        <v>6.9652778269953239E-2</v>
      </c>
      <c r="S107" s="609">
        <f t="shared" si="25"/>
        <v>5.9857359470409127E-2</v>
      </c>
      <c r="T107" s="627"/>
    </row>
    <row r="108" spans="5:20" x14ac:dyDescent="0.2">
      <c r="G108" s="611" t="s">
        <v>543</v>
      </c>
      <c r="H108" s="604">
        <v>22.45</v>
      </c>
      <c r="I108" s="604"/>
      <c r="J108" s="604">
        <f t="shared" si="27"/>
        <v>19.875</v>
      </c>
      <c r="K108" s="560"/>
      <c r="L108" s="629"/>
      <c r="M108" s="600"/>
      <c r="N108" s="629"/>
      <c r="O108" s="629"/>
      <c r="R108" s="537">
        <f t="shared" si="26"/>
        <v>6.1953410969582477E-2</v>
      </c>
      <c r="S108" s="609">
        <f t="shared" si="25"/>
        <v>5.9857359470409127E-2</v>
      </c>
      <c r="T108" s="627"/>
    </row>
    <row r="109" spans="5:20" x14ac:dyDescent="0.2">
      <c r="E109" s="537"/>
      <c r="G109" s="611" t="s">
        <v>544</v>
      </c>
      <c r="H109" s="604">
        <v>19.920000000000002</v>
      </c>
      <c r="I109" s="604"/>
      <c r="J109" s="604">
        <f t="shared" si="27"/>
        <v>18.457500000000003</v>
      </c>
      <c r="K109" s="560"/>
      <c r="L109" s="629"/>
      <c r="M109" s="600"/>
      <c r="N109" s="629"/>
      <c r="O109" s="629"/>
      <c r="R109" s="537">
        <f t="shared" si="26"/>
        <v>5.7534846941940561E-2</v>
      </c>
      <c r="S109" s="609">
        <f t="shared" si="25"/>
        <v>5.9857359470409127E-2</v>
      </c>
      <c r="T109" s="627"/>
    </row>
    <row r="110" spans="5:20" x14ac:dyDescent="0.2">
      <c r="E110" s="537"/>
      <c r="G110" s="611" t="s">
        <v>545</v>
      </c>
      <c r="H110" s="604">
        <v>19.920000000000002</v>
      </c>
      <c r="I110" s="604"/>
      <c r="J110" s="604">
        <f t="shared" si="27"/>
        <v>17.57</v>
      </c>
      <c r="K110" s="560"/>
      <c r="L110" s="629"/>
      <c r="M110" s="600"/>
      <c r="N110" s="629"/>
      <c r="O110" s="629"/>
      <c r="R110" s="537">
        <f t="shared" si="26"/>
        <v>5.47683738734875E-2</v>
      </c>
      <c r="S110" s="609">
        <f t="shared" si="25"/>
        <v>5.9857359470409127E-2</v>
      </c>
      <c r="T110" s="627"/>
    </row>
    <row r="111" spans="5:20" x14ac:dyDescent="0.2">
      <c r="E111" s="537"/>
      <c r="G111" s="611" t="s">
        <v>546</v>
      </c>
      <c r="H111" s="604">
        <v>17.21</v>
      </c>
      <c r="I111" s="604"/>
      <c r="J111" s="604">
        <f t="shared" si="27"/>
        <v>16.440000000000001</v>
      </c>
      <c r="K111" s="560"/>
      <c r="L111" s="629"/>
      <c r="M111" s="600"/>
      <c r="N111" s="629"/>
      <c r="O111" s="629"/>
      <c r="R111" s="537">
        <f t="shared" si="26"/>
        <v>5.1245991262386707E-2</v>
      </c>
      <c r="S111" s="609">
        <f t="shared" si="25"/>
        <v>5.9857359470409127E-2</v>
      </c>
      <c r="T111" s="627"/>
    </row>
    <row r="112" spans="5:20" x14ac:dyDescent="0.2">
      <c r="E112" s="537"/>
      <c r="G112" s="611" t="s">
        <v>547</v>
      </c>
      <c r="H112" s="604">
        <v>16.78</v>
      </c>
      <c r="I112" s="604"/>
      <c r="J112" s="604">
        <f t="shared" si="27"/>
        <v>15.362500000000001</v>
      </c>
      <c r="K112" s="560"/>
      <c r="L112" s="629"/>
      <c r="M112" s="600"/>
      <c r="N112" s="629"/>
      <c r="O112" s="629"/>
      <c r="R112" s="537">
        <f t="shared" si="26"/>
        <v>4.7887259170828214E-2</v>
      </c>
      <c r="S112" s="609">
        <f t="shared" si="25"/>
        <v>5.9857359470409127E-2</v>
      </c>
      <c r="T112" s="627"/>
    </row>
    <row r="113" spans="5:20" x14ac:dyDescent="0.2">
      <c r="E113" s="537"/>
      <c r="G113" s="611" t="s">
        <v>548</v>
      </c>
      <c r="H113" s="604">
        <v>16.37</v>
      </c>
      <c r="I113" s="604"/>
      <c r="J113" s="604">
        <f t="shared" si="27"/>
        <v>14.285</v>
      </c>
      <c r="K113" s="560"/>
      <c r="L113" s="629"/>
      <c r="M113" s="600"/>
      <c r="N113" s="629"/>
      <c r="O113" s="629"/>
      <c r="R113" s="537">
        <f t="shared" si="26"/>
        <v>4.4528527079269714E-2</v>
      </c>
      <c r="S113" s="609">
        <f t="shared" si="25"/>
        <v>5.9857359470409127E-2</v>
      </c>
      <c r="T113" s="627"/>
    </row>
    <row r="114" spans="5:20" x14ac:dyDescent="0.2">
      <c r="E114" s="537"/>
      <c r="G114" s="611" t="s">
        <v>549</v>
      </c>
      <c r="H114" s="604">
        <v>15.4</v>
      </c>
      <c r="I114" s="604"/>
      <c r="J114" s="604">
        <f t="shared" si="27"/>
        <v>13.24</v>
      </c>
      <c r="K114" s="560"/>
      <c r="L114" s="629"/>
      <c r="M114" s="600"/>
      <c r="N114" s="629"/>
      <c r="O114" s="629"/>
      <c r="R114" s="537">
        <f t="shared" si="26"/>
        <v>4.1271102452189783E-2</v>
      </c>
      <c r="S114" s="609">
        <f t="shared" si="25"/>
        <v>5.9857359470409127E-2</v>
      </c>
      <c r="T114" s="627"/>
    </row>
    <row r="115" spans="5:20" x14ac:dyDescent="0.2">
      <c r="E115" s="537"/>
      <c r="G115" s="611" t="s">
        <v>550</v>
      </c>
      <c r="H115" s="604">
        <v>12.9</v>
      </c>
      <c r="I115" s="604"/>
      <c r="J115" s="604">
        <f t="shared" si="27"/>
        <v>12.387500000000001</v>
      </c>
      <c r="K115" s="560"/>
      <c r="L115" s="629"/>
      <c r="M115" s="600"/>
      <c r="N115" s="629"/>
      <c r="O115" s="629"/>
      <c r="R115" s="537">
        <f t="shared" si="26"/>
        <v>3.8613729730098266E-2</v>
      </c>
      <c r="S115" s="609">
        <f t="shared" si="25"/>
        <v>5.9857359470409127E-2</v>
      </c>
      <c r="T115" s="627"/>
    </row>
    <row r="116" spans="5:20" x14ac:dyDescent="0.2">
      <c r="E116" s="537"/>
      <c r="G116" s="611" t="s">
        <v>551</v>
      </c>
      <c r="H116" s="604">
        <v>12.47</v>
      </c>
      <c r="I116" s="604"/>
      <c r="J116" s="604">
        <f t="shared" si="27"/>
        <v>12.98</v>
      </c>
      <c r="K116" s="560"/>
      <c r="L116" s="629"/>
      <c r="M116" s="600"/>
      <c r="N116" s="629"/>
      <c r="O116" s="629"/>
      <c r="R116" s="537">
        <f t="shared" si="26"/>
        <v>4.0460642736361283E-2</v>
      </c>
      <c r="S116" s="609">
        <f t="shared" si="25"/>
        <v>5.9857359470409127E-2</v>
      </c>
      <c r="T116" s="627"/>
    </row>
    <row r="117" spans="5:20" x14ac:dyDescent="0.2">
      <c r="E117" s="537"/>
      <c r="G117" s="611" t="s">
        <v>552</v>
      </c>
      <c r="H117" s="604">
        <v>12.19</v>
      </c>
      <c r="I117" s="604"/>
      <c r="J117" s="604">
        <f t="shared" si="27"/>
        <v>12.9925</v>
      </c>
      <c r="K117" s="560"/>
      <c r="L117" s="629"/>
      <c r="M117" s="600"/>
      <c r="N117" s="629"/>
      <c r="O117" s="629"/>
      <c r="R117" s="537">
        <f t="shared" si="26"/>
        <v>4.049960714577612E-2</v>
      </c>
      <c r="S117" s="609">
        <f t="shared" si="25"/>
        <v>5.9857359470409127E-2</v>
      </c>
      <c r="T117" s="627"/>
    </row>
    <row r="118" spans="5:20" x14ac:dyDescent="0.2">
      <c r="E118" s="537"/>
      <c r="G118" s="611" t="s">
        <v>553</v>
      </c>
      <c r="H118" s="604">
        <v>11.99</v>
      </c>
      <c r="I118" s="604"/>
      <c r="J118" s="604">
        <f t="shared" si="27"/>
        <v>13.5725</v>
      </c>
      <c r="K118" s="560"/>
      <c r="L118" s="629"/>
      <c r="M118" s="600"/>
      <c r="N118" s="629"/>
      <c r="O118" s="629"/>
      <c r="R118" s="537">
        <f t="shared" si="26"/>
        <v>4.2307555742624306E-2</v>
      </c>
      <c r="S118" s="609">
        <f t="shared" si="25"/>
        <v>5.9857359470409127E-2</v>
      </c>
      <c r="T118" s="627"/>
    </row>
    <row r="119" spans="5:20" x14ac:dyDescent="0.2">
      <c r="E119" s="537"/>
      <c r="G119" s="611" t="s">
        <v>554</v>
      </c>
      <c r="H119" s="604">
        <v>15.27</v>
      </c>
      <c r="I119" s="604"/>
      <c r="J119" s="604">
        <f t="shared" si="27"/>
        <v>13.934999999999999</v>
      </c>
      <c r="K119" s="560"/>
      <c r="L119" s="629"/>
      <c r="M119" s="600"/>
      <c r="N119" s="629"/>
      <c r="O119" s="629"/>
      <c r="R119" s="537">
        <f t="shared" si="26"/>
        <v>4.3437523615654429E-2</v>
      </c>
      <c r="S119" s="609">
        <f t="shared" si="25"/>
        <v>5.9857359470409127E-2</v>
      </c>
      <c r="T119" s="627"/>
    </row>
    <row r="120" spans="5:20" x14ac:dyDescent="0.2">
      <c r="E120" s="537"/>
      <c r="G120" s="611" t="s">
        <v>555</v>
      </c>
      <c r="H120" s="604">
        <v>12.52</v>
      </c>
      <c r="I120" s="604"/>
      <c r="J120" s="604">
        <f t="shared" si="27"/>
        <v>13.2225</v>
      </c>
      <c r="K120" s="560"/>
      <c r="L120" s="629"/>
      <c r="M120" s="600"/>
      <c r="N120" s="629"/>
      <c r="O120" s="629"/>
      <c r="R120" s="537">
        <f t="shared" si="26"/>
        <v>4.1216552279009021E-2</v>
      </c>
      <c r="S120" s="609">
        <f t="shared" si="25"/>
        <v>5.9857359470409127E-2</v>
      </c>
      <c r="T120" s="627"/>
    </row>
    <row r="121" spans="5:20" x14ac:dyDescent="0.2">
      <c r="E121" s="537"/>
      <c r="G121" s="611" t="s">
        <v>556</v>
      </c>
      <c r="H121" s="604">
        <v>14.51</v>
      </c>
      <c r="I121" s="604"/>
      <c r="J121" s="604">
        <f t="shared" si="27"/>
        <v>13.122499999999999</v>
      </c>
      <c r="K121" s="560"/>
      <c r="L121" s="629"/>
      <c r="M121" s="600"/>
      <c r="N121" s="629"/>
      <c r="O121" s="629"/>
      <c r="R121" s="537">
        <f t="shared" si="26"/>
        <v>4.0904837003690367E-2</v>
      </c>
      <c r="S121" s="609">
        <f t="shared" si="25"/>
        <v>5.9857359470409127E-2</v>
      </c>
      <c r="T121" s="627"/>
    </row>
    <row r="122" spans="5:20" x14ac:dyDescent="0.2">
      <c r="E122" s="537"/>
      <c r="G122" s="611" t="s">
        <v>557</v>
      </c>
      <c r="H122" s="604">
        <v>13.44</v>
      </c>
      <c r="I122" s="604"/>
      <c r="J122" s="604">
        <f t="shared" si="27"/>
        <v>12.737499999999999</v>
      </c>
      <c r="K122" s="560"/>
      <c r="L122" s="629"/>
      <c r="M122" s="600"/>
      <c r="N122" s="629"/>
      <c r="O122" s="629"/>
      <c r="R122" s="537">
        <f t="shared" si="26"/>
        <v>3.9704733193713544E-2</v>
      </c>
      <c r="S122" s="609">
        <f t="shared" si="25"/>
        <v>5.9857359470409127E-2</v>
      </c>
      <c r="T122" s="627"/>
    </row>
    <row r="123" spans="5:20" x14ac:dyDescent="0.2">
      <c r="E123" s="537"/>
      <c r="G123" s="611" t="s">
        <v>558</v>
      </c>
      <c r="H123" s="604">
        <v>12.42</v>
      </c>
      <c r="I123" s="604"/>
      <c r="J123" s="604">
        <f t="shared" si="27"/>
        <v>12.692499999999999</v>
      </c>
      <c r="K123" s="629"/>
      <c r="L123" s="629"/>
      <c r="M123" s="600"/>
      <c r="N123" s="629"/>
      <c r="O123" s="629"/>
      <c r="R123" s="537">
        <f t="shared" si="26"/>
        <v>3.9564461319820145E-2</v>
      </c>
      <c r="S123" s="609">
        <f t="shared" si="25"/>
        <v>5.9857359470409127E-2</v>
      </c>
      <c r="T123" s="627"/>
    </row>
    <row r="124" spans="5:20" x14ac:dyDescent="0.2">
      <c r="E124" s="537"/>
      <c r="G124" s="611" t="s">
        <v>559</v>
      </c>
      <c r="H124" s="604">
        <v>12.12</v>
      </c>
      <c r="I124" s="604"/>
      <c r="J124" s="604">
        <f t="shared" si="27"/>
        <v>13.2775</v>
      </c>
      <c r="K124" s="629"/>
      <c r="L124" s="629"/>
      <c r="M124" s="600"/>
      <c r="N124" s="629"/>
      <c r="O124" s="629"/>
      <c r="R124" s="537">
        <f t="shared" si="26"/>
        <v>4.1387995680434282E-2</v>
      </c>
      <c r="S124" s="609">
        <f t="shared" si="25"/>
        <v>5.9857359470409127E-2</v>
      </c>
      <c r="T124" s="627"/>
    </row>
    <row r="125" spans="5:20" x14ac:dyDescent="0.2">
      <c r="E125" s="537"/>
      <c r="G125" s="611" t="s">
        <v>560</v>
      </c>
      <c r="H125" s="604">
        <v>12.97</v>
      </c>
      <c r="I125" s="604"/>
      <c r="J125" s="604">
        <f t="shared" si="27"/>
        <v>13.7225</v>
      </c>
      <c r="K125" s="629"/>
      <c r="L125" s="629"/>
      <c r="M125" s="600"/>
      <c r="N125" s="629"/>
      <c r="O125" s="629"/>
      <c r="R125" s="537">
        <f t="shared" si="26"/>
        <v>4.2775128655602283E-2</v>
      </c>
      <c r="S125" s="609">
        <f t="shared" si="25"/>
        <v>5.9857359470409127E-2</v>
      </c>
      <c r="T125" s="627"/>
    </row>
    <row r="126" spans="5:20" x14ac:dyDescent="0.2">
      <c r="E126" s="537"/>
      <c r="G126" s="611" t="s">
        <v>561</v>
      </c>
      <c r="H126" s="604">
        <v>13.26</v>
      </c>
      <c r="I126" s="604"/>
      <c r="J126" s="604">
        <f t="shared" si="27"/>
        <v>14.385</v>
      </c>
      <c r="K126" s="629"/>
      <c r="L126" s="629"/>
      <c r="M126" s="600"/>
      <c r="N126" s="629"/>
      <c r="O126" s="629"/>
      <c r="R126" s="537">
        <f t="shared" si="26"/>
        <v>4.4840242354588368E-2</v>
      </c>
      <c r="S126" s="609">
        <f t="shared" si="25"/>
        <v>5.9857359470409127E-2</v>
      </c>
      <c r="T126" s="627"/>
    </row>
    <row r="127" spans="5:20" x14ac:dyDescent="0.2">
      <c r="E127" s="537"/>
      <c r="G127" s="611" t="s">
        <v>562</v>
      </c>
      <c r="H127" s="604">
        <v>14.76</v>
      </c>
      <c r="I127" s="604"/>
      <c r="J127" s="604">
        <f t="shared" si="27"/>
        <v>15.46</v>
      </c>
      <c r="K127" s="629"/>
      <c r="L127" s="629"/>
      <c r="M127" s="600"/>
      <c r="N127" s="629"/>
      <c r="O127" s="629"/>
      <c r="R127" s="537">
        <f t="shared" si="26"/>
        <v>4.8191181564263906E-2</v>
      </c>
      <c r="S127" s="609">
        <f t="shared" si="25"/>
        <v>5.9857359470409127E-2</v>
      </c>
      <c r="T127" s="627"/>
    </row>
    <row r="128" spans="5:20" x14ac:dyDescent="0.2">
      <c r="E128" s="537"/>
      <c r="G128" s="611" t="s">
        <v>563</v>
      </c>
      <c r="H128" s="604">
        <v>13.9</v>
      </c>
      <c r="I128" s="604"/>
      <c r="J128" s="604">
        <f t="shared" si="27"/>
        <v>16.134999999999998</v>
      </c>
      <c r="K128" s="629"/>
      <c r="L128" s="629"/>
      <c r="M128" s="600"/>
      <c r="N128" s="629"/>
      <c r="O128" s="629"/>
      <c r="R128" s="537">
        <f t="shared" si="26"/>
        <v>5.0295259672664808E-2</v>
      </c>
      <c r="S128" s="609">
        <f t="shared" si="25"/>
        <v>5.9857359470409127E-2</v>
      </c>
      <c r="T128" s="627"/>
    </row>
    <row r="129" spans="5:20" x14ac:dyDescent="0.2">
      <c r="E129" s="537"/>
      <c r="G129" s="611" t="s">
        <v>564</v>
      </c>
      <c r="H129" s="604">
        <v>15.62</v>
      </c>
      <c r="I129" s="604"/>
      <c r="J129" s="604">
        <f t="shared" si="27"/>
        <v>16.817499999999999</v>
      </c>
      <c r="K129" s="629"/>
      <c r="L129" s="629"/>
      <c r="M129" s="600"/>
      <c r="N129" s="629"/>
      <c r="O129" s="629"/>
      <c r="R129" s="537">
        <f t="shared" si="26"/>
        <v>5.2422716426714623E-2</v>
      </c>
      <c r="S129" s="609">
        <f t="shared" si="25"/>
        <v>5.9857359470409127E-2</v>
      </c>
      <c r="T129" s="627"/>
    </row>
    <row r="130" spans="5:20" x14ac:dyDescent="0.2">
      <c r="E130" s="537"/>
      <c r="G130" s="611" t="s">
        <v>565</v>
      </c>
      <c r="H130" s="604">
        <v>17.559999999999999</v>
      </c>
      <c r="I130" s="604"/>
      <c r="J130" s="604">
        <f t="shared" si="27"/>
        <v>17.199999999999996</v>
      </c>
      <c r="K130" s="629"/>
      <c r="L130" s="629"/>
      <c r="M130" s="600"/>
      <c r="N130" s="629"/>
      <c r="O130" s="629"/>
      <c r="R130" s="537">
        <f t="shared" si="26"/>
        <v>5.361502735480847E-2</v>
      </c>
      <c r="S130" s="609">
        <f t="shared" si="25"/>
        <v>5.9857359470409127E-2</v>
      </c>
      <c r="T130" s="627"/>
    </row>
    <row r="131" spans="5:20" x14ac:dyDescent="0.2">
      <c r="E131" s="537"/>
      <c r="G131" s="611" t="s">
        <v>566</v>
      </c>
      <c r="H131" s="604">
        <v>17.46</v>
      </c>
      <c r="I131" s="604"/>
      <c r="J131" s="604">
        <f t="shared" si="27"/>
        <v>18.440000000000001</v>
      </c>
      <c r="K131" s="629"/>
      <c r="L131" s="629"/>
      <c r="M131" s="600"/>
      <c r="N131" s="629"/>
      <c r="O131" s="629"/>
      <c r="R131" s="537"/>
      <c r="S131" s="559"/>
      <c r="T131" s="627"/>
    </row>
    <row r="132" spans="5:20" x14ac:dyDescent="0.2">
      <c r="E132" s="537"/>
      <c r="G132" s="611" t="s">
        <v>567</v>
      </c>
      <c r="H132" s="604">
        <v>16.63</v>
      </c>
      <c r="I132" s="604"/>
      <c r="J132" s="604">
        <f t="shared" si="27"/>
        <v>20.602499999999999</v>
      </c>
      <c r="K132" s="629"/>
      <c r="L132" s="629"/>
      <c r="M132" s="600"/>
      <c r="N132" s="629"/>
      <c r="O132" s="629"/>
      <c r="Q132" s="640"/>
      <c r="R132" s="537"/>
      <c r="S132" s="559"/>
      <c r="T132" s="627"/>
    </row>
    <row r="133" spans="5:20" x14ac:dyDescent="0.2">
      <c r="E133" s="537"/>
      <c r="G133" s="611" t="s">
        <v>568</v>
      </c>
      <c r="H133" s="604">
        <v>17.149999999999999</v>
      </c>
      <c r="I133" s="604"/>
      <c r="J133" s="604">
        <f t="shared" si="27"/>
        <v>22.745000000000001</v>
      </c>
      <c r="K133" s="629"/>
      <c r="L133" s="629"/>
      <c r="M133" s="600"/>
      <c r="N133" s="629"/>
      <c r="O133" s="629"/>
      <c r="R133" s="537"/>
      <c r="S133" s="559"/>
      <c r="T133" s="627"/>
    </row>
    <row r="134" spans="5:20" x14ac:dyDescent="0.2">
      <c r="E134" s="537"/>
      <c r="G134" s="611" t="s">
        <v>569</v>
      </c>
      <c r="H134" s="604">
        <v>22.52</v>
      </c>
      <c r="I134" s="604"/>
      <c r="J134" s="604">
        <f t="shared" si="27"/>
        <v>23.137499999999999</v>
      </c>
      <c r="K134" s="629"/>
      <c r="L134" s="629"/>
      <c r="M134" s="600"/>
      <c r="N134" s="629"/>
      <c r="O134" s="629"/>
      <c r="R134" s="537"/>
      <c r="S134" s="559"/>
      <c r="T134" s="627"/>
    </row>
    <row r="135" spans="5:20" x14ac:dyDescent="0.2">
      <c r="E135" s="537"/>
      <c r="G135" s="611" t="s">
        <v>570</v>
      </c>
      <c r="H135" s="604">
        <v>26.11</v>
      </c>
      <c r="I135" s="604"/>
      <c r="J135" s="604">
        <f t="shared" si="27"/>
        <v>23.05</v>
      </c>
      <c r="K135" s="629"/>
      <c r="L135" s="629"/>
      <c r="M135" s="600"/>
      <c r="N135" s="629"/>
      <c r="O135" s="629"/>
      <c r="R135" s="537"/>
      <c r="T135" s="627"/>
    </row>
    <row r="136" spans="5:20" x14ac:dyDescent="0.2">
      <c r="E136" s="537"/>
      <c r="G136" s="611" t="s">
        <v>571</v>
      </c>
      <c r="H136" s="604">
        <v>25.2</v>
      </c>
      <c r="I136" s="604"/>
      <c r="J136" s="604"/>
      <c r="K136" s="629"/>
      <c r="L136" s="629"/>
      <c r="M136" s="600"/>
      <c r="N136" s="629"/>
      <c r="O136" s="629"/>
      <c r="R136" s="537"/>
      <c r="T136" s="627"/>
    </row>
    <row r="137" spans="5:20" x14ac:dyDescent="0.2">
      <c r="E137" s="537"/>
      <c r="G137" s="611" t="s">
        <v>572</v>
      </c>
      <c r="H137" s="604">
        <v>18.72</v>
      </c>
      <c r="I137" s="604"/>
      <c r="J137" s="604"/>
      <c r="K137" s="629"/>
      <c r="L137" s="629"/>
      <c r="M137" s="600"/>
      <c r="N137" s="629"/>
      <c r="O137" s="629"/>
      <c r="R137" s="537"/>
      <c r="T137" s="627"/>
    </row>
    <row r="138" spans="5:20" x14ac:dyDescent="0.2">
      <c r="E138" s="537"/>
      <c r="G138" s="641" t="s">
        <v>573</v>
      </c>
      <c r="H138" s="642">
        <v>22.17</v>
      </c>
      <c r="I138" s="642"/>
      <c r="J138" s="642"/>
      <c r="K138" s="643"/>
      <c r="L138" s="643"/>
      <c r="M138" s="600"/>
      <c r="N138" s="643"/>
      <c r="O138" s="643"/>
      <c r="P138" s="640"/>
      <c r="R138" s="644"/>
      <c r="S138" s="640"/>
      <c r="T138" s="633"/>
    </row>
    <row r="139" spans="5:20" x14ac:dyDescent="0.2">
      <c r="E139" s="537"/>
    </row>
    <row r="140" spans="5:20" x14ac:dyDescent="0.2">
      <c r="E140" s="537"/>
    </row>
  </sheetData>
  <mergeCells count="13">
    <mergeCell ref="B75:D75"/>
    <mergeCell ref="B69:D69"/>
    <mergeCell ref="B70:D70"/>
    <mergeCell ref="B71:D71"/>
    <mergeCell ref="B72:D72"/>
    <mergeCell ref="B73:D73"/>
    <mergeCell ref="B74:D74"/>
    <mergeCell ref="B2:J2"/>
    <mergeCell ref="B5:E5"/>
    <mergeCell ref="G5:P5"/>
    <mergeCell ref="R5:T5"/>
    <mergeCell ref="B67:D67"/>
    <mergeCell ref="B68:D68"/>
  </mergeCells>
  <pageMargins left="0.75" right="0.75" top="1" bottom="1" header="0.5" footer="0.5"/>
  <pageSetup scale="4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Earnings Model</vt:lpstr>
      <vt:lpstr>Std Dev</vt:lpstr>
      <vt:lpstr>SBUX Beta ST</vt:lpstr>
      <vt:lpstr>SBUX Beta LT</vt:lpstr>
      <vt:lpstr>PEs</vt:lpstr>
      <vt:lpstr>Constant Sharpe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2015-01-03T01:11:29Z</cp:lastPrinted>
  <dcterms:created xsi:type="dcterms:W3CDTF">2014-10-18T18:34:10Z</dcterms:created>
  <dcterms:modified xsi:type="dcterms:W3CDTF">2020-10-24T03:01:56Z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