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426"/>
  <workbookPr defaultThemeVersion="124226"/>
  <mc:AlternateContent xmlns:mc="http://schemas.openxmlformats.org/markup-compatibility/2006">
    <mc:Choice Requires="x15">
      <x15ac:absPath xmlns:x15ac="http://schemas.microsoft.com/office/spreadsheetml/2010/11/ac" url="C:\Users\Admin\Documents\Articles (2-15-2016)\APC\Contributor Models\"/>
    </mc:Choice>
  </mc:AlternateContent>
  <bookViews>
    <workbookView xWindow="0" yWindow="0" windowWidth="23040" windowHeight="9672"/>
  </bookViews>
  <sheets>
    <sheet name="Earnings Model" sheetId="3" r:id="rId1"/>
  </sheets>
  <externalReferences>
    <externalReference r:id="rId2"/>
  </externalReferences>
  <definedNames>
    <definedName name="DATA">'[1]Estimates by Analyst'!$B$6:$M$50</definedName>
    <definedName name="_xlnm.Print_Area" localSheetId="0">'Earnings Model'!$A$1:$W$278</definedName>
  </definedNames>
  <calcPr calcId="162913"/>
</workbook>
</file>

<file path=xl/calcChain.xml><?xml version="1.0" encoding="utf-8"?>
<calcChain xmlns="http://schemas.openxmlformats.org/spreadsheetml/2006/main">
  <c r="Q132" i="3" l="1"/>
  <c r="P243" i="3" l="1"/>
  <c r="C251" i="3" s="1"/>
  <c r="O243" i="3"/>
  <c r="P102" i="3"/>
  <c r="S56" i="3"/>
  <c r="S80" i="3" s="1"/>
  <c r="P89" i="3"/>
  <c r="Q63" i="3" l="1"/>
  <c r="Q11" i="3" s="1"/>
  <c r="Q18" i="3" s="1"/>
  <c r="Q61" i="3"/>
  <c r="Q59" i="3"/>
  <c r="Q57" i="3"/>
  <c r="P174" i="3"/>
  <c r="P176" i="3" s="1"/>
  <c r="P167" i="3"/>
  <c r="P161" i="3"/>
  <c r="O161" i="3"/>
  <c r="P148" i="3"/>
  <c r="O148" i="3"/>
  <c r="P144" i="3"/>
  <c r="O185" i="3"/>
  <c r="P130" i="3"/>
  <c r="P129" i="3"/>
  <c r="P128" i="3"/>
  <c r="P103" i="3"/>
  <c r="P91" i="3"/>
  <c r="P90" i="3"/>
  <c r="O91" i="3"/>
  <c r="O92" i="3"/>
  <c r="O90" i="3"/>
  <c r="O89" i="3"/>
  <c r="P80" i="3"/>
  <c r="P64" i="3"/>
  <c r="P61" i="3"/>
  <c r="P57" i="3"/>
  <c r="O57" i="3"/>
  <c r="O59" i="3"/>
  <c r="N124" i="3"/>
  <c r="O124" i="3"/>
  <c r="P151" i="3" l="1"/>
  <c r="P177" i="3"/>
  <c r="Q64" i="3"/>
  <c r="Q20" i="3"/>
  <c r="V100" i="3"/>
  <c r="L40" i="3" l="1"/>
  <c r="D243" i="3"/>
  <c r="E243" i="3"/>
  <c r="F243" i="3"/>
  <c r="G243" i="3"/>
  <c r="I243" i="3"/>
  <c r="J243" i="3"/>
  <c r="K243" i="3"/>
  <c r="L243" i="3"/>
  <c r="N243" i="3"/>
  <c r="N91" i="3"/>
  <c r="M91" i="3"/>
  <c r="K91" i="3"/>
  <c r="J91" i="3"/>
  <c r="I91" i="3"/>
  <c r="H91" i="3"/>
  <c r="F91" i="3"/>
  <c r="E91" i="3"/>
  <c r="D91" i="3"/>
  <c r="E89" i="3"/>
  <c r="F89" i="3"/>
  <c r="H89" i="3"/>
  <c r="I89" i="3"/>
  <c r="J89" i="3"/>
  <c r="K89" i="3"/>
  <c r="M89" i="3"/>
  <c r="N89" i="3"/>
  <c r="E90" i="3"/>
  <c r="F90" i="3"/>
  <c r="H90" i="3"/>
  <c r="I90" i="3"/>
  <c r="J90" i="3"/>
  <c r="K90" i="3"/>
  <c r="M90" i="3"/>
  <c r="N90" i="3"/>
  <c r="D90" i="3"/>
  <c r="D89" i="3"/>
  <c r="L75" i="3"/>
  <c r="F75" i="3"/>
  <c r="F84" i="3" s="1"/>
  <c r="K75" i="3"/>
  <c r="K84" i="3" s="1"/>
  <c r="J75" i="3"/>
  <c r="J84" i="3" s="1"/>
  <c r="I75" i="3"/>
  <c r="I84" i="3" s="1"/>
  <c r="N75" i="3"/>
  <c r="N84" i="3" s="1"/>
  <c r="G86" i="3"/>
  <c r="F86" i="3"/>
  <c r="E86" i="3"/>
  <c r="D86" i="3"/>
  <c r="G85" i="3"/>
  <c r="F85" i="3"/>
  <c r="E85" i="3"/>
  <c r="D85" i="3"/>
  <c r="G84" i="3"/>
  <c r="E84" i="3"/>
  <c r="D84" i="3"/>
  <c r="G82" i="3"/>
  <c r="F82" i="3"/>
  <c r="E82" i="3"/>
  <c r="D82" i="3"/>
  <c r="G81" i="3"/>
  <c r="F81" i="3"/>
  <c r="E81" i="3"/>
  <c r="D81" i="3"/>
  <c r="G80" i="3"/>
  <c r="F80" i="3"/>
  <c r="E80" i="3"/>
  <c r="D80" i="3"/>
  <c r="L86" i="3"/>
  <c r="K86" i="3"/>
  <c r="J86" i="3"/>
  <c r="I86" i="3"/>
  <c r="L85" i="3"/>
  <c r="K85" i="3"/>
  <c r="J85" i="3"/>
  <c r="I85" i="3"/>
  <c r="L84" i="3"/>
  <c r="L82" i="3"/>
  <c r="K82" i="3"/>
  <c r="J82" i="3"/>
  <c r="I82" i="3"/>
  <c r="L81" i="3"/>
  <c r="K81" i="3"/>
  <c r="J81" i="3"/>
  <c r="I81" i="3"/>
  <c r="L80" i="3"/>
  <c r="K80" i="3"/>
  <c r="J80" i="3"/>
  <c r="I80" i="3"/>
  <c r="O75" i="3"/>
  <c r="O84" i="3" s="1"/>
  <c r="V85" i="3"/>
  <c r="U85" i="3"/>
  <c r="T85" i="3"/>
  <c r="S85" i="3"/>
  <c r="O80" i="3"/>
  <c r="O81" i="3"/>
  <c r="O82" i="3"/>
  <c r="O85" i="3"/>
  <c r="P85" i="3"/>
  <c r="Q85" i="3"/>
  <c r="O86" i="3"/>
  <c r="N85" i="3"/>
  <c r="N86" i="3"/>
  <c r="N82" i="3"/>
  <c r="N81" i="3"/>
  <c r="N80" i="3"/>
  <c r="P86" i="3"/>
  <c r="W35" i="3"/>
  <c r="W34" i="3"/>
  <c r="W31" i="3"/>
  <c r="R31" i="3"/>
  <c r="R34" i="3"/>
  <c r="R35" i="3"/>
  <c r="W15" i="3"/>
  <c r="R15" i="3"/>
  <c r="R14" i="3"/>
  <c r="O36" i="3"/>
  <c r="O27" i="3"/>
  <c r="O28" i="3" s="1"/>
  <c r="O51" i="3" l="1"/>
  <c r="E51" i="3"/>
  <c r="I51" i="3"/>
  <c r="J51" i="3"/>
  <c r="R40" i="3"/>
  <c r="S67" i="3"/>
  <c r="T67" i="3" s="1"/>
  <c r="D51" i="3"/>
  <c r="F51" i="3"/>
  <c r="N51" i="3"/>
  <c r="K51" i="3"/>
  <c r="O37" i="3"/>
  <c r="S86" i="3" l="1"/>
  <c r="Q86" i="3"/>
  <c r="U67" i="3"/>
  <c r="T86" i="3"/>
  <c r="T40" i="3"/>
  <c r="U40" i="3" s="1"/>
  <c r="V40" i="3" s="1"/>
  <c r="D50" i="3"/>
  <c r="I50" i="3"/>
  <c r="N50" i="3"/>
  <c r="V67" i="3" l="1"/>
  <c r="U86" i="3"/>
  <c r="W40" i="3"/>
  <c r="V86" i="3" l="1"/>
  <c r="M200" i="3"/>
  <c r="M199" i="3"/>
  <c r="H202" i="3"/>
  <c r="H200" i="3"/>
  <c r="H199" i="3"/>
  <c r="K109" i="3"/>
  <c r="K124" i="3" s="1"/>
  <c r="K42" i="3" s="1"/>
  <c r="L109" i="3"/>
  <c r="L124" i="3" s="1"/>
  <c r="L42" i="3" s="1"/>
  <c r="N42" i="3"/>
  <c r="G124" i="3"/>
  <c r="G42" i="3" s="1"/>
  <c r="F124" i="3"/>
  <c r="F42" i="3" s="1"/>
  <c r="E124" i="3"/>
  <c r="E42" i="3" s="1"/>
  <c r="D124" i="3"/>
  <c r="D42" i="3" s="1"/>
  <c r="O127" i="3"/>
  <c r="N127" i="3"/>
  <c r="O126" i="3"/>
  <c r="N126" i="3"/>
  <c r="G127" i="3"/>
  <c r="F127" i="3"/>
  <c r="E127" i="3"/>
  <c r="D127" i="3"/>
  <c r="G126" i="3"/>
  <c r="F126" i="3"/>
  <c r="F128" i="3" s="1"/>
  <c r="E126" i="3"/>
  <c r="E128" i="3" s="1"/>
  <c r="D126" i="3"/>
  <c r="D128" i="3" s="1"/>
  <c r="L127" i="3"/>
  <c r="K127" i="3"/>
  <c r="L126" i="3"/>
  <c r="K126" i="3"/>
  <c r="J127" i="3"/>
  <c r="J126" i="3"/>
  <c r="J124" i="3"/>
  <c r="J42" i="3" s="1"/>
  <c r="I127" i="3"/>
  <c r="I126" i="3"/>
  <c r="I124" i="3"/>
  <c r="I42" i="3" s="1"/>
  <c r="I202" i="3"/>
  <c r="M202" i="3" s="1"/>
  <c r="G128" i="3" l="1"/>
  <c r="O42" i="3"/>
  <c r="N128" i="3"/>
  <c r="O128" i="3"/>
  <c r="H42" i="3"/>
  <c r="M42" i="3"/>
  <c r="L128" i="3"/>
  <c r="K128" i="3"/>
  <c r="I128" i="3"/>
  <c r="J128" i="3"/>
  <c r="Q42" i="3" l="1"/>
  <c r="W14" i="3"/>
  <c r="S42" i="3" l="1"/>
  <c r="O103" i="3"/>
  <c r="N103" i="3"/>
  <c r="M103" i="3"/>
  <c r="K103" i="3"/>
  <c r="J103" i="3"/>
  <c r="I103" i="3"/>
  <c r="H103" i="3"/>
  <c r="F103" i="3"/>
  <c r="E103" i="3"/>
  <c r="D103" i="3"/>
  <c r="M102" i="3"/>
  <c r="H102" i="3"/>
  <c r="O102" i="3"/>
  <c r="N102" i="3"/>
  <c r="K102" i="3"/>
  <c r="J102" i="3"/>
  <c r="I102" i="3"/>
  <c r="F102" i="3"/>
  <c r="E102" i="3"/>
  <c r="D102" i="3"/>
  <c r="T42" i="3" l="1"/>
  <c r="O100" i="3"/>
  <c r="N100" i="3"/>
  <c r="O99" i="3"/>
  <c r="N99" i="3"/>
  <c r="O97" i="3"/>
  <c r="N97" i="3"/>
  <c r="O96" i="3"/>
  <c r="N96" i="3"/>
  <c r="O95" i="3"/>
  <c r="N95" i="3"/>
  <c r="O98" i="3"/>
  <c r="K98" i="3"/>
  <c r="J98" i="3"/>
  <c r="F98" i="3"/>
  <c r="E98" i="3"/>
  <c r="V42" i="3" l="1"/>
  <c r="U42" i="3"/>
  <c r="W30" i="3"/>
  <c r="R30" i="3"/>
  <c r="O94" i="3"/>
  <c r="N94" i="3"/>
  <c r="O93" i="3"/>
  <c r="N93" i="3"/>
  <c r="N92" i="3"/>
  <c r="W42" i="3" l="1"/>
  <c r="P84" i="3" l="1"/>
  <c r="Q80" i="3"/>
  <c r="P82" i="3"/>
  <c r="S60" i="3" l="1"/>
  <c r="S82" i="3" s="1"/>
  <c r="Q82" i="3"/>
  <c r="Q81" i="3"/>
  <c r="S63" i="3"/>
  <c r="S84" i="3" s="1"/>
  <c r="Q84" i="3"/>
  <c r="Q13" i="3"/>
  <c r="R13" i="3" s="1"/>
  <c r="T56" i="3"/>
  <c r="T80" i="3" s="1"/>
  <c r="S58" i="3"/>
  <c r="S81" i="3" s="1"/>
  <c r="S13" i="3" l="1"/>
  <c r="T60" i="3"/>
  <c r="T13" i="3" s="1"/>
  <c r="S11" i="3"/>
  <c r="S19" i="3" s="1"/>
  <c r="T63" i="3"/>
  <c r="U63" i="3" s="1"/>
  <c r="Q19" i="3"/>
  <c r="R11" i="3"/>
  <c r="T58" i="3"/>
  <c r="T81" i="3" s="1"/>
  <c r="S12" i="3"/>
  <c r="U56" i="3"/>
  <c r="U80" i="3" s="1"/>
  <c r="O64" i="3"/>
  <c r="N64" i="3"/>
  <c r="L64" i="3"/>
  <c r="K64" i="3"/>
  <c r="J64" i="3"/>
  <c r="I64" i="3"/>
  <c r="G64" i="3"/>
  <c r="F64" i="3"/>
  <c r="E64" i="3"/>
  <c r="O61" i="3"/>
  <c r="N61" i="3"/>
  <c r="L61" i="3"/>
  <c r="K61" i="3"/>
  <c r="J61" i="3"/>
  <c r="I61" i="3"/>
  <c r="G61" i="3"/>
  <c r="F61" i="3"/>
  <c r="E61" i="3"/>
  <c r="N59" i="3"/>
  <c r="L59" i="3"/>
  <c r="K59" i="3"/>
  <c r="J59" i="3"/>
  <c r="I59" i="3"/>
  <c r="G59" i="3"/>
  <c r="F59" i="3"/>
  <c r="E59" i="3"/>
  <c r="N57" i="3"/>
  <c r="L57" i="3"/>
  <c r="K57" i="3"/>
  <c r="I57" i="3"/>
  <c r="J57" i="3"/>
  <c r="G57" i="3"/>
  <c r="F57" i="3"/>
  <c r="E57" i="3"/>
  <c r="T82" i="3" l="1"/>
  <c r="U60" i="3"/>
  <c r="U13" i="3" s="1"/>
  <c r="S51" i="3"/>
  <c r="T11" i="3"/>
  <c r="T20" i="3" s="1"/>
  <c r="S20" i="3"/>
  <c r="S18" i="3"/>
  <c r="T84" i="3"/>
  <c r="V63" i="3"/>
  <c r="V84" i="3" s="1"/>
  <c r="U84" i="3"/>
  <c r="U82" i="3"/>
  <c r="S16" i="3"/>
  <c r="S21" i="3" s="1"/>
  <c r="V56" i="3"/>
  <c r="U11" i="3"/>
  <c r="U58" i="3"/>
  <c r="U81" i="3" s="1"/>
  <c r="T12" i="3"/>
  <c r="H224" i="3"/>
  <c r="H225" i="3" s="1"/>
  <c r="M224" i="3"/>
  <c r="M225" i="3" s="1"/>
  <c r="G242" i="3"/>
  <c r="O222" i="3"/>
  <c r="P222" i="3" s="1"/>
  <c r="O220" i="3"/>
  <c r="P220" i="3" s="1"/>
  <c r="O219" i="3"/>
  <c r="P219" i="3" s="1"/>
  <c r="O217" i="3"/>
  <c r="P217" i="3" s="1"/>
  <c r="O216" i="3"/>
  <c r="P216" i="3" s="1"/>
  <c r="O215" i="3"/>
  <c r="O214" i="3"/>
  <c r="P214" i="3" s="1"/>
  <c r="O213" i="3"/>
  <c r="P213" i="3" s="1"/>
  <c r="O212" i="3"/>
  <c r="P212" i="3" s="1"/>
  <c r="O211" i="3"/>
  <c r="P211" i="3" s="1"/>
  <c r="O228" i="3"/>
  <c r="O218" i="3" s="1"/>
  <c r="O208" i="3"/>
  <c r="P208" i="3" s="1"/>
  <c r="O207" i="3"/>
  <c r="P207" i="3" s="1"/>
  <c r="O205" i="3"/>
  <c r="P205" i="3" s="1"/>
  <c r="P209" i="3" s="1"/>
  <c r="N186" i="3"/>
  <c r="O186" i="3" s="1"/>
  <c r="P186" i="3" s="1"/>
  <c r="N223" i="3"/>
  <c r="N225" i="3" s="1"/>
  <c r="O224" i="3" s="1"/>
  <c r="N218" i="3"/>
  <c r="N221" i="3" s="1"/>
  <c r="N209" i="3"/>
  <c r="K242" i="3"/>
  <c r="L242" i="3" s="1"/>
  <c r="K238" i="3"/>
  <c r="L238" i="3" s="1"/>
  <c r="K231" i="3"/>
  <c r="F235" i="3"/>
  <c r="F231" i="3"/>
  <c r="D225" i="3"/>
  <c r="E223" i="3"/>
  <c r="E225" i="3" s="1"/>
  <c r="E222" i="3"/>
  <c r="E218" i="3"/>
  <c r="G218" i="3" s="1"/>
  <c r="E219" i="3"/>
  <c r="F219" i="3" s="1"/>
  <c r="E217" i="3"/>
  <c r="F217" i="3" s="1"/>
  <c r="G217" i="3" s="1"/>
  <c r="E216" i="3"/>
  <c r="E215" i="3"/>
  <c r="E214" i="3"/>
  <c r="F214" i="3" s="1"/>
  <c r="E213" i="3"/>
  <c r="F213" i="3" s="1"/>
  <c r="G213" i="3" s="1"/>
  <c r="E212" i="3"/>
  <c r="E211" i="3"/>
  <c r="E208" i="3"/>
  <c r="F208" i="3" s="1"/>
  <c r="E207" i="3"/>
  <c r="F207" i="3" s="1"/>
  <c r="E206" i="3"/>
  <c r="G206" i="3" s="1"/>
  <c r="E205" i="3"/>
  <c r="E238" i="3"/>
  <c r="E197" i="3"/>
  <c r="E196" i="3"/>
  <c r="E195" i="3"/>
  <c r="E193" i="3"/>
  <c r="F193" i="3" s="1"/>
  <c r="E192" i="3"/>
  <c r="F192" i="3" s="1"/>
  <c r="E189" i="3"/>
  <c r="F189" i="3" s="1"/>
  <c r="E187" i="3"/>
  <c r="E186" i="3"/>
  <c r="F186" i="3" s="1"/>
  <c r="J223" i="3"/>
  <c r="J222" i="3"/>
  <c r="J219" i="3"/>
  <c r="K219" i="3" s="1"/>
  <c r="L219" i="3" s="1"/>
  <c r="J217" i="3"/>
  <c r="K217" i="3" s="1"/>
  <c r="J216" i="3"/>
  <c r="J215" i="3"/>
  <c r="J50" i="3" s="1"/>
  <c r="J214" i="3"/>
  <c r="K214" i="3" s="1"/>
  <c r="L214" i="3" s="1"/>
  <c r="J213" i="3"/>
  <c r="J212" i="3"/>
  <c r="J211" i="3"/>
  <c r="J208" i="3"/>
  <c r="K208" i="3" s="1"/>
  <c r="J207" i="3"/>
  <c r="K207" i="3" s="1"/>
  <c r="J206" i="3"/>
  <c r="L206" i="3" s="1"/>
  <c r="J205" i="3"/>
  <c r="K205" i="3" s="1"/>
  <c r="J228" i="3"/>
  <c r="L228" i="3" s="1"/>
  <c r="J235" i="3"/>
  <c r="I225" i="3"/>
  <c r="J224" i="3" s="1"/>
  <c r="J225" i="3" s="1"/>
  <c r="K224" i="3" s="1"/>
  <c r="H190" i="3"/>
  <c r="I186" i="3"/>
  <c r="O187" i="3"/>
  <c r="P187" i="3" s="1"/>
  <c r="O197" i="3"/>
  <c r="P197" i="3" s="1"/>
  <c r="O196" i="3"/>
  <c r="P196" i="3" s="1"/>
  <c r="O191" i="3"/>
  <c r="P191" i="3" s="1"/>
  <c r="O190" i="3"/>
  <c r="P190" i="3" s="1"/>
  <c r="O195" i="3"/>
  <c r="P195" i="3" s="1"/>
  <c r="O193" i="3"/>
  <c r="P193" i="3" s="1"/>
  <c r="O192" i="3"/>
  <c r="P192" i="3" s="1"/>
  <c r="O189" i="3"/>
  <c r="P189" i="3" s="1"/>
  <c r="O50" i="3" l="1"/>
  <c r="P50" i="3" s="1"/>
  <c r="Q50" i="3" s="1"/>
  <c r="S50" i="3" s="1"/>
  <c r="T50" i="3" s="1"/>
  <c r="U50" i="3" s="1"/>
  <c r="V50" i="3" s="1"/>
  <c r="P215" i="3"/>
  <c r="P218" i="3"/>
  <c r="U18" i="3"/>
  <c r="V60" i="3"/>
  <c r="V13" i="3" s="1"/>
  <c r="W13" i="3" s="1"/>
  <c r="T18" i="3"/>
  <c r="T16" i="3"/>
  <c r="T32" i="3" s="1"/>
  <c r="T19" i="3"/>
  <c r="U19" i="3"/>
  <c r="U20" i="3"/>
  <c r="T51" i="3"/>
  <c r="V11" i="3"/>
  <c r="W11" i="3" s="1"/>
  <c r="V80" i="3"/>
  <c r="F215" i="3"/>
  <c r="F50" i="3" s="1"/>
  <c r="E50" i="3"/>
  <c r="F196" i="3"/>
  <c r="G196" i="3" s="1"/>
  <c r="S23" i="3"/>
  <c r="S26" i="3"/>
  <c r="S25" i="3"/>
  <c r="S22" i="3"/>
  <c r="S24" i="3"/>
  <c r="S32" i="3"/>
  <c r="V58" i="3"/>
  <c r="O209" i="3"/>
  <c r="E221" i="3"/>
  <c r="G192" i="3"/>
  <c r="J221" i="3"/>
  <c r="O221" i="3"/>
  <c r="G186" i="3"/>
  <c r="G193" i="3"/>
  <c r="F197" i="3"/>
  <c r="G197" i="3" s="1"/>
  <c r="F211" i="3"/>
  <c r="G189" i="3"/>
  <c r="F195" i="3"/>
  <c r="G195" i="3" s="1"/>
  <c r="F205" i="3"/>
  <c r="G205" i="3" s="1"/>
  <c r="F212" i="3"/>
  <c r="G212" i="3" s="1"/>
  <c r="F216" i="3"/>
  <c r="G216" i="3" s="1"/>
  <c r="F222" i="3"/>
  <c r="G222" i="3" s="1"/>
  <c r="K211" i="3"/>
  <c r="K215" i="3"/>
  <c r="K222" i="3"/>
  <c r="L222" i="3" s="1"/>
  <c r="O223" i="3"/>
  <c r="G207" i="3"/>
  <c r="G214" i="3"/>
  <c r="G219" i="3"/>
  <c r="L217" i="3"/>
  <c r="F238" i="3"/>
  <c r="G238" i="3" s="1"/>
  <c r="F223" i="3"/>
  <c r="F225" i="3" s="1"/>
  <c r="K212" i="3"/>
  <c r="L212" i="3" s="1"/>
  <c r="K216" i="3"/>
  <c r="L216" i="3" s="1"/>
  <c r="K223" i="3"/>
  <c r="L223" i="3" s="1"/>
  <c r="G208" i="3"/>
  <c r="J186" i="3"/>
  <c r="K186" i="3" s="1"/>
  <c r="F187" i="3"/>
  <c r="G187" i="3" s="1"/>
  <c r="K213" i="3"/>
  <c r="L213" i="3" s="1"/>
  <c r="J197" i="3"/>
  <c r="J196" i="3"/>
  <c r="J195" i="3"/>
  <c r="J193" i="3"/>
  <c r="J192" i="3"/>
  <c r="J189" i="3"/>
  <c r="J187" i="3"/>
  <c r="J185" i="3"/>
  <c r="K191" i="3"/>
  <c r="I191" i="3"/>
  <c r="F191" i="3"/>
  <c r="E191" i="3"/>
  <c r="O188" i="3"/>
  <c r="P188" i="3" s="1"/>
  <c r="N188" i="3"/>
  <c r="K188" i="3"/>
  <c r="J188" i="3"/>
  <c r="I188" i="3"/>
  <c r="F188" i="3"/>
  <c r="E188" i="3"/>
  <c r="D188" i="3"/>
  <c r="N185" i="3"/>
  <c r="P185" i="3" s="1"/>
  <c r="K185" i="3"/>
  <c r="I185" i="3"/>
  <c r="F185" i="3"/>
  <c r="E185" i="3"/>
  <c r="D185" i="3"/>
  <c r="P221" i="3" l="1"/>
  <c r="O225" i="3"/>
  <c r="P224" i="3" s="1"/>
  <c r="P223" i="3"/>
  <c r="V82" i="3"/>
  <c r="T21" i="3"/>
  <c r="T102" i="3" s="1"/>
  <c r="T25" i="3"/>
  <c r="T23" i="3"/>
  <c r="T22" i="3"/>
  <c r="T26" i="3"/>
  <c r="T24" i="3"/>
  <c r="V19" i="3"/>
  <c r="V18" i="3"/>
  <c r="V20" i="3"/>
  <c r="V81" i="3"/>
  <c r="G215" i="3"/>
  <c r="G50" i="3" s="1"/>
  <c r="L215" i="3"/>
  <c r="L50" i="3" s="1"/>
  <c r="K50" i="3"/>
  <c r="S103" i="3"/>
  <c r="S27" i="3"/>
  <c r="S102" i="3"/>
  <c r="F221" i="3"/>
  <c r="G191" i="3"/>
  <c r="G211" i="3"/>
  <c r="G223" i="3"/>
  <c r="G225" i="3" s="1"/>
  <c r="K193" i="3"/>
  <c r="L193" i="3" s="1"/>
  <c r="K187" i="3"/>
  <c r="L187" i="3" s="1"/>
  <c r="K195" i="3"/>
  <c r="L195" i="3" s="1"/>
  <c r="K189" i="3"/>
  <c r="L189" i="3" s="1"/>
  <c r="K196" i="3"/>
  <c r="L196" i="3" s="1"/>
  <c r="K192" i="3"/>
  <c r="L192" i="3" s="1"/>
  <c r="K197" i="3"/>
  <c r="L197" i="3" s="1"/>
  <c r="L186" i="3"/>
  <c r="K225" i="3"/>
  <c r="L224" i="3" s="1"/>
  <c r="L225" i="3" s="1"/>
  <c r="J191" i="3"/>
  <c r="E174" i="3"/>
  <c r="E176" i="3" s="1"/>
  <c r="E129" i="3" s="1"/>
  <c r="E130" i="3" s="1"/>
  <c r="E167" i="3"/>
  <c r="E161" i="3"/>
  <c r="E148" i="3"/>
  <c r="D148" i="3"/>
  <c r="E144" i="3"/>
  <c r="D174" i="3"/>
  <c r="D176" i="3" s="1"/>
  <c r="D129" i="3" s="1"/>
  <c r="D130" i="3" s="1"/>
  <c r="D167" i="3"/>
  <c r="D161" i="3"/>
  <c r="D144" i="3"/>
  <c r="H175" i="3"/>
  <c r="H173" i="3"/>
  <c r="H172" i="3"/>
  <c r="H171" i="3"/>
  <c r="H170" i="3"/>
  <c r="H169" i="3"/>
  <c r="H166" i="3"/>
  <c r="H165" i="3"/>
  <c r="H164" i="3"/>
  <c r="H162" i="3"/>
  <c r="H160" i="3"/>
  <c r="H159" i="3"/>
  <c r="H158" i="3"/>
  <c r="H157" i="3"/>
  <c r="H156" i="3"/>
  <c r="H155" i="3"/>
  <c r="H154" i="3"/>
  <c r="H153" i="3"/>
  <c r="H150" i="3"/>
  <c r="H149" i="3"/>
  <c r="H147" i="3"/>
  <c r="H146" i="3"/>
  <c r="H143" i="3"/>
  <c r="H142" i="3"/>
  <c r="H141" i="3"/>
  <c r="H139" i="3"/>
  <c r="M143" i="3"/>
  <c r="M146" i="3"/>
  <c r="M149" i="3"/>
  <c r="M158" i="3"/>
  <c r="M155" i="3"/>
  <c r="M164" i="3"/>
  <c r="M170" i="3"/>
  <c r="M173" i="3"/>
  <c r="M142" i="3"/>
  <c r="M147" i="3"/>
  <c r="M150" i="3"/>
  <c r="M153" i="3"/>
  <c r="M154" i="3"/>
  <c r="M156" i="3"/>
  <c r="M157" i="3"/>
  <c r="M159" i="3"/>
  <c r="M160" i="3"/>
  <c r="M162" i="3"/>
  <c r="M165" i="3"/>
  <c r="M166" i="3"/>
  <c r="M169" i="3"/>
  <c r="M171" i="3"/>
  <c r="M172" i="3"/>
  <c r="M175" i="3"/>
  <c r="M141" i="3"/>
  <c r="M139" i="3"/>
  <c r="F174" i="3"/>
  <c r="F176" i="3" s="1"/>
  <c r="F129" i="3" s="1"/>
  <c r="F130" i="3" s="1"/>
  <c r="F167" i="3"/>
  <c r="F161" i="3"/>
  <c r="G161" i="3"/>
  <c r="H161" i="3" s="1"/>
  <c r="F148" i="3"/>
  <c r="F144" i="3"/>
  <c r="I174" i="3"/>
  <c r="I176" i="3" s="1"/>
  <c r="I129" i="3" s="1"/>
  <c r="I130" i="3" s="1"/>
  <c r="I167" i="3"/>
  <c r="I161" i="3"/>
  <c r="I148" i="3"/>
  <c r="I144" i="3"/>
  <c r="O174" i="3"/>
  <c r="O176" i="3" s="1"/>
  <c r="O129" i="3" s="1"/>
  <c r="O130" i="3" s="1"/>
  <c r="O167" i="3"/>
  <c r="N161" i="3"/>
  <c r="O144" i="3"/>
  <c r="J174" i="3"/>
  <c r="J176" i="3" s="1"/>
  <c r="J129" i="3" s="1"/>
  <c r="J130" i="3" s="1"/>
  <c r="J167" i="3"/>
  <c r="J161" i="3"/>
  <c r="J148" i="3"/>
  <c r="J144" i="3"/>
  <c r="K174" i="3"/>
  <c r="K176" i="3" s="1"/>
  <c r="K129" i="3" s="1"/>
  <c r="K130" i="3" s="1"/>
  <c r="K167" i="3"/>
  <c r="K161" i="3"/>
  <c r="K148" i="3"/>
  <c r="K144" i="3"/>
  <c r="L174" i="3"/>
  <c r="M174" i="3" s="1"/>
  <c r="L167" i="3"/>
  <c r="M167" i="3" s="1"/>
  <c r="L161" i="3"/>
  <c r="M161" i="3" s="1"/>
  <c r="L148" i="3"/>
  <c r="M148" i="3" s="1"/>
  <c r="L144" i="3"/>
  <c r="M144" i="3" s="1"/>
  <c r="G174" i="3"/>
  <c r="G176" i="3" s="1"/>
  <c r="G167" i="3"/>
  <c r="H167" i="3" s="1"/>
  <c r="G148" i="3"/>
  <c r="H148" i="3" s="1"/>
  <c r="G144" i="3"/>
  <c r="N174" i="3"/>
  <c r="N176" i="3" s="1"/>
  <c r="N129" i="3" s="1"/>
  <c r="N130" i="3" s="1"/>
  <c r="N167" i="3"/>
  <c r="N148" i="3"/>
  <c r="N144" i="3"/>
  <c r="L38" i="3"/>
  <c r="L35" i="3"/>
  <c r="L34" i="3"/>
  <c r="L33" i="3"/>
  <c r="L32" i="3"/>
  <c r="L30" i="3"/>
  <c r="L26" i="3"/>
  <c r="L25" i="3"/>
  <c r="L24" i="3"/>
  <c r="L23" i="3"/>
  <c r="L22" i="3"/>
  <c r="L21" i="3"/>
  <c r="L20" i="3"/>
  <c r="L19" i="3"/>
  <c r="L18" i="3"/>
  <c r="M36" i="3"/>
  <c r="M27" i="3"/>
  <c r="G18" i="3"/>
  <c r="G19" i="3"/>
  <c r="G20" i="3"/>
  <c r="G21" i="3"/>
  <c r="G22" i="3"/>
  <c r="G23" i="3"/>
  <c r="G24" i="3"/>
  <c r="G25" i="3"/>
  <c r="G26" i="3"/>
  <c r="G29" i="3"/>
  <c r="G30" i="3"/>
  <c r="G32" i="3"/>
  <c r="G33" i="3"/>
  <c r="G34" i="3"/>
  <c r="G35" i="3"/>
  <c r="G38" i="3"/>
  <c r="G40" i="3"/>
  <c r="G44" i="3"/>
  <c r="H36" i="3"/>
  <c r="H27" i="3"/>
  <c r="D27" i="3"/>
  <c r="D36" i="3"/>
  <c r="E36" i="3"/>
  <c r="F36" i="3"/>
  <c r="N36" i="3"/>
  <c r="K36" i="3"/>
  <c r="J36" i="3"/>
  <c r="I36" i="3"/>
  <c r="E27" i="3"/>
  <c r="P225" i="3" l="1"/>
  <c r="T103" i="3"/>
  <c r="T27" i="3"/>
  <c r="T28" i="3" s="1"/>
  <c r="T104" i="3" s="1"/>
  <c r="H243" i="3"/>
  <c r="S28" i="3"/>
  <c r="H176" i="3"/>
  <c r="G129" i="3"/>
  <c r="G130" i="3" s="1"/>
  <c r="L191" i="3"/>
  <c r="G188" i="3"/>
  <c r="L188" i="3"/>
  <c r="L185" i="3"/>
  <c r="N98" i="3"/>
  <c r="L98" i="3"/>
  <c r="I98" i="3"/>
  <c r="G98" i="3"/>
  <c r="G185" i="3"/>
  <c r="K151" i="3"/>
  <c r="G151" i="3"/>
  <c r="H151" i="3" s="1"/>
  <c r="O151" i="3"/>
  <c r="J177" i="3"/>
  <c r="D177" i="3"/>
  <c r="J151" i="3"/>
  <c r="I151" i="3"/>
  <c r="F177" i="3"/>
  <c r="H174" i="3"/>
  <c r="E151" i="3"/>
  <c r="F151" i="3"/>
  <c r="D151" i="3"/>
  <c r="E177" i="3"/>
  <c r="O177" i="3"/>
  <c r="I177" i="3"/>
  <c r="L176" i="3"/>
  <c r="L151" i="3"/>
  <c r="M151" i="3" s="1"/>
  <c r="K177" i="3"/>
  <c r="G177" i="3"/>
  <c r="H177" i="3" s="1"/>
  <c r="H144" i="3"/>
  <c r="N151" i="3"/>
  <c r="N177" i="3"/>
  <c r="L36" i="3"/>
  <c r="G36" i="3"/>
  <c r="K27" i="3"/>
  <c r="F27" i="3"/>
  <c r="G27" i="3" s="1"/>
  <c r="J27" i="3"/>
  <c r="N27" i="3"/>
  <c r="I27" i="3"/>
  <c r="L15" i="3"/>
  <c r="L14" i="3"/>
  <c r="L13" i="3"/>
  <c r="L12" i="3"/>
  <c r="L11" i="3"/>
  <c r="L91" i="3" s="1"/>
  <c r="M16" i="3"/>
  <c r="J16" i="3"/>
  <c r="K16" i="3"/>
  <c r="I16" i="3"/>
  <c r="F16" i="3"/>
  <c r="E16" i="3"/>
  <c r="D16" i="3"/>
  <c r="H16" i="3"/>
  <c r="G12" i="3"/>
  <c r="G13" i="3"/>
  <c r="G14" i="3"/>
  <c r="G15" i="3"/>
  <c r="G11" i="3"/>
  <c r="G89" i="3" s="1"/>
  <c r="T105" i="3" l="1"/>
  <c r="L89" i="3"/>
  <c r="G90" i="3"/>
  <c r="L90" i="3"/>
  <c r="G91" i="3"/>
  <c r="G51" i="3"/>
  <c r="L51" i="3"/>
  <c r="S105" i="3"/>
  <c r="S104" i="3"/>
  <c r="M176" i="3"/>
  <c r="L129" i="3"/>
  <c r="L130" i="3" s="1"/>
  <c r="N28" i="3"/>
  <c r="H96" i="3"/>
  <c r="H99" i="3"/>
  <c r="H97" i="3"/>
  <c r="H95" i="3"/>
  <c r="H100" i="3"/>
  <c r="D100" i="3"/>
  <c r="D97" i="3"/>
  <c r="D95" i="3"/>
  <c r="D96" i="3"/>
  <c r="D99" i="3"/>
  <c r="K100" i="3"/>
  <c r="K99" i="3"/>
  <c r="K97" i="3"/>
  <c r="K96" i="3"/>
  <c r="K95" i="3"/>
  <c r="K178" i="3"/>
  <c r="L103" i="3"/>
  <c r="L102" i="3"/>
  <c r="J97" i="3"/>
  <c r="J95" i="3"/>
  <c r="J100" i="3"/>
  <c r="J99" i="3"/>
  <c r="J96" i="3"/>
  <c r="I97" i="3"/>
  <c r="I95" i="3"/>
  <c r="I100" i="3"/>
  <c r="I99" i="3"/>
  <c r="I96" i="3"/>
  <c r="O132" i="3"/>
  <c r="O133" i="3" s="1"/>
  <c r="O104" i="3"/>
  <c r="O105" i="3"/>
  <c r="E97" i="3"/>
  <c r="E95" i="3"/>
  <c r="E100" i="3"/>
  <c r="E99" i="3"/>
  <c r="E96" i="3"/>
  <c r="G103" i="3"/>
  <c r="G102" i="3"/>
  <c r="F100" i="3"/>
  <c r="F99" i="3"/>
  <c r="F96" i="3"/>
  <c r="F97" i="3"/>
  <c r="F95" i="3"/>
  <c r="M96" i="3"/>
  <c r="M100" i="3"/>
  <c r="M99" i="3"/>
  <c r="M97" i="3"/>
  <c r="M95" i="3"/>
  <c r="E28" i="3"/>
  <c r="E94" i="3"/>
  <c r="E92" i="3"/>
  <c r="E93" i="3"/>
  <c r="J94" i="3"/>
  <c r="J93" i="3"/>
  <c r="J92" i="3"/>
  <c r="D28" i="3"/>
  <c r="D93" i="3"/>
  <c r="D94" i="3"/>
  <c r="D92" i="3"/>
  <c r="F93" i="3"/>
  <c r="F92" i="3"/>
  <c r="F94" i="3"/>
  <c r="K93" i="3"/>
  <c r="K92" i="3"/>
  <c r="K94" i="3"/>
  <c r="M28" i="3"/>
  <c r="M93" i="3"/>
  <c r="M92" i="3"/>
  <c r="M94" i="3"/>
  <c r="H28" i="3"/>
  <c r="H93" i="3"/>
  <c r="H92" i="3"/>
  <c r="H94" i="3"/>
  <c r="I92" i="3"/>
  <c r="I94" i="3"/>
  <c r="I93" i="3"/>
  <c r="L177" i="3"/>
  <c r="M177" i="3" s="1"/>
  <c r="O178" i="3"/>
  <c r="N178" i="3"/>
  <c r="L27" i="3"/>
  <c r="F28" i="3"/>
  <c r="J28" i="3"/>
  <c r="K28" i="3"/>
  <c r="I28" i="3"/>
  <c r="L16" i="3"/>
  <c r="M188" i="3"/>
  <c r="M191" i="3"/>
  <c r="N37" i="3" l="1"/>
  <c r="N132" i="3" s="1"/>
  <c r="N133" i="3" s="1"/>
  <c r="M37" i="3"/>
  <c r="M101" i="3" s="1"/>
  <c r="O39" i="3"/>
  <c r="O41" i="3" s="1"/>
  <c r="O43" i="3" s="1"/>
  <c r="O47" i="3" s="1"/>
  <c r="N104" i="3"/>
  <c r="N101" i="3"/>
  <c r="N105" i="3"/>
  <c r="O101" i="3"/>
  <c r="H37" i="3"/>
  <c r="H101" i="3" s="1"/>
  <c r="H104" i="3"/>
  <c r="H105" i="3"/>
  <c r="J37" i="3"/>
  <c r="J132" i="3" s="1"/>
  <c r="J133" i="3" s="1"/>
  <c r="J105" i="3"/>
  <c r="J104" i="3"/>
  <c r="E37" i="3"/>
  <c r="E132" i="3" s="1"/>
  <c r="E133" i="3" s="1"/>
  <c r="E105" i="3"/>
  <c r="E104" i="3"/>
  <c r="D37" i="3"/>
  <c r="D132" i="3" s="1"/>
  <c r="D133" i="3" s="1"/>
  <c r="D104" i="3"/>
  <c r="D105" i="3"/>
  <c r="K37" i="3"/>
  <c r="K132" i="3" s="1"/>
  <c r="K133" i="3" s="1"/>
  <c r="K104" i="3"/>
  <c r="K105" i="3"/>
  <c r="L99" i="3"/>
  <c r="L100" i="3"/>
  <c r="I37" i="3"/>
  <c r="I132" i="3" s="1"/>
  <c r="I133" i="3" s="1"/>
  <c r="I105" i="3"/>
  <c r="I104" i="3"/>
  <c r="F37" i="3"/>
  <c r="F132" i="3" s="1"/>
  <c r="F133" i="3" s="1"/>
  <c r="F104" i="3"/>
  <c r="F105" i="3"/>
  <c r="M105" i="3"/>
  <c r="M104" i="3"/>
  <c r="L97" i="3"/>
  <c r="L96" i="3"/>
  <c r="L95" i="3"/>
  <c r="L94" i="3"/>
  <c r="L93" i="3"/>
  <c r="L92" i="3"/>
  <c r="G28" i="3"/>
  <c r="L28" i="3"/>
  <c r="M39" i="3"/>
  <c r="D178" i="3"/>
  <c r="N39" i="3" l="1"/>
  <c r="N183" i="3" s="1"/>
  <c r="N198" i="3" s="1"/>
  <c r="N201" i="3" s="1"/>
  <c r="N203" i="3" s="1"/>
  <c r="O183" i="3"/>
  <c r="O46" i="3"/>
  <c r="O45" i="3"/>
  <c r="J39" i="3"/>
  <c r="J41" i="3" s="1"/>
  <c r="J43" i="3" s="1"/>
  <c r="J47" i="3" s="1"/>
  <c r="E39" i="3"/>
  <c r="E41" i="3" s="1"/>
  <c r="E43" i="3" s="1"/>
  <c r="E47" i="3" s="1"/>
  <c r="I101" i="3"/>
  <c r="F101" i="3"/>
  <c r="K101" i="3"/>
  <c r="D101" i="3"/>
  <c r="N41" i="3"/>
  <c r="D39" i="3"/>
  <c r="D41" i="3" s="1"/>
  <c r="D43" i="3" s="1"/>
  <c r="D47" i="3" s="1"/>
  <c r="H39" i="3"/>
  <c r="H41" i="3" s="1"/>
  <c r="H43" i="3" s="1"/>
  <c r="I39" i="3"/>
  <c r="I41" i="3" s="1"/>
  <c r="I43" i="3" s="1"/>
  <c r="I47" i="3" s="1"/>
  <c r="K39" i="3"/>
  <c r="K41" i="3" s="1"/>
  <c r="E101" i="3"/>
  <c r="J101" i="3"/>
  <c r="L37" i="3"/>
  <c r="L132" i="3" s="1"/>
  <c r="L133" i="3" s="1"/>
  <c r="F39" i="3"/>
  <c r="F41" i="3" s="1"/>
  <c r="F43" i="3" s="1"/>
  <c r="F47" i="3" s="1"/>
  <c r="G37" i="3"/>
  <c r="G132" i="3" s="1"/>
  <c r="G133" i="3" s="1"/>
  <c r="L104" i="3"/>
  <c r="L105" i="3"/>
  <c r="M41" i="3"/>
  <c r="M43" i="3" s="1"/>
  <c r="O198" i="3" l="1"/>
  <c r="O201" i="3" s="1"/>
  <c r="O203" i="3" s="1"/>
  <c r="P183" i="3"/>
  <c r="P198" i="3" s="1"/>
  <c r="E45" i="3"/>
  <c r="J46" i="3"/>
  <c r="J45" i="3"/>
  <c r="E46" i="3"/>
  <c r="G101" i="3"/>
  <c r="L101" i="3"/>
  <c r="N46" i="3"/>
  <c r="N45" i="3"/>
  <c r="N43" i="3"/>
  <c r="N47" i="3" s="1"/>
  <c r="K45" i="3"/>
  <c r="K43" i="3"/>
  <c r="K47" i="3" s="1"/>
  <c r="K46" i="3"/>
  <c r="L39" i="3"/>
  <c r="F46" i="3"/>
  <c r="F45" i="3"/>
  <c r="D46" i="3"/>
  <c r="D45" i="3"/>
  <c r="G41" i="3"/>
  <c r="L41" i="3"/>
  <c r="G39" i="3"/>
  <c r="G183" i="3" s="1"/>
  <c r="I45" i="3"/>
  <c r="I46" i="3"/>
  <c r="L46" i="3" l="1"/>
  <c r="G45" i="3"/>
  <c r="G46" i="3"/>
  <c r="L45" i="3"/>
  <c r="M49" i="3"/>
  <c r="M243" i="3" s="1"/>
  <c r="L43" i="3"/>
  <c r="L47" i="3" s="1"/>
  <c r="H47" i="3"/>
  <c r="G43" i="3"/>
  <c r="G47" i="3" s="1"/>
  <c r="M48" i="3"/>
  <c r="K221" i="3"/>
  <c r="I221" i="3"/>
  <c r="D221" i="3"/>
  <c r="I209" i="3"/>
  <c r="G209" i="3"/>
  <c r="F209" i="3"/>
  <c r="E209" i="3"/>
  <c r="D209" i="3"/>
  <c r="K209" i="3"/>
  <c r="M204" i="3"/>
  <c r="H185" i="3"/>
  <c r="M47" i="3" l="1"/>
  <c r="M220" i="3"/>
  <c r="G178" i="3"/>
  <c r="H209" i="3"/>
  <c r="J209" i="3"/>
  <c r="E178" i="3"/>
  <c r="I178" i="3"/>
  <c r="F178" i="3"/>
  <c r="H178" i="3" l="1"/>
  <c r="J178" i="3" l="1"/>
  <c r="L178" i="3" l="1"/>
  <c r="M178" i="3" l="1"/>
  <c r="M50" i="3" l="1"/>
  <c r="W50" i="3" l="1"/>
  <c r="K183" i="3" l="1"/>
  <c r="K198" i="3" s="1"/>
  <c r="K201" i="3" s="1"/>
  <c r="K203" i="3" s="1"/>
  <c r="I183" i="3" l="1"/>
  <c r="F183" i="3"/>
  <c r="F198" i="3" s="1"/>
  <c r="F201" i="3" s="1"/>
  <c r="F203" i="3" s="1"/>
  <c r="I198" i="3" l="1"/>
  <c r="J183" i="3"/>
  <c r="J198" i="3" s="1"/>
  <c r="J201" i="3" s="1"/>
  <c r="J203" i="3" s="1"/>
  <c r="D183" i="3"/>
  <c r="D198" i="3" s="1"/>
  <c r="D201" i="3" s="1"/>
  <c r="D203" i="3" l="1"/>
  <c r="I201" i="3"/>
  <c r="D244" i="3"/>
  <c r="I203" i="3" l="1"/>
  <c r="E183" i="3"/>
  <c r="E198" i="3" s="1"/>
  <c r="E201" i="3" l="1"/>
  <c r="G198" i="3"/>
  <c r="G201" i="3" s="1"/>
  <c r="G203" i="3" s="1"/>
  <c r="E203" i="3" l="1"/>
  <c r="H203" i="3" s="1"/>
  <c r="H201" i="3"/>
  <c r="E244" i="3"/>
  <c r="F244" i="3" l="1"/>
  <c r="L183" i="3" l="1"/>
  <c r="M183" i="3" l="1"/>
  <c r="R50" i="3" l="1"/>
  <c r="G16" i="3" l="1"/>
  <c r="G100" i="3" l="1"/>
  <c r="G99" i="3"/>
  <c r="G104" i="3"/>
  <c r="G105" i="3"/>
  <c r="G97" i="3"/>
  <c r="G95" i="3"/>
  <c r="G96" i="3"/>
  <c r="G93" i="3"/>
  <c r="G92" i="3"/>
  <c r="G94" i="3"/>
  <c r="G244" i="3" l="1"/>
  <c r="H244" i="3" l="1"/>
  <c r="M244" i="3" l="1"/>
  <c r="I244" i="3"/>
  <c r="J244" i="3"/>
  <c r="K244" i="3" l="1"/>
  <c r="L244" i="3"/>
  <c r="M185" i="3" l="1"/>
  <c r="L198" i="3"/>
  <c r="L205" i="3"/>
  <c r="L207" i="3"/>
  <c r="L208" i="3"/>
  <c r="M209" i="3"/>
  <c r="L211" i="3"/>
  <c r="L221" i="3" s="1"/>
  <c r="H188" i="3"/>
  <c r="H183" i="3"/>
  <c r="H198" i="3"/>
  <c r="H220" i="3"/>
  <c r="H221" i="3" s="1"/>
  <c r="G221" i="3"/>
  <c r="M218" i="3"/>
  <c r="M221" i="3" s="1"/>
  <c r="L201" i="3" l="1"/>
  <c r="M198" i="3"/>
  <c r="L209" i="3"/>
  <c r="L203" i="3" l="1"/>
  <c r="M203" i="3" s="1"/>
  <c r="M201" i="3"/>
  <c r="U12" i="3" l="1"/>
  <c r="U51" i="3" s="1"/>
  <c r="Q12" i="3" l="1"/>
  <c r="Q16" i="3" s="1"/>
  <c r="Q26" i="3" s="1"/>
  <c r="U16" i="3"/>
  <c r="V12" i="3"/>
  <c r="V51" i="3" s="1"/>
  <c r="Q24" i="3" l="1"/>
  <c r="Q22" i="3"/>
  <c r="Q51" i="3"/>
  <c r="U23" i="3"/>
  <c r="U26" i="3"/>
  <c r="U22" i="3"/>
  <c r="U25" i="3"/>
  <c r="U21" i="3"/>
  <c r="U102" i="3" s="1"/>
  <c r="U32" i="3"/>
  <c r="U24" i="3"/>
  <c r="V16" i="3"/>
  <c r="W16" i="3" s="1"/>
  <c r="W12" i="3"/>
  <c r="Q21" i="3" l="1"/>
  <c r="R20" i="3"/>
  <c r="R18" i="3"/>
  <c r="Q23" i="3"/>
  <c r="R19" i="3"/>
  <c r="V21" i="3"/>
  <c r="W21" i="3" s="1"/>
  <c r="W19" i="3"/>
  <c r="V24" i="3"/>
  <c r="W24" i="3" s="1"/>
  <c r="V26" i="3"/>
  <c r="W26" i="3" s="1"/>
  <c r="V32" i="3"/>
  <c r="W32" i="3" s="1"/>
  <c r="W18" i="3"/>
  <c r="V22" i="3"/>
  <c r="W22" i="3" s="1"/>
  <c r="V33" i="3"/>
  <c r="V23" i="3"/>
  <c r="W23" i="3" s="1"/>
  <c r="W20" i="3"/>
  <c r="V25" i="3"/>
  <c r="W25" i="3" s="1"/>
  <c r="U36" i="3"/>
  <c r="U27" i="3"/>
  <c r="U103" i="3"/>
  <c r="Q102" i="3" l="1"/>
  <c r="Q103" i="3"/>
  <c r="U28" i="3"/>
  <c r="V27" i="3"/>
  <c r="V28" i="3" s="1"/>
  <c r="V102" i="3"/>
  <c r="V103" i="3"/>
  <c r="V36" i="3"/>
  <c r="W27" i="3" l="1"/>
  <c r="W28" i="3" s="1"/>
  <c r="V37" i="3"/>
  <c r="V105" i="3"/>
  <c r="V104" i="3"/>
  <c r="U104" i="3"/>
  <c r="U105" i="3"/>
  <c r="U37" i="3"/>
  <c r="U132" i="3" s="1"/>
  <c r="U133" i="3" l="1"/>
  <c r="U38" i="3"/>
  <c r="V132" i="3"/>
  <c r="V133" i="3" s="1"/>
  <c r="V38" i="3"/>
  <c r="V39" i="3" s="1"/>
  <c r="V41" i="3" s="1"/>
  <c r="U39" i="3" l="1"/>
  <c r="U41" i="3" s="1"/>
  <c r="U43" i="3" s="1"/>
  <c r="U47" i="3" s="1"/>
  <c r="V43" i="3"/>
  <c r="V47" i="3" s="1"/>
  <c r="V46" i="3"/>
  <c r="V45" i="3"/>
  <c r="U45" i="3" l="1"/>
  <c r="U46" i="3"/>
  <c r="P81" i="3" l="1"/>
  <c r="P51" i="3" s="1"/>
  <c r="P59" i="3"/>
  <c r="R12" i="3"/>
  <c r="R16" i="3" s="1"/>
  <c r="P16" i="3" l="1"/>
  <c r="P96" i="3" l="1"/>
  <c r="Q96" i="3" s="1"/>
  <c r="Q25" i="3" s="1"/>
  <c r="Q27" i="3" s="1"/>
  <c r="Q28" i="3" s="1"/>
  <c r="P92" i="3"/>
  <c r="P97" i="3"/>
  <c r="P100" i="3"/>
  <c r="Q100" i="3" s="1"/>
  <c r="Q33" i="3" s="1"/>
  <c r="R33" i="3" s="1"/>
  <c r="S100" i="3" s="1"/>
  <c r="P95" i="3"/>
  <c r="P93" i="3"/>
  <c r="P99" i="3"/>
  <c r="Q99" i="3" s="1"/>
  <c r="Q32" i="3" s="1"/>
  <c r="P94" i="3"/>
  <c r="R26" i="3"/>
  <c r="R25" i="3"/>
  <c r="R22" i="3"/>
  <c r="R24" i="3"/>
  <c r="R23" i="3"/>
  <c r="Q36" i="3" l="1"/>
  <c r="Q105" i="3"/>
  <c r="Q37" i="3"/>
  <c r="Q104" i="3"/>
  <c r="R32" i="3"/>
  <c r="P36" i="3"/>
  <c r="R36" i="3" s="1"/>
  <c r="T100" i="3"/>
  <c r="T36" i="3" s="1"/>
  <c r="T37" i="3" s="1"/>
  <c r="P27" i="3"/>
  <c r="R21" i="3"/>
  <c r="Q133" i="3" l="1"/>
  <c r="Q38" i="3"/>
  <c r="T38" i="3"/>
  <c r="T39" i="3" s="1"/>
  <c r="T41" i="3" s="1"/>
  <c r="T132" i="3"/>
  <c r="T133" i="3" s="1"/>
  <c r="S36" i="3"/>
  <c r="W33" i="3"/>
  <c r="R27" i="3"/>
  <c r="R28" i="3" s="1"/>
  <c r="P28" i="3"/>
  <c r="P105" i="3" l="1"/>
  <c r="P104" i="3"/>
  <c r="W36" i="3"/>
  <c r="W37" i="3" s="1"/>
  <c r="S37" i="3"/>
  <c r="S132" i="3" s="1"/>
  <c r="T46" i="3"/>
  <c r="T45" i="3"/>
  <c r="T43" i="3"/>
  <c r="T47" i="3" s="1"/>
  <c r="P37" i="3"/>
  <c r="R37" i="3"/>
  <c r="P101" i="3" l="1"/>
  <c r="Q39" i="3" s="1"/>
  <c r="Q41" i="3" s="1"/>
  <c r="Q45" i="3" s="1"/>
  <c r="P132" i="3"/>
  <c r="P133" i="3" s="1"/>
  <c r="S38" i="3"/>
  <c r="W38" i="3" s="1"/>
  <c r="S133" i="3"/>
  <c r="C250" i="3" l="1"/>
  <c r="C252" i="3" s="1"/>
  <c r="R38" i="3"/>
  <c r="Q46" i="3"/>
  <c r="Q43" i="3"/>
  <c r="Q47" i="3" s="1"/>
  <c r="P39" i="3"/>
  <c r="P41" i="3" s="1"/>
  <c r="W39" i="3"/>
  <c r="W41" i="3" s="1"/>
  <c r="S39" i="3"/>
  <c r="S41" i="3" s="1"/>
  <c r="S45" i="3" s="1"/>
  <c r="R39" i="3" l="1"/>
  <c r="R41" i="3" s="1"/>
  <c r="P45" i="3"/>
  <c r="W49" i="3"/>
  <c r="W46" i="3" s="1"/>
  <c r="P46" i="3"/>
  <c r="S46" i="3"/>
  <c r="S43" i="3"/>
  <c r="S47" i="3" s="1"/>
  <c r="W48" i="3"/>
  <c r="W45" i="3" s="1"/>
  <c r="W43" i="3"/>
  <c r="C259" i="3"/>
  <c r="C5" i="3"/>
  <c r="R49" i="3" l="1"/>
  <c r="R46" i="3" s="1"/>
  <c r="R48" i="3"/>
  <c r="R45" i="3" s="1"/>
  <c r="W47" i="3"/>
  <c r="C260" i="3"/>
  <c r="C261" i="3"/>
  <c r="P124" i="3"/>
  <c r="P42" i="3" s="1"/>
  <c r="C6" i="3" l="1"/>
  <c r="P43" i="3"/>
  <c r="P47" i="3" s="1"/>
  <c r="R42" i="3"/>
  <c r="R43" i="3" s="1"/>
  <c r="R47" i="3" s="1"/>
</calcChain>
</file>

<file path=xl/comments1.xml><?xml version="1.0" encoding="utf-8"?>
<comments xmlns="http://schemas.openxmlformats.org/spreadsheetml/2006/main">
  <authors>
    <author>newuser</author>
  </authors>
  <commentList>
    <comment ref="Q20" authorId="0" shapeId="0">
      <text>
        <r>
          <rPr>
            <b/>
            <sz val="9"/>
            <color indexed="81"/>
            <rFont val="Tahoma"/>
            <family val="2"/>
          </rPr>
          <t>newuser:</t>
        </r>
        <r>
          <rPr>
            <sz val="9"/>
            <color indexed="81"/>
            <rFont val="Tahoma"/>
            <family val="2"/>
          </rPr>
          <t xml:space="preserve">
Non-cash + cash
$90-130
</t>
        </r>
      </text>
    </comment>
    <comment ref="Q22" authorId="0" shapeId="0">
      <text>
        <r>
          <rPr>
            <b/>
            <sz val="9"/>
            <color indexed="81"/>
            <rFont val="Tahoma"/>
            <family val="2"/>
          </rPr>
          <t>newuser:</t>
        </r>
        <r>
          <rPr>
            <sz val="9"/>
            <color indexed="81"/>
            <rFont val="Tahoma"/>
            <family val="2"/>
          </rPr>
          <t xml:space="preserve">
245-265
</t>
        </r>
      </text>
    </comment>
    <comment ref="Q24" authorId="0" shapeId="0">
      <text>
        <r>
          <rPr>
            <b/>
            <sz val="9"/>
            <color indexed="81"/>
            <rFont val="Tahoma"/>
            <family val="2"/>
          </rPr>
          <t>newuser:</t>
        </r>
        <r>
          <rPr>
            <sz val="9"/>
            <color indexed="81"/>
            <rFont val="Tahoma"/>
            <family val="2"/>
          </rPr>
          <t xml:space="preserve">
7.5%-8.5% of product revenue</t>
        </r>
      </text>
    </comment>
    <comment ref="Q26" authorId="0" shapeId="0">
      <text>
        <r>
          <rPr>
            <b/>
            <sz val="9"/>
            <color indexed="81"/>
            <rFont val="Tahoma"/>
            <family val="2"/>
          </rPr>
          <t>newuser:</t>
        </r>
        <r>
          <rPr>
            <sz val="9"/>
            <color indexed="81"/>
            <rFont val="Tahoma"/>
            <family val="2"/>
          </rPr>
          <t xml:space="preserve">
20-30
</t>
        </r>
      </text>
    </comment>
    <comment ref="Q30" authorId="0" shapeId="0">
      <text>
        <r>
          <rPr>
            <b/>
            <sz val="9"/>
            <color indexed="81"/>
            <rFont val="Tahoma"/>
            <family val="2"/>
          </rPr>
          <t>newuser:</t>
        </r>
        <r>
          <rPr>
            <sz val="9"/>
            <color indexed="81"/>
            <rFont val="Tahoma"/>
            <family val="2"/>
          </rPr>
          <t xml:space="preserve">
210-225
</t>
        </r>
      </text>
    </comment>
    <comment ref="Q40" authorId="0" shapeId="0">
      <text>
        <r>
          <rPr>
            <b/>
            <sz val="9"/>
            <color indexed="81"/>
            <rFont val="Tahoma"/>
            <family val="2"/>
          </rPr>
          <t>newuser:</t>
        </r>
        <r>
          <rPr>
            <sz val="9"/>
            <color indexed="81"/>
            <rFont val="Tahoma"/>
            <family val="2"/>
          </rPr>
          <t xml:space="preserve">
65-70
</t>
        </r>
      </text>
    </comment>
    <comment ref="Q48" authorId="0" shapeId="0">
      <text>
        <r>
          <rPr>
            <b/>
            <sz val="9"/>
            <color indexed="81"/>
            <rFont val="Tahoma"/>
            <family val="2"/>
          </rPr>
          <t>newuser:</t>
        </r>
        <r>
          <rPr>
            <sz val="9"/>
            <color indexed="81"/>
            <rFont val="Tahoma"/>
            <family val="2"/>
          </rPr>
          <t xml:space="preserve">
550-552
</t>
        </r>
      </text>
    </comment>
    <comment ref="Q49" authorId="0" shapeId="0">
      <text>
        <r>
          <rPr>
            <b/>
            <sz val="9"/>
            <color indexed="81"/>
            <rFont val="Tahoma"/>
            <family val="2"/>
          </rPr>
          <t>newuser:</t>
        </r>
        <r>
          <rPr>
            <sz val="9"/>
            <color indexed="81"/>
            <rFont val="Tahoma"/>
            <family val="2"/>
          </rPr>
          <t xml:space="preserve">
550-552
</t>
        </r>
      </text>
    </comment>
    <comment ref="Q56" authorId="0" shapeId="0">
      <text>
        <r>
          <rPr>
            <b/>
            <sz val="9"/>
            <color indexed="81"/>
            <rFont val="Tahoma"/>
            <family val="2"/>
          </rPr>
          <t>newuser:</t>
        </r>
        <r>
          <rPr>
            <sz val="9"/>
            <color indexed="81"/>
            <rFont val="Tahoma"/>
            <family val="2"/>
          </rPr>
          <t xml:space="preserve">
223-227 (MBbl/d)
*90 days
Excluding East Chalk, Wamsutter, Ozona, Elm Grove, Hugoto, Hearne, Carthage Divestitures
</t>
        </r>
      </text>
    </comment>
    <comment ref="Q58" authorId="0" shapeId="0">
      <text>
        <r>
          <rPr>
            <b/>
            <sz val="9"/>
            <color indexed="81"/>
            <rFont val="Tahoma"/>
            <family val="2"/>
          </rPr>
          <t>newuser:</t>
        </r>
        <r>
          <rPr>
            <sz val="9"/>
            <color indexed="81"/>
            <rFont val="Tahoma"/>
            <family val="2"/>
          </rPr>
          <t xml:space="preserve">
1685-1725 (MMcf/d)
*90 days
Excluding East Chalk, Wamsutter, Ozona, Elm Grove, Hugoto, Hearne, Carthage Divestitures
</t>
        </r>
      </text>
    </comment>
    <comment ref="Q60" authorId="0" shapeId="0">
      <text>
        <r>
          <rPr>
            <b/>
            <sz val="9"/>
            <color indexed="81"/>
            <rFont val="Tahoma"/>
            <family val="2"/>
          </rPr>
          <t>newuser:</t>
        </r>
        <r>
          <rPr>
            <sz val="9"/>
            <color indexed="81"/>
            <rFont val="Tahoma"/>
            <family val="2"/>
          </rPr>
          <t xml:space="preserve">
101-105 (MBbl/d)
*90 days
Excluding East Chalk, Wamsutter, Ozona, Elm Grove, Hugoto, Hearne, Carthage Divestitures</t>
        </r>
      </text>
    </comment>
    <comment ref="Q63" authorId="0" shapeId="0">
      <text>
        <r>
          <rPr>
            <b/>
            <sz val="9"/>
            <color indexed="81"/>
            <rFont val="Tahoma"/>
            <family val="2"/>
          </rPr>
          <t>newuser:</t>
        </r>
        <r>
          <rPr>
            <sz val="9"/>
            <color indexed="81"/>
            <rFont val="Tahoma"/>
            <family val="2"/>
          </rPr>
          <t xml:space="preserve">
Algeria and Ghana
84-87 MBbl/d * 90 days
 </t>
        </r>
      </text>
    </comment>
    <comment ref="Q67" authorId="0" shapeId="0">
      <text>
        <r>
          <rPr>
            <b/>
            <sz val="9"/>
            <color indexed="81"/>
            <rFont val="Tahoma"/>
            <family val="2"/>
          </rPr>
          <t xml:space="preserve">newuser:
</t>
        </r>
        <r>
          <rPr>
            <sz val="9"/>
            <color indexed="81"/>
            <rFont val="Tahoma"/>
            <family val="2"/>
          </rPr>
          <t xml:space="preserve">Algeria
6-8 MBbl/d * 90d
</t>
        </r>
      </text>
    </comment>
  </commentList>
</comments>
</file>

<file path=xl/sharedStrings.xml><?xml version="1.0" encoding="utf-8"?>
<sst xmlns="http://schemas.openxmlformats.org/spreadsheetml/2006/main" count="385" uniqueCount="261">
  <si>
    <t>(Dollars in millions, except per share data)</t>
  </si>
  <si>
    <t>Multiple Valuation</t>
  </si>
  <si>
    <t>Sept-14</t>
  </si>
  <si>
    <t>June-14</t>
  </si>
  <si>
    <t>Mar-14</t>
  </si>
  <si>
    <t>Dec-14</t>
  </si>
  <si>
    <t>Mar-15</t>
  </si>
  <si>
    <t>June-15</t>
  </si>
  <si>
    <t>Sept-15</t>
  </si>
  <si>
    <t>Dec-16</t>
  </si>
  <si>
    <t>Dec-15</t>
  </si>
  <si>
    <t>Mar-16</t>
  </si>
  <si>
    <t>June-16</t>
  </si>
  <si>
    <t>Sept-16</t>
  </si>
  <si>
    <t>Mar-17</t>
  </si>
  <si>
    <t>June-17</t>
  </si>
  <si>
    <t>Sept-17</t>
  </si>
  <si>
    <t>Dec-17</t>
  </si>
  <si>
    <t xml:space="preserve">Segment Data &amp; Income Statement Ratios </t>
  </si>
  <si>
    <t>FY 2014</t>
  </si>
  <si>
    <t>FY 2016E</t>
  </si>
  <si>
    <t>FY 2017E</t>
  </si>
  <si>
    <t xml:space="preserve">Plus net cash/(debt) per share </t>
  </si>
  <si>
    <t>Implied P/E 12-month target value</t>
  </si>
  <si>
    <t>1Q14</t>
  </si>
  <si>
    <t>2Q14</t>
  </si>
  <si>
    <t>3Q14</t>
  </si>
  <si>
    <t>4Q14</t>
  </si>
  <si>
    <t>1Q15</t>
  </si>
  <si>
    <t>2Q15</t>
  </si>
  <si>
    <t>1Q16E</t>
  </si>
  <si>
    <t>2Q16E</t>
  </si>
  <si>
    <t>3Q16E</t>
  </si>
  <si>
    <t>4Q16E</t>
  </si>
  <si>
    <t>1Q17E</t>
  </si>
  <si>
    <t>2Q17E</t>
  </si>
  <si>
    <t>3Q17E</t>
  </si>
  <si>
    <t>4Q17E</t>
  </si>
  <si>
    <t>3Q15</t>
  </si>
  <si>
    <t>Gross margin (GAAP)</t>
  </si>
  <si>
    <t>Effective income tax rate</t>
  </si>
  <si>
    <t>Operating Income Margin (GAAP)</t>
  </si>
  <si>
    <t>Operating Income Margin (Non-GAAP)</t>
  </si>
  <si>
    <t>Interest expense</t>
  </si>
  <si>
    <t>Other income (expense), net</t>
  </si>
  <si>
    <t>($ in millions  unless otherwise noted)</t>
  </si>
  <si>
    <t>Ratio Analysis</t>
  </si>
  <si>
    <t>Gross margin (Non-GAAP)</t>
  </si>
  <si>
    <t>Non-GAAP Adjustment Analysis</t>
  </si>
  <si>
    <t>4Q15</t>
  </si>
  <si>
    <t>FY 2015</t>
  </si>
  <si>
    <t>Implied target price band</t>
  </si>
  <si>
    <t>Mean monthly return</t>
  </si>
  <si>
    <t xml:space="preserve">Standard deviation </t>
  </si>
  <si>
    <t>Implied upper bound</t>
  </si>
  <si>
    <t>Implied Lower bound</t>
  </si>
  <si>
    <t>Risk Estimation Summary (b)</t>
  </si>
  <si>
    <t>Implied P/E target value</t>
  </si>
  <si>
    <t>By obtaining this model you are deemed to have read and agreed to our Terms of Use. Visit our website for details: https://www.gutenbergresearch.com/terms-of-use.html</t>
  </si>
  <si>
    <t>GR</t>
  </si>
  <si>
    <t>BALANCE SHEET</t>
  </si>
  <si>
    <t>Total Assets</t>
  </si>
  <si>
    <t>Accounts payable</t>
  </si>
  <si>
    <t>Other long-term liabilities</t>
  </si>
  <si>
    <t>Total shareholders' equity</t>
  </si>
  <si>
    <t>Total liabilities and equity</t>
  </si>
  <si>
    <t>CASH FLOW STATEMENT</t>
  </si>
  <si>
    <t>Cash flows from operating activities</t>
  </si>
  <si>
    <t>Net income (loss)</t>
  </si>
  <si>
    <t>Cash flows from investing activities</t>
  </si>
  <si>
    <t>Cash flows from financing activities</t>
  </si>
  <si>
    <t>Net increase (decrease) in cash and equivalents</t>
  </si>
  <si>
    <t>Effect of exchange rate changes on cash</t>
  </si>
  <si>
    <t>Cash and equivalents at beginning of period</t>
  </si>
  <si>
    <t>Cash and equivalents at end of period</t>
  </si>
  <si>
    <t>Net cash/(debt) per diluted share (Non-GAAP)</t>
  </si>
  <si>
    <t xml:space="preserve">Common stock </t>
  </si>
  <si>
    <t>Anadarko Petroleum Corporation Income Statement</t>
  </si>
  <si>
    <t xml:space="preserve">Revenues and Other </t>
  </si>
  <si>
    <t>Oil and condensate sales</t>
  </si>
  <si>
    <t xml:space="preserve">Natural - gas sales </t>
  </si>
  <si>
    <t>Natural-gas liquids sales</t>
  </si>
  <si>
    <t xml:space="preserve">Gathering, processing, and marketing sales </t>
  </si>
  <si>
    <t>Gains (losses) on divestitures and other, net</t>
  </si>
  <si>
    <t>Total</t>
  </si>
  <si>
    <t>1Q16</t>
  </si>
  <si>
    <t>2Q16</t>
  </si>
  <si>
    <t>Cost and Expenses</t>
  </si>
  <si>
    <t>Oil and gas operating</t>
  </si>
  <si>
    <t>Oil and gas transportation</t>
  </si>
  <si>
    <t>Exploration</t>
  </si>
  <si>
    <t>Gathering, processing, and marketing</t>
  </si>
  <si>
    <t xml:space="preserve">General and administrative </t>
  </si>
  <si>
    <t>Depreciation, depletion, and amortization</t>
  </si>
  <si>
    <t>Other operating expense</t>
  </si>
  <si>
    <t xml:space="preserve">Total </t>
  </si>
  <si>
    <t xml:space="preserve">Operating Income (Loss) </t>
  </si>
  <si>
    <t>Other (Income) Expense</t>
  </si>
  <si>
    <t xml:space="preserve">Other taxes </t>
  </si>
  <si>
    <t>Impairments</t>
  </si>
  <si>
    <t>(Gains) losses on derivatives, net</t>
  </si>
  <si>
    <t>Tronox-related contingent loss</t>
  </si>
  <si>
    <t xml:space="preserve">Income tax expense (benefit) </t>
  </si>
  <si>
    <t>Net income (Loss)</t>
  </si>
  <si>
    <t xml:space="preserve">Income (Loss) before income taxes </t>
  </si>
  <si>
    <t>Net income (Loss) attributable to noncontrolling interests</t>
  </si>
  <si>
    <t>Net income (Loss) attributable to Common Stockholders</t>
  </si>
  <si>
    <t>Per Common Share</t>
  </si>
  <si>
    <t>Net income (loss) attributable to common stockholders - basic</t>
  </si>
  <si>
    <t>Net income (loss) attributable to common stockholders - diluted</t>
  </si>
  <si>
    <t>Average Number of Common Shares Outstanding - Basic</t>
  </si>
  <si>
    <t>Average Number of Common Shares Outstanding - Diluted</t>
  </si>
  <si>
    <t>Dividends (per Common share)</t>
  </si>
  <si>
    <t>Deepwater Horizon contingent loss</t>
  </si>
  <si>
    <t xml:space="preserve">Accounts receivables (net of allowance) </t>
  </si>
  <si>
    <t>Current Assets</t>
  </si>
  <si>
    <t>Cash and cash equivalents</t>
  </si>
  <si>
    <t xml:space="preserve">Customers </t>
  </si>
  <si>
    <t>Other Current Assets</t>
  </si>
  <si>
    <t xml:space="preserve">Properties and Equipment </t>
  </si>
  <si>
    <t>Cost</t>
  </si>
  <si>
    <t>Less accumulated depreciation, depletion, and amortization</t>
  </si>
  <si>
    <t xml:space="preserve">Net properties and equipment </t>
  </si>
  <si>
    <t>Other Assets</t>
  </si>
  <si>
    <t>Goodwill and Other Intangible Assets</t>
  </si>
  <si>
    <t>Current asset retirement obligations</t>
  </si>
  <si>
    <t>Interest payable</t>
  </si>
  <si>
    <t>Other taxes payable</t>
  </si>
  <si>
    <t>Accrued expenses</t>
  </si>
  <si>
    <t>Short-term debt</t>
  </si>
  <si>
    <t>Curreent Liabilities</t>
  </si>
  <si>
    <t>Long-term debt</t>
  </si>
  <si>
    <t>Deffered income taxes</t>
  </si>
  <si>
    <t>Asset retirement obligations</t>
  </si>
  <si>
    <t>Other</t>
  </si>
  <si>
    <t>Stockholders' Equity</t>
  </si>
  <si>
    <t>Paid-in capital</t>
  </si>
  <si>
    <t>Retained earnings</t>
  </si>
  <si>
    <t>Treasury stock</t>
  </si>
  <si>
    <t>Accumulated other comprehensive income (loss)</t>
  </si>
  <si>
    <t xml:space="preserve">Noncontrolling interests </t>
  </si>
  <si>
    <t>Total Equity</t>
  </si>
  <si>
    <t>Others</t>
  </si>
  <si>
    <t>Litigation-related contingent liability [Deepwater Horizon]</t>
  </si>
  <si>
    <t>Litigation-related contingent liability [Tronox Litigation]</t>
  </si>
  <si>
    <t>Adjustments to reconcile net income (loss) to net cash provided by (used in) operating activities</t>
  </si>
  <si>
    <t xml:space="preserve">Depreciation, depletion, and amortization </t>
  </si>
  <si>
    <t xml:space="preserve">Dry hole expense and impraiments of unproved properties </t>
  </si>
  <si>
    <t>(Gains) losses on divestitures, net</t>
  </si>
  <si>
    <t>Total (gains) losses on derivatives, net</t>
  </si>
  <si>
    <t>Operating portion of net cash received (paid) in settlement of derivative instrument</t>
  </si>
  <si>
    <t>Changes in operating assets and liabilities</t>
  </si>
  <si>
    <t>Increase (decrease) in accounts payable and accrued expenses</t>
  </si>
  <si>
    <t>Other items, net</t>
  </si>
  <si>
    <t>Net cash provided by (used) operating activities</t>
  </si>
  <si>
    <t>Additions to properties and equipment and dry hole costs</t>
  </si>
  <si>
    <t>Divestitures of properties and equipment and other assets</t>
  </si>
  <si>
    <t>Other, net</t>
  </si>
  <si>
    <t>Borrowings, net of issuance costs</t>
  </si>
  <si>
    <t>Repayments of debt</t>
  </si>
  <si>
    <t>Financing portion of net cash received (paid) for derivatives</t>
  </si>
  <si>
    <t>Increase (decrease) in outstanding checks</t>
  </si>
  <si>
    <t>Dividends paid</t>
  </si>
  <si>
    <t>Repurchase of common stock</t>
  </si>
  <si>
    <t>Issuance of common stock, including tax benefit on share-based compensation awards</t>
  </si>
  <si>
    <t>Distributions to noncontrolling interest owners</t>
  </si>
  <si>
    <t>Proceeds from conveyance of future hard minerals royalty revenues, net of transaction costs</t>
  </si>
  <si>
    <t>Net cash provided by (used for) investing activities</t>
  </si>
  <si>
    <t>Net cash provided by (used for) financing activities</t>
  </si>
  <si>
    <t>Subsidiary Equity Transactions [Member]</t>
  </si>
  <si>
    <t>Sale of subsidiary units</t>
  </si>
  <si>
    <t>Tronox Litigation [Member] | Judicial Ruling [Member]</t>
  </si>
  <si>
    <t>Changes in Assets and liabilities</t>
  </si>
  <si>
    <t>Litigation-related contigent loss</t>
  </si>
  <si>
    <t>Excluding Certain International Locations [Member]</t>
  </si>
  <si>
    <t>Adjustments to reconcile net income (loss) to net cash provided by operating activities</t>
  </si>
  <si>
    <t>Deferred Income Taxes</t>
  </si>
  <si>
    <t>Deferred Income Tax</t>
  </si>
  <si>
    <t xml:space="preserve">Loss on early extinguishment of debt </t>
  </si>
  <si>
    <t>Deepwater Horizon [Member] | Pending Litigation [Member]</t>
  </si>
  <si>
    <t>Acquisition of Businesses</t>
  </si>
  <si>
    <t>Equity Component of 7.5% Tangible Equity Units [Member]</t>
  </si>
  <si>
    <t>Proceeds from equity issuances</t>
  </si>
  <si>
    <t xml:space="preserve">International </t>
  </si>
  <si>
    <t>United States</t>
  </si>
  <si>
    <t>Sales Volume</t>
  </si>
  <si>
    <t>Oil and condensate sales (MMBbls)</t>
  </si>
  <si>
    <t>Natural - gas sales (Bcf)</t>
  </si>
  <si>
    <t>Natural-gas liquids sales (MMBbls)</t>
  </si>
  <si>
    <t>Natural - gas sales (USD per Mcf)</t>
  </si>
  <si>
    <t>Oil and condensate sales (USD per Bbl)</t>
  </si>
  <si>
    <t>Natural-gas liquids sales (USD per Bbl)</t>
  </si>
  <si>
    <t xml:space="preserve">Oil &amp; Condensate sales volume growth rate: United States (QoQ) </t>
  </si>
  <si>
    <t>NG sales volume growth rate: United States (QoQ)</t>
  </si>
  <si>
    <t>NGL sales volume growth rate: United States (QoQ)</t>
  </si>
  <si>
    <t xml:space="preserve">Oil &amp; Condensate sales volume growth rate: Intl. (QoQ) </t>
  </si>
  <si>
    <t>NG sales volume growth rate: Intl. (QoQ)</t>
  </si>
  <si>
    <t>Average Sales Prices (ASP)</t>
  </si>
  <si>
    <t>Gathering, processing, and marketing as a % of revenue</t>
  </si>
  <si>
    <t>General and administrative as a % of revenue</t>
  </si>
  <si>
    <t>Depreciation, depletion, and amortization as a % of revenue</t>
  </si>
  <si>
    <t xml:space="preserve">Average interest expense </t>
  </si>
  <si>
    <t>Other taxes as a % of revenue</t>
  </si>
  <si>
    <t>Impairments as a % of revenue</t>
  </si>
  <si>
    <t>Other operating expense as a % of revenue</t>
  </si>
  <si>
    <t>(Gains) losses on derivatives (net) as a % of revenue</t>
  </si>
  <si>
    <t>Other income/expense (net) as a % of revenue</t>
  </si>
  <si>
    <t>Total gains (losses) on derivatives, net less net cash from settlement of commodity derivatives</t>
  </si>
  <si>
    <t>Gains (losses) on divestitures, net</t>
  </si>
  <si>
    <t xml:space="preserve">Impairments </t>
  </si>
  <si>
    <t>Restructuring charges</t>
  </si>
  <si>
    <t>Loss on early extinguishment of debt</t>
  </si>
  <si>
    <t>Third-party well and platform decommissioning obligation</t>
  </si>
  <si>
    <t>Change in uncertain tax positions (FIN 48)</t>
  </si>
  <si>
    <t xml:space="preserve">(Increase) decrease in accounts receivable </t>
  </si>
  <si>
    <t>Discretionary cash flow from operations (Non-GAAP)</t>
  </si>
  <si>
    <t>Current taxes related to asset monetizations and Tronox tax position (Non-GAAP)</t>
  </si>
  <si>
    <t>Certain nonoperating and other excluded items (Non-GAAP)</t>
  </si>
  <si>
    <t>Less certain items affecting comparability (Non-GAAP)</t>
  </si>
  <si>
    <t>Adjusted net income (loss) (Non-GAAP)</t>
  </si>
  <si>
    <t>Net income (loss) attributable to common stockholders - diluted (Non-GAAP)</t>
  </si>
  <si>
    <t>Less CAPEX (Non-GAAP)</t>
  </si>
  <si>
    <t>Free cash flow (Non-GAAP)</t>
  </si>
  <si>
    <t>Early Termination of rig</t>
  </si>
  <si>
    <t xml:space="preserve">Interest Expense related to Tronox settlement </t>
  </si>
  <si>
    <t>Adjustments for certain items affecting comparability (after tax) (NI)</t>
  </si>
  <si>
    <t>Total Debt</t>
  </si>
  <si>
    <t>Less cash and cash equivalents</t>
  </si>
  <si>
    <t>Net Debt</t>
  </si>
  <si>
    <t>Adjusted Capitalization</t>
  </si>
  <si>
    <t>Non-GAAP Adjustments to Balance Sheet</t>
  </si>
  <si>
    <t>Clean Water Act penalty accrual</t>
  </si>
  <si>
    <t>Settlement accrual</t>
  </si>
  <si>
    <t>Inventory adjustments</t>
  </si>
  <si>
    <t>Environmental reserves</t>
  </si>
  <si>
    <t>Other adjustments</t>
  </si>
  <si>
    <t>Litigation settlement</t>
  </si>
  <si>
    <t>Cash received in early settlement of oil derivatives</t>
  </si>
  <si>
    <t>Consolidated Adjusted EBITDAX</t>
  </si>
  <si>
    <t>Adjusted EBITDAX Margin (%)</t>
  </si>
  <si>
    <t>NGL sales volume growth rate: Intl. (QoQ)</t>
  </si>
  <si>
    <t>Revenue by Product</t>
  </si>
  <si>
    <t>Oil and condensate sales ($M)</t>
  </si>
  <si>
    <t>Natural - gas sales ($M)</t>
  </si>
  <si>
    <t>Natural-gas liquids sales ($M)</t>
  </si>
  <si>
    <t>Hedge and other reconciling items</t>
  </si>
  <si>
    <t>Oil and gas operating as a % of oil revenue</t>
  </si>
  <si>
    <t>Oil and gas transportation as a % of oil revenue</t>
  </si>
  <si>
    <t>Exploration as a % of oil revenue</t>
  </si>
  <si>
    <t>NTM P/EBITDAX 3-month average</t>
  </si>
  <si>
    <t>NTM P/EBITDAX  3-month high</t>
  </si>
  <si>
    <t>NTM P/EBITDAX  3-month low</t>
  </si>
  <si>
    <t>P/EBITDAX  used for valuation</t>
  </si>
  <si>
    <t>NTM Adjusted EBITDAX per share</t>
  </si>
  <si>
    <r>
      <rPr>
        <b/>
        <sz val="11"/>
        <color theme="1"/>
        <rFont val="Calibri"/>
        <family val="2"/>
        <scheme val="minor"/>
      </rPr>
      <t>NOTE:</t>
    </r>
    <r>
      <rPr>
        <sz val="11"/>
        <color theme="1"/>
        <rFont val="Calibri"/>
        <family val="2"/>
        <scheme val="minor"/>
      </rPr>
      <t xml:space="preserve"> There are many different multiples which could be applied to various earnings metrics, each of which result in different valuations. This calculation is for demonstration only. Please refer to our disclosures for important details.  Our Multiple valuation metrics are kept constant at certain points during each quarter to isolate the impact from changes in earnings estimates.   </t>
    </r>
    <r>
      <rPr>
        <b/>
        <sz val="11"/>
        <color theme="3"/>
        <rFont val="Calibri"/>
        <family val="2"/>
        <scheme val="minor"/>
      </rPr>
      <t>The multiple  in this section was last updated on 9/11/2016.</t>
    </r>
  </si>
  <si>
    <t xml:space="preserve">(a) Multiples are calculated excluding the value of net cash/(debt) and are based on the 3-month average daily share price compared to the Adjusted EBTIDAX per share estimates for the next twelve month period. </t>
  </si>
  <si>
    <t>Tax Indemnification</t>
  </si>
  <si>
    <t>3Q16</t>
  </si>
  <si>
    <t>Purple cells = Company guidance (last update 10/31/16)</t>
  </si>
  <si>
    <r>
      <t xml:space="preserve">(b) There are many approaches to estimating a stock's risk. In this demonstration we use the standard deviation and the monthly average return over the last 12 months to construct an estimated price target range. Standard deviation is a measure of dispersion around the mean monthly return. The larger the historic standard deviation the greater the volatility in prices. Using a normal distribution, approximately 95% of observations fall within 2 standard deviations of the mean. This approach has multiple limitations including: 1) it assumes that historic results can predict future return characteristics, and 2) it assumes the stock's returns are normally distributed. This analysis is for demonstration only, refer to full Terms of Use on our website GutenbergResearch.com. </t>
    </r>
    <r>
      <rPr>
        <b/>
        <sz val="11"/>
        <color theme="4" tint="-0.499984740745262"/>
        <rFont val="Calibri"/>
        <family val="2"/>
        <scheme val="minor"/>
      </rPr>
      <t xml:space="preserve">The mean &amp; standard deviation in this section were last updated on 11/28/2016. </t>
    </r>
  </si>
  <si>
    <t>Blue cells = Contributor estimates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</si>
</sst>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3">
    <numFmt numFmtId="5" formatCode="&quot;$&quot;#,##0_);\(&quot;$&quot;#,##0\)"/>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0.0\x"/>
    <numFmt numFmtId="168" formatCode="_(* #,##0.000_);_(* \(#,##0.000\);_(* &quot;-&quot;??_);_(@_)"/>
    <numFmt numFmtId="169" formatCode="#,##0.0_);\(#,##0.0\)"/>
    <numFmt numFmtId="170" formatCode="#,##0.0\ ;\(#,##0.0\)"/>
    <numFmt numFmtId="171" formatCode="#,##0\ ;\(#,##0.0\)"/>
    <numFmt numFmtId="172" formatCode="&quot;$&quot;0.00_)"/>
    <numFmt numFmtId="173" formatCode="#,##0&quot;%&quot;"/>
    <numFmt numFmtId="174" formatCode="#,##0___);\(#,##0.00\)"/>
    <numFmt numFmtId="175" formatCode="0%;\(0%\)"/>
    <numFmt numFmtId="176" formatCode="_(* #,##0,,_);_(* \(#,##0,,\);_(* &quot;-&quot;_)"/>
    <numFmt numFmtId="177" formatCode="_(* #,##0_);[Red]_(* \(#,##0\);_(* &quot;&quot;&quot;&quot;&quot;&quot;&quot;&quot;\ \-\ &quot;&quot;&quot;&quot;&quot;&quot;&quot;&quot;_);_(@_)"/>
    <numFmt numFmtId="178" formatCode="_(* #,##0,_);[Red]_(* \(#,##0,\);_(* &quot;&quot;&quot;&quot;&quot;&quot;&quot;&quot;\ \-\ &quot;&quot;&quot;&quot;&quot;&quot;&quot;&quot;_);_(@_)"/>
    <numFmt numFmtId="179" formatCode="0%;\(0%\);;"/>
    <numFmt numFmtId="180" formatCode="0%;\(0%\);&quot;-&quot;"/>
    <numFmt numFmtId="181" formatCode="#,##0_);[Red]\(#,##0\);&quot;-&quot;"/>
    <numFmt numFmtId="182" formatCode="*-"/>
    <numFmt numFmtId="183" formatCode="#,##0;\-#,##0;&quot;-&quot;"/>
    <numFmt numFmtId="184" formatCode="_._.&quot;$&quot;* \(#,##0\)_%;_._.&quot;$&quot;* #,##0_)_%;_._.&quot;$&quot;* 0_)_%;_._.@_)_%"/>
    <numFmt numFmtId="185" formatCode="_._.* \(#,##0\)_%;_._.* #,##0_)_%;_._.* 0_)_%;_._.@_)_%"/>
    <numFmt numFmtId="186" formatCode="&quot;$&quot;#,##0;\-&quot;$&quot;#,##0"/>
    <numFmt numFmtId="187" formatCode="_-&quot;$&quot;* #,##0_-;\-&quot;$&quot;* #,##0_-;_-&quot;$&quot;* &quot;-&quot;_-;_-@_-"/>
    <numFmt numFmtId="188" formatCode="_-&quot;$&quot;* #,##0.00_-;\-&quot;$&quot;* #,##0.00_-;_-&quot;$&quot;* &quot;-&quot;??_-;_-@_-"/>
    <numFmt numFmtId="189" formatCode="#,##0;\(#,##0\)"/>
    <numFmt numFmtId="190" formatCode="&quot;SFr.&quot;\ #,##0.00;&quot;SFr.&quot;\ \-#,##0.00"/>
    <numFmt numFmtId="191" formatCode="#,##0.00;\-#,##0.00;&quot;-&quot;"/>
    <numFmt numFmtId="192" formatCode="* #,##0.00_);\(#,##0.00\)"/>
    <numFmt numFmtId="193" formatCode="_([$€-2]* #,##0.00_);_([$€-2]* \(#,##0.00\);_([$€-2]* &quot;-&quot;??_)"/>
    <numFmt numFmtId="194" formatCode="0.0_)\%;\(0.0\)\%;0.0_)\%;@_)_%"/>
    <numFmt numFmtId="195" formatCode="#,##0.0_)_%;\(#,##0.0\)_%;0.0_)_%;@_)_%"/>
    <numFmt numFmtId="196" formatCode="#,##0.0_);\(#,##0.0\);#,##0.0_);@_)"/>
    <numFmt numFmtId="197" formatCode="&quot;$&quot;_(#,##0.00_);&quot;$&quot;\(#,##0.00\);&quot;$&quot;_(0.00_);@_)"/>
    <numFmt numFmtId="198" formatCode="#,##0.00_);\(#,##0.00\);0.00_);@_)"/>
    <numFmt numFmtId="199" formatCode="\€_(#,##0.00_);\€\(#,##0.00\);\€_(0.00_);@_)"/>
    <numFmt numFmtId="200" formatCode="#,##0_)\x;\(#,##0\)\x;0_)\x;@_)_x"/>
    <numFmt numFmtId="201" formatCode="#,##0_)_x;\(#,##0\)_x;0_)_x;@_)_x"/>
    <numFmt numFmtId="202" formatCode="#,##0.0000;\-#,##0.0000"/>
    <numFmt numFmtId="203" formatCode="#,##0.000000;\-#,##0.000000"/>
    <numFmt numFmtId="204" formatCode="#,##0.0;\-#,##0.0"/>
    <numFmt numFmtId="205" formatCode="#,##0.000;\-#,##0.000"/>
    <numFmt numFmtId="206" formatCode="#,##0.00000;\-#,##0.00000"/>
    <numFmt numFmtId="207" formatCode="#,##0.0000000;\-#,##0.0000000"/>
    <numFmt numFmtId="208" formatCode="#,##0.00000000;\-#,##0.00000000"/>
    <numFmt numFmtId="209" formatCode="#,##0.000000000;\-#,##0.000000000"/>
    <numFmt numFmtId="210" formatCode="#,##0.0000000000;\-#,##0.0000000000"/>
    <numFmt numFmtId="211" formatCode="_-* #,##0\ _D_M_-;\-* #,##0\ _D_M_-;_-* &quot;-&quot;\ _D_M_-;_-@_-"/>
    <numFmt numFmtId="212" formatCode="_-* #,##0.00\ _D_M_-;\-* #,##0.00\ _D_M_-;_-* &quot;-&quot;??\ _D_M_-;_-@_-"/>
    <numFmt numFmtId="213" formatCode="_-* #,##0\ &quot;DM&quot;_-;\-* #,##0\ &quot;DM&quot;_-;_-* &quot;-&quot;\ &quot;DM&quot;_-;_-@_-"/>
    <numFmt numFmtId="214" formatCode="_-* #,##0.00\ &quot;DM&quot;_-;\-* #,##0.00\ &quot;DM&quot;_-;_-* &quot;-&quot;??\ &quot;DM&quot;_-;_-@_-"/>
    <numFmt numFmtId="215" formatCode="0.0"/>
    <numFmt numFmtId="216" formatCode="0.000000"/>
    <numFmt numFmtId="217" formatCode="&quot;£&quot;#,##0;[Red]\-&quot;£&quot;#,##0"/>
    <numFmt numFmtId="218" formatCode="0.00_);[Red]\(0.00\)"/>
    <numFmt numFmtId="219" formatCode="&quot;£&quot;#,##0.00;[Red]\-&quot;£&quot;#,##0.00"/>
    <numFmt numFmtId="220" formatCode="_(* #,##0.000_);_(* \(#,##0.000\);_(* &quot;-&quot;_);_(@_)"/>
    <numFmt numFmtId="221" formatCode="_-&quot;£&quot;* #,##0_-;\-&quot;£&quot;* #,##0_-;_-&quot;£&quot;* &quot;-&quot;_-;_-@_-"/>
    <numFmt numFmtId="222" formatCode="_(&quot;$&quot;* #,##0,_);_(&quot;$&quot;* \(#,##0,\);_(&quot;$&quot;* &quot;-&quot;_);_(@_)"/>
    <numFmt numFmtId="223" formatCode="&quot;SFr.&quot;#,##0;[Red]&quot;SFr.&quot;\-#,##0"/>
    <numFmt numFmtId="224" formatCode="_-&quot;£&quot;* #,##0.00_-;\-&quot;£&quot;* #,##0.00_-;_-&quot;£&quot;* &quot;-&quot;??_-;_-@_-"/>
    <numFmt numFmtId="225" formatCode="#,##0;[Red]\(#,##0\)"/>
    <numFmt numFmtId="226" formatCode="0\x"/>
    <numFmt numFmtId="227" formatCode="0.000%"/>
    <numFmt numFmtId="228" formatCode="_(* #,##0.00000_);_(* \(#,##0.00000\);_(* &quot;-&quot;??_);_(@_)"/>
    <numFmt numFmtId="229" formatCode="0.0000%"/>
    <numFmt numFmtId="230" formatCode="&quot;$&quot;#,##0"/>
  </numFmts>
  <fonts count="73" x14ac:knownFonts="1">
    <font>
      <sz val="11"/>
      <color theme="1"/>
      <name val="Calibri"/>
      <family val="2"/>
      <scheme val="minor"/>
    </font>
    <font>
      <sz val="11"/>
      <color theme="1"/>
      <name val="Calibri"/>
      <family val="2"/>
      <scheme val="minor"/>
    </font>
    <font>
      <b/>
      <sz val="11"/>
      <color theme="1"/>
      <name val="Calibri"/>
      <family val="2"/>
      <scheme val="minor"/>
    </font>
    <font>
      <b/>
      <u val="singleAccounting"/>
      <sz val="11"/>
      <color theme="1"/>
      <name val="Calibri"/>
      <family val="2"/>
      <scheme val="minor"/>
    </font>
    <font>
      <u val="singleAccounting"/>
      <sz val="11"/>
      <color theme="1"/>
      <name val="Calibri"/>
      <family val="2"/>
      <scheme val="minor"/>
    </font>
    <font>
      <sz val="11"/>
      <color rgb="FF7030A0"/>
      <name val="Calibri"/>
      <family val="2"/>
      <scheme val="minor"/>
    </font>
    <font>
      <sz val="11"/>
      <color theme="3"/>
      <name val="Calibri"/>
      <family val="2"/>
      <scheme val="minor"/>
    </font>
    <font>
      <sz val="11"/>
      <color theme="9" tint="-0.499984740745262"/>
      <name val="Calibri"/>
      <family val="2"/>
      <scheme val="minor"/>
    </font>
    <font>
      <b/>
      <u/>
      <sz val="11"/>
      <color theme="1"/>
      <name val="Calibri"/>
      <family val="2"/>
      <scheme val="minor"/>
    </font>
    <font>
      <sz val="10"/>
      <name val="Arial"/>
      <family val="2"/>
    </font>
    <font>
      <sz val="11"/>
      <name val="Calibri"/>
      <family val="2"/>
      <scheme val="minor"/>
    </font>
    <font>
      <u val="singleAccounting"/>
      <sz val="11"/>
      <name val="Calibri"/>
      <family val="2"/>
      <scheme val="minor"/>
    </font>
    <font>
      <b/>
      <sz val="11"/>
      <name val="Calibri"/>
      <family val="2"/>
      <scheme val="minor"/>
    </font>
    <font>
      <sz val="11"/>
      <color rgb="FFFF0000"/>
      <name val="Calibri"/>
      <family val="2"/>
      <scheme val="minor"/>
    </font>
    <font>
      <sz val="11"/>
      <name val="Calibri"/>
      <family val="2"/>
    </font>
    <font>
      <b/>
      <u/>
      <sz val="12"/>
      <color theme="0" tint="-0.14999847407452621"/>
      <name val="Calibri"/>
      <family val="2"/>
      <scheme val="minor"/>
    </font>
    <font>
      <b/>
      <sz val="11"/>
      <color theme="0" tint="-0.14999847407452621"/>
      <name val="Calibri"/>
      <family val="2"/>
      <scheme val="minor"/>
    </font>
    <font>
      <sz val="10"/>
      <color theme="0" tint="-0.14999847407452621"/>
      <name val="Calibri"/>
      <family val="2"/>
      <scheme val="minor"/>
    </font>
    <font>
      <b/>
      <u val="singleAccounting"/>
      <sz val="11"/>
      <color theme="0" tint="-0.14999847407452621"/>
      <name val="Calibri"/>
      <family val="2"/>
      <scheme val="minor"/>
    </font>
    <font>
      <b/>
      <u val="singleAccounting"/>
      <sz val="11"/>
      <name val="Calibri"/>
      <family val="2"/>
      <scheme val="minor"/>
    </font>
    <font>
      <b/>
      <sz val="11"/>
      <color theme="3"/>
      <name val="Calibri"/>
      <family val="2"/>
      <scheme val="minor"/>
    </font>
    <font>
      <sz val="10"/>
      <name val="Tms Rmn"/>
    </font>
    <font>
      <sz val="10"/>
      <name val="Helv"/>
    </font>
    <font>
      <sz val="10"/>
      <color indexed="8"/>
      <name val="Arial"/>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8"/>
      <name val="Helv"/>
    </font>
    <font>
      <b/>
      <sz val="12"/>
      <name val="Tms Rmn"/>
    </font>
    <font>
      <b/>
      <i/>
      <sz val="12"/>
      <name val="Tms Rmn"/>
    </font>
    <font>
      <b/>
      <sz val="10"/>
      <name val="MS Sans Serif"/>
      <family val="2"/>
    </font>
    <font>
      <b/>
      <sz val="11"/>
      <name val="Arial"/>
      <family val="2"/>
    </font>
    <font>
      <b/>
      <sz val="10"/>
      <name val="Arial"/>
      <family val="2"/>
    </font>
    <font>
      <sz val="10"/>
      <name val="MS Sans Serif"/>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sz val="10"/>
      <color indexed="14"/>
      <name val="Arial"/>
      <family val="2"/>
    </font>
    <font>
      <sz val="10"/>
      <color indexed="10"/>
      <name val="Arial"/>
      <family val="2"/>
    </font>
    <font>
      <b/>
      <sz val="10"/>
      <color indexed="10"/>
      <name val="Arial"/>
      <family val="2"/>
    </font>
    <font>
      <sz val="8"/>
      <name val="Tms Rmn"/>
    </font>
    <font>
      <sz val="12"/>
      <name val="Times New Roman"/>
      <family val="1"/>
    </font>
    <font>
      <sz val="7"/>
      <name val="Small Fonts"/>
      <family val="2"/>
    </font>
    <font>
      <b/>
      <u/>
      <sz val="26"/>
      <color indexed="9"/>
      <name val="Arial"/>
      <family val="2"/>
    </font>
    <font>
      <sz val="12"/>
      <name val="Helv"/>
    </font>
    <font>
      <sz val="10"/>
      <color theme="1"/>
      <name val="Arial"/>
      <family val="2"/>
    </font>
    <font>
      <sz val="10"/>
      <name val="Helv"/>
      <family val="2"/>
    </font>
    <font>
      <u/>
      <sz val="11"/>
      <color theme="10"/>
      <name val="Calibri"/>
      <family val="2"/>
    </font>
    <font>
      <u/>
      <sz val="10"/>
      <color theme="10"/>
      <name val="Trebuchet MS"/>
      <family val="2"/>
    </font>
    <font>
      <sz val="12"/>
      <name val="Helv"/>
      <family val="2"/>
    </font>
    <font>
      <sz val="10"/>
      <name val="Trebuchet MS"/>
      <family val="2"/>
    </font>
    <font>
      <sz val="10"/>
      <name val="Tms Rmn"/>
      <family val="1"/>
    </font>
    <font>
      <sz val="11"/>
      <color indexed="8"/>
      <name val="Calibri"/>
      <family val="2"/>
    </font>
    <font>
      <u/>
      <sz val="10"/>
      <color indexed="12"/>
      <name val="Arial"/>
      <family val="2"/>
    </font>
    <font>
      <b/>
      <sz val="10"/>
      <color rgb="FF404040"/>
      <name val="Segoe UI"/>
      <family val="2"/>
    </font>
    <font>
      <sz val="10"/>
      <color rgb="FF404040"/>
      <name val="Segoe UI"/>
      <family val="2"/>
    </font>
    <font>
      <b/>
      <sz val="11"/>
      <color theme="1" tint="0.14999847407452621"/>
      <name val="Calibri"/>
      <family val="2"/>
      <scheme val="minor"/>
    </font>
    <font>
      <b/>
      <u val="singleAccounting"/>
      <sz val="11"/>
      <color theme="1" tint="0.14999847407452621"/>
      <name val="Calibri"/>
      <family val="2"/>
      <scheme val="minor"/>
    </font>
    <font>
      <u/>
      <sz val="11"/>
      <color theme="1"/>
      <name val="Calibri"/>
      <family val="2"/>
      <scheme val="minor"/>
    </font>
    <font>
      <b/>
      <sz val="11"/>
      <color theme="4" tint="-0.499984740745262"/>
      <name val="Calibri"/>
      <family val="2"/>
      <scheme val="minor"/>
    </font>
    <font>
      <sz val="11"/>
      <color theme="0"/>
      <name val="Calibri"/>
      <family val="2"/>
      <scheme val="minor"/>
    </font>
    <font>
      <b/>
      <i/>
      <sz val="11"/>
      <color theme="1"/>
      <name val="Calibri"/>
      <family val="2"/>
      <scheme val="minor"/>
    </font>
    <font>
      <sz val="9"/>
      <color indexed="81"/>
      <name val="Tahoma"/>
      <family val="2"/>
    </font>
    <font>
      <b/>
      <sz val="9"/>
      <color indexed="81"/>
      <name val="Tahoma"/>
      <family val="2"/>
    </font>
  </fonts>
  <fills count="14">
    <fill>
      <patternFill patternType="none"/>
    </fill>
    <fill>
      <patternFill patternType="gray125"/>
    </fill>
    <fill>
      <patternFill patternType="solid">
        <fgColor theme="4"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7" tint="0.39997558519241921"/>
        <bgColor indexed="64"/>
      </patternFill>
    </fill>
    <fill>
      <patternFill patternType="solid">
        <fgColor theme="7"/>
      </patternFill>
    </fill>
    <fill>
      <patternFill patternType="solid">
        <fgColor theme="9"/>
      </patternFill>
    </fill>
    <fill>
      <patternFill patternType="solid">
        <fgColor theme="3" tint="0.59999389629810485"/>
        <bgColor indexed="64"/>
      </patternFill>
    </fill>
  </fills>
  <borders count="46">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hair">
        <color auto="1"/>
      </top>
      <bottom/>
      <diagonal/>
    </border>
    <border>
      <left/>
      <right style="thin">
        <color auto="1"/>
      </right>
      <top style="hair">
        <color auto="1"/>
      </top>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style="thin">
        <color auto="1"/>
      </right>
      <top/>
      <bottom style="dotted">
        <color auto="1"/>
      </bottom>
      <diagonal/>
    </border>
    <border>
      <left style="thin">
        <color auto="1"/>
      </left>
      <right/>
      <top/>
      <bottom style="dotted">
        <color auto="1"/>
      </bottom>
      <diagonal/>
    </border>
    <border>
      <left/>
      <right style="thin">
        <color auto="1"/>
      </right>
      <top/>
      <bottom style="dotted">
        <color auto="1"/>
      </bottom>
      <diagonal/>
    </border>
    <border>
      <left/>
      <right/>
      <top/>
      <bottom style="dotted">
        <color auto="1"/>
      </bottom>
      <diagonal/>
    </border>
    <border>
      <left style="thin">
        <color auto="1"/>
      </left>
      <right/>
      <top/>
      <bottom style="hair">
        <color auto="1"/>
      </bottom>
      <diagonal/>
    </border>
    <border>
      <left/>
      <right style="thin">
        <color auto="1"/>
      </right>
      <top/>
      <bottom style="hair">
        <color auto="1"/>
      </bottom>
      <diagonal/>
    </border>
    <border>
      <left style="thin">
        <color auto="1"/>
      </left>
      <right style="thin">
        <color auto="1"/>
      </right>
      <top/>
      <bottom style="dashed">
        <color indexed="64"/>
      </bottom>
      <diagonal/>
    </border>
    <border>
      <left style="thin">
        <color auto="1"/>
      </left>
      <right/>
      <top/>
      <bottom style="dashed">
        <color indexed="64"/>
      </bottom>
      <diagonal/>
    </border>
    <border>
      <left/>
      <right style="thin">
        <color auto="1"/>
      </right>
      <top/>
      <bottom style="dashed">
        <color indexed="64"/>
      </bottom>
      <diagonal/>
    </border>
    <border>
      <left/>
      <right/>
      <top/>
      <bottom style="dashed">
        <color indexed="64"/>
      </bottom>
      <diagonal/>
    </border>
    <border>
      <left style="thin">
        <color indexed="64"/>
      </left>
      <right style="thin">
        <color auto="1"/>
      </right>
      <top style="dashed">
        <color indexed="64"/>
      </top>
      <bottom/>
      <diagonal/>
    </border>
    <border>
      <left style="thin">
        <color auto="1"/>
      </left>
      <right style="thin">
        <color indexed="64"/>
      </right>
      <top style="dotted">
        <color auto="1"/>
      </top>
      <bottom/>
      <diagonal/>
    </border>
    <border>
      <left style="thin">
        <color auto="1"/>
      </left>
      <right/>
      <top style="dotted">
        <color auto="1"/>
      </top>
      <bottom/>
      <diagonal/>
    </border>
    <border>
      <left/>
      <right style="thin">
        <color auto="1"/>
      </right>
      <top style="dotted">
        <color auto="1"/>
      </top>
      <bottom/>
      <diagonal/>
    </border>
    <border>
      <left/>
      <right/>
      <top style="dotted">
        <color auto="1"/>
      </top>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indexed="64"/>
      </right>
      <top style="dotted">
        <color auto="1"/>
      </top>
      <bottom style="dotted">
        <color auto="1"/>
      </bottom>
      <diagonal/>
    </border>
  </borders>
  <cellStyleXfs count="332">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alignment vertical="top"/>
    </xf>
    <xf numFmtId="0" fontId="14" fillId="0" borderId="0"/>
    <xf numFmtId="43" fontId="14" fillId="0" borderId="0" applyFont="0" applyFill="0" applyBorder="0" applyAlignment="0" applyProtection="0"/>
    <xf numFmtId="37" fontId="21" fillId="0" borderId="0"/>
    <xf numFmtId="194" fontId="9" fillId="0" borderId="0" applyFont="0" applyFill="0" applyBorder="0" applyAlignment="0" applyProtection="0"/>
    <xf numFmtId="195" fontId="9" fillId="0" borderId="0" applyFont="0" applyFill="0" applyBorder="0" applyAlignment="0" applyProtection="0"/>
    <xf numFmtId="196" fontId="9" fillId="0" borderId="0" applyFont="0" applyFill="0" applyBorder="0" applyAlignment="0" applyProtection="0"/>
    <xf numFmtId="197" fontId="9" fillId="0" borderId="0" applyFont="0" applyFill="0" applyBorder="0" applyAlignment="0" applyProtection="0"/>
    <xf numFmtId="198" fontId="9" fillId="0" borderId="0" applyFont="0" applyFill="0" applyBorder="0" applyAlignment="0" applyProtection="0"/>
    <xf numFmtId="199" fontId="9" fillId="0" borderId="0" applyFon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9" fillId="5" borderId="0" applyNumberFormat="0" applyFont="0" applyAlignment="0" applyProtection="0"/>
    <xf numFmtId="200" fontId="9" fillId="0" borderId="0" applyFont="0" applyFill="0" applyBorder="0" applyAlignment="0" applyProtection="0"/>
    <xf numFmtId="201" fontId="9" fillId="0" borderId="0" applyFont="0" applyFill="0" applyBorder="0" applyProtection="0">
      <alignment horizontal="right"/>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6" fillId="0" borderId="18" applyNumberFormat="0" applyFill="0" applyAlignment="0" applyProtection="0"/>
    <xf numFmtId="0" fontId="27" fillId="0" borderId="19" applyNumberFormat="0" applyFill="0" applyProtection="0">
      <alignment horizontal="center"/>
    </xf>
    <xf numFmtId="0" fontId="27" fillId="0" borderId="0" applyNumberFormat="0" applyFill="0" applyBorder="0" applyProtection="0">
      <alignment horizontal="left"/>
    </xf>
    <xf numFmtId="0" fontId="28" fillId="0" borderId="0" applyNumberFormat="0" applyFill="0" applyBorder="0" applyProtection="0">
      <alignment horizontal="centerContinuous"/>
    </xf>
    <xf numFmtId="0" fontId="50" fillId="0" borderId="0" applyNumberFormat="0" applyFill="0" applyBorder="0" applyAlignment="0" applyProtection="0"/>
    <xf numFmtId="192" fontId="29" fillId="0" borderId="0">
      <alignment horizontal="center"/>
    </xf>
    <xf numFmtId="37" fontId="30" fillId="0" borderId="0"/>
    <xf numFmtId="37" fontId="31" fillId="0" borderId="0"/>
    <xf numFmtId="186" fontId="32" fillId="0" borderId="2"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32" fillId="0" borderId="2"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32" fillId="0" borderId="2"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1" fillId="0" borderId="0" applyAlignment="0" applyProtection="0"/>
    <xf numFmtId="186" fontId="32" fillId="0" borderId="2" applyAlignment="0" applyProtection="0"/>
    <xf numFmtId="186" fontId="1" fillId="0" borderId="0" applyAlignment="0" applyProtection="0"/>
    <xf numFmtId="186" fontId="1" fillId="0" borderId="0" applyAlignment="0" applyProtection="0"/>
    <xf numFmtId="186" fontId="1" fillId="0" borderId="0" applyAlignment="0" applyProtection="0"/>
    <xf numFmtId="186" fontId="32" fillId="0" borderId="2" applyAlignment="0" applyProtection="0"/>
    <xf numFmtId="186" fontId="32" fillId="0" borderId="2" applyAlignment="0" applyProtection="0"/>
    <xf numFmtId="186" fontId="32" fillId="0" borderId="2" applyAlignment="0" applyProtection="0"/>
    <xf numFmtId="186" fontId="32" fillId="0" borderId="2" applyAlignment="0" applyProtection="0"/>
    <xf numFmtId="186" fontId="1" fillId="0" borderId="0" applyAlignment="0" applyProtection="0"/>
    <xf numFmtId="183" fontId="23" fillId="0" borderId="0" applyFill="0" applyBorder="0" applyAlignment="0"/>
    <xf numFmtId="176" fontId="9" fillId="0" borderId="0" applyFill="0" applyBorder="0" applyAlignment="0"/>
    <xf numFmtId="177" fontId="9" fillId="0" borderId="0" applyFill="0" applyBorder="0" applyAlignment="0"/>
    <xf numFmtId="178" fontId="9" fillId="0" borderId="0" applyFill="0" applyBorder="0" applyAlignment="0"/>
    <xf numFmtId="179" fontId="9" fillId="0" borderId="0" applyFill="0" applyBorder="0" applyAlignment="0"/>
    <xf numFmtId="183" fontId="23" fillId="0" borderId="0" applyFill="0" applyBorder="0" applyAlignment="0"/>
    <xf numFmtId="180" fontId="9" fillId="0" borderId="0" applyFill="0" applyBorder="0" applyAlignment="0"/>
    <xf numFmtId="176" fontId="9" fillId="0" borderId="0" applyFill="0" applyBorder="0" applyAlignment="0"/>
    <xf numFmtId="0" fontId="33" fillId="0" borderId="0" applyFill="0" applyBorder="0" applyProtection="0">
      <alignment horizontal="center"/>
      <protection locked="0"/>
    </xf>
    <xf numFmtId="0" fontId="22" fillId="0" borderId="0"/>
    <xf numFmtId="171" fontId="22" fillId="0" borderId="7"/>
    <xf numFmtId="215" fontId="1" fillId="0" borderId="0"/>
    <xf numFmtId="215" fontId="1" fillId="0" borderId="0"/>
    <xf numFmtId="183" fontId="9" fillId="0" borderId="0" applyFont="0" applyFill="0" applyBorder="0" applyAlignment="0" applyProtection="0"/>
    <xf numFmtId="4" fontId="22" fillId="0" borderId="0" applyFont="0" applyFill="0" applyBorder="0" applyAlignment="0" applyProtection="0"/>
    <xf numFmtId="43" fontId="9" fillId="0" borderId="0" applyFont="0" applyFill="0" applyBorder="0" applyAlignment="0" applyProtection="0">
      <alignment wrapText="1"/>
    </xf>
    <xf numFmtId="43" fontId="9" fillId="0" borderId="0" applyFont="0" applyFill="0" applyBorder="0" applyAlignment="0" applyProtection="0">
      <alignment wrapText="1"/>
    </xf>
    <xf numFmtId="43" fontId="9" fillId="0" borderId="0" applyFont="0" applyFill="0" applyBorder="0" applyAlignment="0" applyProtection="0">
      <alignment wrapText="1"/>
    </xf>
    <xf numFmtId="4" fontId="22" fillId="0" borderId="0" applyFont="0" applyFill="0" applyBorder="0" applyAlignment="0" applyProtection="0"/>
    <xf numFmtId="4" fontId="1" fillId="0" borderId="0" applyFont="0" applyFill="0" applyBorder="0" applyAlignment="0" applyProtection="0"/>
    <xf numFmtId="4"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0" fontId="36" fillId="0" borderId="0" applyNumberFormat="0" applyFill="0" applyBorder="0" applyAlignment="0" applyProtection="0"/>
    <xf numFmtId="0" fontId="37" fillId="0" borderId="0" applyFill="0" applyBorder="0" applyAlignment="0" applyProtection="0">
      <protection locked="0"/>
    </xf>
    <xf numFmtId="191" fontId="9" fillId="0" borderId="0">
      <alignment horizontal="center"/>
    </xf>
    <xf numFmtId="185" fontId="38" fillId="0" borderId="0" applyFill="0" applyBorder="0" applyProtection="0"/>
    <xf numFmtId="184" fontId="39" fillId="0" borderId="0" applyFont="0" applyFill="0" applyBorder="0" applyAlignment="0" applyProtection="0"/>
    <xf numFmtId="172" fontId="40" fillId="0" borderId="20">
      <protection hidden="1"/>
    </xf>
    <xf numFmtId="176" fontId="9" fillId="0" borderId="0" applyFont="0" applyFill="0" applyBorder="0" applyAlignment="0" applyProtection="0"/>
    <xf numFmtId="8" fontId="1" fillId="0" borderId="0" applyFont="0" applyFill="0" applyBorder="0" applyAlignment="0" applyProtection="0"/>
    <xf numFmtId="44" fontId="9" fillId="0" borderId="0" applyFont="0" applyFill="0" applyBorder="0" applyAlignment="0" applyProtection="0"/>
    <xf numFmtId="0" fontId="36" fillId="0" borderId="0" applyNumberFormat="0" applyFill="0" applyBorder="0" applyAlignment="0" applyProtection="0"/>
    <xf numFmtId="1" fontId="29" fillId="0" borderId="0"/>
    <xf numFmtId="14" fontId="41" fillId="0" borderId="0">
      <alignment horizontal="center"/>
    </xf>
    <xf numFmtId="14" fontId="23" fillId="0" borderId="0" applyFill="0" applyBorder="0" applyAlignment="0"/>
    <xf numFmtId="15" fontId="42" fillId="6" borderId="0" applyNumberFormat="0" applyFont="0" applyFill="0" applyBorder="0" applyAlignment="0">
      <alignment horizontal="center" wrapText="1"/>
    </xf>
    <xf numFmtId="0" fontId="23" fillId="0" borderId="21" applyNumberFormat="0" applyFill="0" applyBorder="0" applyAlignment="0" applyProtection="0"/>
    <xf numFmtId="190" fontId="22" fillId="0" borderId="0" applyFont="0" applyFill="0" applyBorder="0" applyAlignment="0" applyProtection="0"/>
    <xf numFmtId="189" fontId="39" fillId="0" borderId="0" applyFont="0" applyFill="0" applyBorder="0" applyAlignment="0" applyProtection="0"/>
    <xf numFmtId="183" fontId="43" fillId="0" borderId="0" applyFill="0" applyBorder="0" applyAlignment="0"/>
    <xf numFmtId="176" fontId="9" fillId="0" borderId="0" applyFill="0" applyBorder="0" applyAlignment="0"/>
    <xf numFmtId="183" fontId="43" fillId="0" borderId="0" applyFill="0" applyBorder="0" applyAlignment="0"/>
    <xf numFmtId="180" fontId="9" fillId="0" borderId="0" applyFill="0" applyBorder="0" applyAlignment="0"/>
    <xf numFmtId="176" fontId="9" fillId="0" borderId="0" applyFill="0" applyBorder="0" applyAlignment="0"/>
    <xf numFmtId="172" fontId="40" fillId="0" borderId="20">
      <protection hidden="1"/>
    </xf>
    <xf numFmtId="193" fontId="9" fillId="0" borderId="0" applyFont="0" applyFill="0" applyBorder="0" applyAlignment="0" applyProtection="0"/>
    <xf numFmtId="38" fontId="44" fillId="6" borderId="0" applyNumberFormat="0" applyBorder="0" applyAlignment="0" applyProtection="0"/>
    <xf numFmtId="0" fontId="45" fillId="0" borderId="22" applyNumberFormat="0" applyAlignment="0" applyProtection="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45" fillId="0" borderId="9">
      <alignment horizontal="left" vertical="center"/>
    </xf>
    <xf numFmtId="0" fontId="1" fillId="0" borderId="0">
      <alignment horizontal="left" vertical="center"/>
    </xf>
    <xf numFmtId="14" fontId="34" fillId="7" borderId="20">
      <alignment horizontal="center" vertical="center" wrapText="1"/>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3" fillId="0" borderId="0" applyFill="0" applyAlignment="0" applyProtection="0">
      <protection locked="0"/>
    </xf>
    <xf numFmtId="0" fontId="33" fillId="0" borderId="7" applyFill="0" applyAlignment="0" applyProtection="0">
      <protection locked="0"/>
    </xf>
    <xf numFmtId="10" fontId="44" fillId="8" borderId="21" applyNumberFormat="0" applyBorder="0" applyAlignment="0" applyProtection="0"/>
    <xf numFmtId="183" fontId="46" fillId="0" borderId="0" applyFill="0" applyBorder="0" applyAlignment="0"/>
    <xf numFmtId="176" fontId="9" fillId="0" borderId="0" applyFill="0" applyBorder="0" applyAlignment="0"/>
    <xf numFmtId="183" fontId="46" fillId="0" borderId="0" applyFill="0" applyBorder="0" applyAlignment="0"/>
    <xf numFmtId="180" fontId="9" fillId="0" borderId="0" applyFill="0" applyBorder="0" applyAlignment="0"/>
    <xf numFmtId="176" fontId="9" fillId="0" borderId="0" applyFill="0" applyBorder="0" applyAlignment="0"/>
    <xf numFmtId="211" fontId="9" fillId="0" borderId="0" applyFont="0" applyFill="0" applyBorder="0" applyAlignment="0" applyProtection="0"/>
    <xf numFmtId="212" fontId="9" fillId="0" borderId="0" applyFont="0" applyFill="0" applyBorder="0" applyAlignment="0" applyProtection="0"/>
    <xf numFmtId="38" fontId="35" fillId="0" borderId="0" applyFont="0" applyFill="0" applyBorder="0" applyAlignment="0" applyProtection="0"/>
    <xf numFmtId="40" fontId="35" fillId="0" borderId="0" applyFont="0" applyFill="0" applyBorder="0" applyAlignment="0" applyProtection="0"/>
    <xf numFmtId="213" fontId="9" fillId="0" borderId="0" applyFont="0" applyFill="0" applyBorder="0" applyAlignment="0" applyProtection="0"/>
    <xf numFmtId="214" fontId="9" fillId="0" borderId="0" applyFont="0" applyFill="0" applyBorder="0" applyAlignment="0" applyProtection="0"/>
    <xf numFmtId="6" fontId="35" fillId="0" borderId="0" applyFont="0" applyFill="0" applyBorder="0" applyAlignment="0" applyProtection="0"/>
    <xf numFmtId="8" fontId="35" fillId="0" borderId="0" applyFont="0" applyFill="0" applyBorder="0" applyAlignment="0" applyProtection="0"/>
    <xf numFmtId="169" fontId="29" fillId="0" borderId="7"/>
    <xf numFmtId="37" fontId="51" fillId="0" borderId="0"/>
    <xf numFmtId="170" fontId="22" fillId="0" borderId="0"/>
    <xf numFmtId="170" fontId="1" fillId="0" borderId="0"/>
    <xf numFmtId="175" fontId="9" fillId="0" borderId="0"/>
    <xf numFmtId="37" fontId="21" fillId="0" borderId="0"/>
    <xf numFmtId="0" fontId="9" fillId="0" borderId="0"/>
    <xf numFmtId="0" fontId="1" fillId="0" borderId="0"/>
    <xf numFmtId="0" fontId="9" fillId="0" borderId="0"/>
    <xf numFmtId="0" fontId="9" fillId="0" borderId="0"/>
    <xf numFmtId="0" fontId="9" fillId="0" borderId="0">
      <alignment wrapText="1"/>
    </xf>
    <xf numFmtId="0" fontId="9" fillId="0" borderId="0"/>
    <xf numFmtId="37" fontId="21" fillId="0" borderId="0"/>
    <xf numFmtId="37" fontId="1" fillId="0" borderId="0"/>
    <xf numFmtId="37" fontId="1" fillId="0" borderId="0"/>
    <xf numFmtId="37" fontId="9" fillId="0" borderId="0"/>
    <xf numFmtId="210" fontId="9" fillId="0" borderId="0"/>
    <xf numFmtId="204" fontId="9" fillId="0" borderId="0"/>
    <xf numFmtId="39" fontId="9" fillId="0" borderId="0"/>
    <xf numFmtId="205" fontId="9" fillId="0" borderId="0"/>
    <xf numFmtId="202" fontId="9" fillId="0" borderId="0"/>
    <xf numFmtId="206" fontId="9" fillId="0" borderId="0"/>
    <xf numFmtId="203" fontId="9" fillId="0" borderId="0"/>
    <xf numFmtId="207" fontId="9" fillId="0" borderId="0"/>
    <xf numFmtId="208" fontId="9" fillId="0" borderId="0"/>
    <xf numFmtId="209" fontId="9" fillId="0" borderId="0"/>
    <xf numFmtId="174" fontId="35" fillId="0" borderId="0"/>
    <xf numFmtId="173" fontId="40" fillId="0" borderId="0">
      <protection hidden="1"/>
    </xf>
    <xf numFmtId="179" fontId="9" fillId="0" borderId="0" applyFont="0" applyFill="0" applyBorder="0" applyAlignment="0" applyProtection="0"/>
    <xf numFmtId="175" fontId="9" fillId="0" borderId="0" applyFont="0" applyFill="0" applyBorder="0" applyAlignment="0" applyProtection="0"/>
    <xf numFmtId="10" fontId="9" fillId="0" borderId="0" applyFont="0" applyFill="0" applyBorder="0" applyAlignment="0" applyProtection="0"/>
    <xf numFmtId="9" fontId="22"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35" fillId="0" borderId="23" applyNumberFormat="0" applyBorder="0"/>
    <xf numFmtId="169" fontId="29" fillId="0" borderId="0"/>
    <xf numFmtId="0" fontId="52" fillId="9" borderId="24" applyNumberFormat="0" applyFont="0" applyFill="0" applyAlignment="0">
      <alignment horizontal="center" vertical="center"/>
    </xf>
    <xf numFmtId="183" fontId="47" fillId="0" borderId="0" applyFill="0" applyBorder="0" applyAlignment="0"/>
    <xf numFmtId="176" fontId="9" fillId="0" borderId="0" applyFill="0" applyBorder="0" applyAlignment="0"/>
    <xf numFmtId="183" fontId="47" fillId="0" borderId="0" applyFill="0" applyBorder="0" applyAlignment="0"/>
    <xf numFmtId="180" fontId="9" fillId="0" borderId="0" applyFill="0" applyBorder="0" applyAlignment="0"/>
    <xf numFmtId="176" fontId="9" fillId="0" borderId="0" applyFill="0" applyBorder="0" applyAlignment="0"/>
    <xf numFmtId="37" fontId="21" fillId="0" borderId="25"/>
    <xf numFmtId="0" fontId="53" fillId="0" borderId="0"/>
    <xf numFmtId="0" fontId="22" fillId="0" borderId="0"/>
    <xf numFmtId="0" fontId="35" fillId="0" borderId="0"/>
    <xf numFmtId="49" fontId="23" fillId="0" borderId="0" applyFill="0" applyBorder="0" applyAlignment="0"/>
    <xf numFmtId="181" fontId="9" fillId="0" borderId="0" applyFill="0" applyBorder="0" applyAlignment="0"/>
    <xf numFmtId="182" fontId="9" fillId="0" borderId="0" applyFill="0" applyBorder="0" applyAlignment="0"/>
    <xf numFmtId="49" fontId="9" fillId="0" borderId="0"/>
    <xf numFmtId="0" fontId="48" fillId="0" borderId="0" applyFill="0" applyBorder="0" applyProtection="0">
      <alignment horizontal="left" vertical="top"/>
    </xf>
    <xf numFmtId="40" fontId="49" fillId="0" borderId="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37" fontId="21" fillId="0" borderId="7"/>
    <xf numFmtId="37" fontId="21" fillId="0" borderId="26"/>
    <xf numFmtId="187" fontId="9" fillId="0" borderId="0" applyFont="0" applyFill="0" applyBorder="0" applyAlignment="0" applyProtection="0"/>
    <xf numFmtId="188" fontId="9" fillId="0" borderId="0" applyFont="0" applyFill="0" applyBorder="0" applyAlignment="0" applyProtection="0"/>
    <xf numFmtId="0" fontId="9" fillId="0" borderId="0"/>
    <xf numFmtId="0" fontId="9" fillId="0" borderId="0"/>
    <xf numFmtId="37" fontId="9" fillId="0" borderId="0"/>
    <xf numFmtId="39" fontId="9" fillId="0" borderId="0"/>
    <xf numFmtId="0" fontId="55" fillId="0" borderId="0"/>
    <xf numFmtId="216" fontId="9" fillId="0" borderId="0" applyFill="0" applyBorder="0" applyAlignment="0"/>
    <xf numFmtId="164" fontId="9" fillId="0" borderId="0" applyFill="0" applyBorder="0" applyAlignment="0"/>
    <xf numFmtId="217" fontId="9" fillId="0" borderId="0" applyFill="0" applyBorder="0" applyAlignment="0"/>
    <xf numFmtId="218" fontId="9" fillId="0" borderId="0" applyFill="0" applyBorder="0" applyAlignment="0"/>
    <xf numFmtId="219" fontId="9" fillId="0" borderId="0" applyFill="0" applyBorder="0" applyAlignment="0"/>
    <xf numFmtId="220" fontId="9" fillId="0" borderId="0" applyFill="0" applyBorder="0" applyAlignment="0"/>
    <xf numFmtId="221" fontId="9" fillId="0" borderId="0" applyFill="0" applyBorder="0" applyAlignment="0"/>
    <xf numFmtId="164" fontId="9" fillId="0" borderId="0" applyFill="0" applyBorder="0" applyAlignment="0"/>
    <xf numFmtId="222" fontId="9" fillId="0" borderId="0"/>
    <xf numFmtId="222" fontId="9" fillId="0" borderId="0"/>
    <xf numFmtId="222" fontId="9" fillId="0" borderId="0"/>
    <xf numFmtId="222" fontId="9" fillId="0" borderId="0"/>
    <xf numFmtId="222" fontId="9" fillId="0" borderId="0"/>
    <xf numFmtId="222" fontId="9" fillId="0" borderId="0"/>
    <xf numFmtId="222" fontId="9" fillId="0" borderId="0"/>
    <xf numFmtId="222" fontId="9" fillId="0" borderId="0"/>
    <xf numFmtId="0" fontId="55" fillId="0" borderId="7"/>
    <xf numFmtId="220"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54" fillId="0" borderId="0" applyFont="0" applyFill="0" applyBorder="0" applyAlignment="0" applyProtection="0"/>
    <xf numFmtId="164" fontId="9" fillId="0" borderId="0" applyFont="0" applyFill="0" applyBorder="0" applyAlignment="0" applyProtection="0"/>
    <xf numFmtId="220" fontId="9" fillId="0" borderId="0" applyFill="0" applyBorder="0" applyAlignment="0"/>
    <xf numFmtId="164" fontId="9" fillId="0" borderId="0" applyFill="0" applyBorder="0" applyAlignment="0"/>
    <xf numFmtId="220" fontId="9" fillId="0" borderId="0" applyFill="0" applyBorder="0" applyAlignment="0"/>
    <xf numFmtId="221" fontId="9" fillId="0" borderId="0" applyFill="0" applyBorder="0" applyAlignment="0"/>
    <xf numFmtId="164" fontId="9" fillId="0" borderId="0" applyFill="0" applyBorder="0" applyAlignment="0"/>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220" fontId="9" fillId="0" borderId="0" applyFill="0" applyBorder="0" applyAlignment="0"/>
    <xf numFmtId="164" fontId="9" fillId="0" borderId="0" applyFill="0" applyBorder="0" applyAlignment="0"/>
    <xf numFmtId="220" fontId="9" fillId="0" borderId="0" applyFill="0" applyBorder="0" applyAlignment="0"/>
    <xf numFmtId="221" fontId="9" fillId="0" borderId="0" applyFill="0" applyBorder="0" applyAlignment="0"/>
    <xf numFmtId="164" fontId="9" fillId="0" borderId="0" applyFill="0" applyBorder="0" applyAlignment="0"/>
    <xf numFmtId="223" fontId="9" fillId="0" borderId="0"/>
    <xf numFmtId="0" fontId="58" fillId="0" borderId="0"/>
    <xf numFmtId="0" fontId="58" fillId="0" borderId="0"/>
    <xf numFmtId="0" fontId="58" fillId="0" borderId="0"/>
    <xf numFmtId="0" fontId="58" fillId="0" borderId="0"/>
    <xf numFmtId="0" fontId="9" fillId="0" borderId="0">
      <alignment wrapText="1"/>
    </xf>
    <xf numFmtId="0" fontId="59" fillId="0" borderId="0"/>
    <xf numFmtId="0" fontId="1" fillId="0" borderId="0"/>
    <xf numFmtId="0" fontId="1" fillId="0" borderId="0"/>
    <xf numFmtId="0" fontId="9" fillId="0" borderId="0"/>
    <xf numFmtId="0" fontId="1" fillId="0" borderId="0"/>
    <xf numFmtId="0" fontId="54" fillId="0" borderId="0"/>
    <xf numFmtId="0" fontId="1" fillId="0" borderId="0"/>
    <xf numFmtId="0" fontId="9" fillId="0" borderId="0">
      <alignment wrapText="1"/>
    </xf>
    <xf numFmtId="219" fontId="9" fillId="0" borderId="0" applyFont="0" applyFill="0" applyBorder="0" applyAlignment="0" applyProtection="0"/>
    <xf numFmtId="223" fontId="9" fillId="0" borderId="0" applyFont="0" applyFill="0" applyBorder="0" applyAlignment="0" applyProtection="0"/>
    <xf numFmtId="9" fontId="54" fillId="0" borderId="0" applyFont="0" applyFill="0" applyBorder="0" applyAlignment="0" applyProtection="0"/>
    <xf numFmtId="9" fontId="1" fillId="0" borderId="0" applyFont="0" applyFill="0" applyBorder="0" applyAlignment="0" applyProtection="0"/>
    <xf numFmtId="220" fontId="9" fillId="0" borderId="0" applyFill="0" applyBorder="0" applyAlignment="0"/>
    <xf numFmtId="164" fontId="9" fillId="0" borderId="0" applyFill="0" applyBorder="0" applyAlignment="0"/>
    <xf numFmtId="220" fontId="9" fillId="0" borderId="0" applyFill="0" applyBorder="0" applyAlignment="0"/>
    <xf numFmtId="221" fontId="9" fillId="0" borderId="0" applyFill="0" applyBorder="0" applyAlignment="0"/>
    <xf numFmtId="164" fontId="9" fillId="0" borderId="0" applyFill="0" applyBorder="0" applyAlignment="0"/>
    <xf numFmtId="224" fontId="9" fillId="0" borderId="0" applyFill="0" applyBorder="0" applyAlignment="0"/>
    <xf numFmtId="225" fontId="9" fillId="0" borderId="0" applyFill="0" applyBorder="0" applyAlignment="0"/>
    <xf numFmtId="37" fontId="60" fillId="0" borderId="0"/>
    <xf numFmtId="4" fontId="55" fillId="0" borderId="0" applyFont="0" applyFill="0" applyBorder="0" applyAlignment="0" applyProtection="0"/>
    <xf numFmtId="9" fontId="61" fillId="0" borderId="0" applyFont="0" applyFill="0" applyBorder="0" applyAlignment="0" applyProtection="0"/>
    <xf numFmtId="0" fontId="56"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62"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9" fontId="61" fillId="0" borderId="0" applyFont="0" applyFill="0" applyBorder="0" applyAlignment="0" applyProtection="0"/>
    <xf numFmtId="37" fontId="64" fillId="0" borderId="20">
      <alignment horizontal="right"/>
      <protection locked="0"/>
    </xf>
    <xf numFmtId="37" fontId="63" fillId="0" borderId="20">
      <alignment horizontal="right"/>
      <protection locked="0"/>
    </xf>
    <xf numFmtId="44" fontId="1" fillId="0" borderId="0" applyFont="0" applyFill="0" applyBorder="0" applyAlignment="0" applyProtection="0"/>
    <xf numFmtId="0" fontId="69" fillId="11" borderId="0" applyNumberFormat="0" applyBorder="0" applyAlignment="0" applyProtection="0"/>
    <xf numFmtId="0" fontId="69" fillId="12" borderId="0" applyNumberFormat="0" applyBorder="0" applyAlignment="0" applyProtection="0"/>
  </cellStyleXfs>
  <cellXfs count="418">
    <xf numFmtId="0" fontId="0" fillId="0" borderId="0" xfId="0"/>
    <xf numFmtId="164" fontId="0" fillId="0" borderId="0" xfId="1" applyNumberFormat="1" applyFont="1" applyAlignment="1">
      <alignment horizontal="right"/>
    </xf>
    <xf numFmtId="0" fontId="0" fillId="0" borderId="0" xfId="0" applyAlignment="1">
      <alignment horizontal="right"/>
    </xf>
    <xf numFmtId="0" fontId="0" fillId="0" borderId="3" xfId="0" applyFont="1" applyBorder="1"/>
    <xf numFmtId="9" fontId="6" fillId="0" borderId="0" xfId="2" applyFont="1" applyBorder="1" applyAlignment="1">
      <alignment horizontal="right"/>
    </xf>
    <xf numFmtId="9" fontId="0" fillId="0" borderId="0" xfId="2" applyFont="1" applyBorder="1" applyAlignment="1">
      <alignment horizontal="right"/>
    </xf>
    <xf numFmtId="9" fontId="5" fillId="0" borderId="0" xfId="2" applyFont="1" applyBorder="1" applyAlignment="1">
      <alignment horizontal="right"/>
    </xf>
    <xf numFmtId="9" fontId="7" fillId="0" borderId="0" xfId="2" applyFont="1" applyBorder="1" applyAlignment="1">
      <alignment horizontal="right"/>
    </xf>
    <xf numFmtId="164" fontId="0" fillId="0" borderId="0" xfId="1" applyNumberFormat="1" applyFont="1" applyFill="1" applyAlignment="1">
      <alignment horizontal="right"/>
    </xf>
    <xf numFmtId="0" fontId="0" fillId="0" borderId="0" xfId="0" applyFont="1"/>
    <xf numFmtId="43" fontId="0" fillId="0" borderId="0" xfId="1" applyFont="1" applyAlignment="1">
      <alignment horizontal="right"/>
    </xf>
    <xf numFmtId="164" fontId="2" fillId="0" borderId="0" xfId="1" quotePrefix="1" applyNumberFormat="1" applyFont="1" applyFill="1" applyBorder="1" applyAlignment="1">
      <alignment horizontal="right"/>
    </xf>
    <xf numFmtId="0" fontId="2" fillId="0" borderId="3" xfId="0" applyFont="1" applyFill="1" applyBorder="1"/>
    <xf numFmtId="43" fontId="0" fillId="0" borderId="0" xfId="1" applyFont="1" applyFill="1"/>
    <xf numFmtId="165" fontId="0" fillId="0" borderId="0" xfId="0" applyNumberFormat="1" applyFill="1"/>
    <xf numFmtId="43" fontId="0" fillId="0" borderId="0" xfId="1" applyFont="1" applyFill="1" applyAlignment="1">
      <alignment horizontal="right"/>
    </xf>
    <xf numFmtId="0" fontId="13" fillId="0" borderId="0" xfId="0" applyFont="1"/>
    <xf numFmtId="0" fontId="0" fillId="0" borderId="0" xfId="0" applyAlignment="1">
      <alignment horizontal="left"/>
    </xf>
    <xf numFmtId="164" fontId="0" fillId="0" borderId="0" xfId="1" applyNumberFormat="1" applyFont="1" applyBorder="1" applyAlignment="1">
      <alignment horizontal="right"/>
    </xf>
    <xf numFmtId="0" fontId="0" fillId="0" borderId="0" xfId="0" applyBorder="1" applyAlignment="1">
      <alignment horizontal="right"/>
    </xf>
    <xf numFmtId="0" fontId="2" fillId="0" borderId="0" xfId="0" applyFont="1" applyFill="1" applyBorder="1" applyAlignment="1">
      <alignment horizontal="left"/>
    </xf>
    <xf numFmtId="0" fontId="0" fillId="0" borderId="0" xfId="0"/>
    <xf numFmtId="0" fontId="0" fillId="0" borderId="3" xfId="0" applyFont="1" applyFill="1" applyBorder="1"/>
    <xf numFmtId="0" fontId="0" fillId="0" borderId="0" xfId="0"/>
    <xf numFmtId="168" fontId="0" fillId="0" borderId="0" xfId="1" applyNumberFormat="1" applyFont="1" applyBorder="1" applyAlignment="1">
      <alignment horizontal="right"/>
    </xf>
    <xf numFmtId="166" fontId="1" fillId="0" borderId="0" xfId="2" quotePrefix="1" applyNumberFormat="1" applyFont="1" applyFill="1" applyBorder="1" applyAlignment="1">
      <alignment horizontal="right"/>
    </xf>
    <xf numFmtId="165" fontId="1" fillId="0" borderId="5" xfId="1" quotePrefix="1" applyNumberFormat="1" applyFont="1" applyFill="1" applyBorder="1" applyAlignment="1">
      <alignment horizontal="right"/>
    </xf>
    <xf numFmtId="166" fontId="1" fillId="2" borderId="0" xfId="2" quotePrefix="1" applyNumberFormat="1" applyFont="1" applyFill="1" applyBorder="1" applyAlignment="1">
      <alignment horizontal="right"/>
    </xf>
    <xf numFmtId="164" fontId="0" fillId="0" borderId="0" xfId="1" applyNumberFormat="1" applyFont="1" applyFill="1" applyBorder="1" applyAlignment="1">
      <alignment horizontal="right"/>
    </xf>
    <xf numFmtId="43" fontId="0" fillId="0" borderId="4" xfId="1" applyFont="1" applyFill="1" applyBorder="1" applyAlignment="1">
      <alignment horizontal="right"/>
    </xf>
    <xf numFmtId="0" fontId="0" fillId="0" borderId="6" xfId="0" applyFont="1" applyFill="1" applyBorder="1" applyAlignment="1">
      <alignment horizontal="left"/>
    </xf>
    <xf numFmtId="43" fontId="10" fillId="0" borderId="0" xfId="1" applyNumberFormat="1" applyFont="1" applyFill="1" applyBorder="1" applyAlignment="1">
      <alignment horizontal="right"/>
    </xf>
    <xf numFmtId="43" fontId="1" fillId="0" borderId="5" xfId="1" applyNumberFormat="1" applyFont="1" applyFill="1" applyBorder="1" applyAlignment="1">
      <alignment horizontal="right"/>
    </xf>
    <xf numFmtId="165" fontId="3" fillId="0" borderId="5" xfId="1" quotePrefix="1" applyNumberFormat="1" applyFont="1" applyFill="1" applyBorder="1" applyAlignment="1">
      <alignment horizontal="right"/>
    </xf>
    <xf numFmtId="166" fontId="1" fillId="0" borderId="5" xfId="2" quotePrefix="1" applyNumberFormat="1" applyFont="1" applyFill="1" applyBorder="1" applyAlignment="1">
      <alignment horizontal="right"/>
    </xf>
    <xf numFmtId="43" fontId="1" fillId="0" borderId="0" xfId="1" applyNumberFormat="1" applyFont="1" applyFill="1" applyBorder="1" applyAlignment="1">
      <alignment horizontal="right"/>
    </xf>
    <xf numFmtId="165" fontId="1" fillId="0" borderId="0" xfId="1" quotePrefix="1" applyNumberFormat="1" applyFont="1" applyFill="1" applyBorder="1" applyAlignment="1">
      <alignment horizontal="right"/>
    </xf>
    <xf numFmtId="165" fontId="0" fillId="0" borderId="0" xfId="0" applyNumberFormat="1"/>
    <xf numFmtId="165" fontId="1" fillId="0" borderId="28" xfId="1" quotePrefix="1" applyNumberFormat="1" applyFont="1" applyFill="1" applyBorder="1" applyAlignment="1">
      <alignment horizontal="right"/>
    </xf>
    <xf numFmtId="165" fontId="1" fillId="0" borderId="27" xfId="1" quotePrefix="1" applyNumberFormat="1" applyFont="1" applyFill="1" applyBorder="1" applyAlignment="1">
      <alignment horizontal="right"/>
    </xf>
    <xf numFmtId="0" fontId="0" fillId="0" borderId="0" xfId="0" applyFont="1"/>
    <xf numFmtId="164" fontId="16" fillId="3" borderId="2" xfId="1" quotePrefix="1" applyNumberFormat="1" applyFont="1" applyFill="1" applyBorder="1" applyAlignment="1">
      <alignment horizontal="right"/>
    </xf>
    <xf numFmtId="164" fontId="18" fillId="3" borderId="0" xfId="1" quotePrefix="1" applyNumberFormat="1" applyFont="1" applyFill="1" applyBorder="1" applyAlignment="1">
      <alignment horizontal="right"/>
    </xf>
    <xf numFmtId="164" fontId="65" fillId="4" borderId="2" xfId="1" quotePrefix="1" applyNumberFormat="1" applyFont="1" applyFill="1" applyBorder="1" applyAlignment="1">
      <alignment horizontal="right"/>
    </xf>
    <xf numFmtId="164" fontId="66" fillId="4" borderId="0" xfId="1" quotePrefix="1" applyNumberFormat="1" applyFont="1" applyFill="1" applyBorder="1" applyAlignment="1">
      <alignment horizontal="right"/>
    </xf>
    <xf numFmtId="0" fontId="0" fillId="0" borderId="0" xfId="0"/>
    <xf numFmtId="165" fontId="1" fillId="0" borderId="29" xfId="1" quotePrefix="1" applyNumberFormat="1" applyFont="1" applyFill="1" applyBorder="1" applyAlignment="1">
      <alignment horizontal="right"/>
    </xf>
    <xf numFmtId="165" fontId="1" fillId="0" borderId="30" xfId="1" quotePrefix="1" applyNumberFormat="1" applyFont="1" applyFill="1" applyBorder="1" applyAlignment="1">
      <alignment horizontal="right"/>
    </xf>
    <xf numFmtId="166" fontId="1" fillId="0" borderId="30" xfId="2" quotePrefix="1" applyNumberFormat="1" applyFont="1" applyFill="1" applyBorder="1" applyAlignment="1">
      <alignment horizontal="right"/>
    </xf>
    <xf numFmtId="168" fontId="2" fillId="0" borderId="0" xfId="1" quotePrefix="1" applyNumberFormat="1" applyFont="1" applyFill="1" applyBorder="1" applyAlignment="1">
      <alignment horizontal="right"/>
    </xf>
    <xf numFmtId="0" fontId="0" fillId="0" borderId="0" xfId="0"/>
    <xf numFmtId="0" fontId="0" fillId="0" borderId="0" xfId="0" applyFont="1"/>
    <xf numFmtId="164" fontId="16" fillId="3" borderId="2" xfId="1" quotePrefix="1" applyNumberFormat="1" applyFont="1" applyFill="1" applyBorder="1" applyAlignment="1">
      <alignment horizontal="right"/>
    </xf>
    <xf numFmtId="164" fontId="18" fillId="3" borderId="0" xfId="1" quotePrefix="1" applyNumberFormat="1" applyFont="1" applyFill="1" applyBorder="1" applyAlignment="1">
      <alignment horizontal="right"/>
    </xf>
    <xf numFmtId="164" fontId="65" fillId="4" borderId="2" xfId="1" quotePrefix="1" applyNumberFormat="1" applyFont="1" applyFill="1" applyBorder="1" applyAlignment="1">
      <alignment horizontal="right"/>
    </xf>
    <xf numFmtId="164" fontId="66" fillId="4" borderId="0" xfId="1" quotePrefix="1" applyNumberFormat="1" applyFont="1" applyFill="1" applyBorder="1" applyAlignment="1">
      <alignment horizontal="right"/>
    </xf>
    <xf numFmtId="0" fontId="2" fillId="0" borderId="6" xfId="0" applyFont="1" applyFill="1" applyBorder="1" applyAlignment="1">
      <alignment horizontal="left"/>
    </xf>
    <xf numFmtId="165" fontId="2" fillId="0" borderId="9" xfId="1" applyNumberFormat="1" applyFont="1" applyFill="1" applyBorder="1" applyAlignment="1">
      <alignment horizontal="right"/>
    </xf>
    <xf numFmtId="164" fontId="65" fillId="4" borderId="11" xfId="1" quotePrefix="1" applyNumberFormat="1" applyFont="1" applyFill="1" applyBorder="1" applyAlignment="1">
      <alignment horizontal="right"/>
    </xf>
    <xf numFmtId="164" fontId="66" fillId="4" borderId="4" xfId="1" quotePrefix="1" applyNumberFormat="1" applyFont="1" applyFill="1" applyBorder="1" applyAlignment="1">
      <alignment horizontal="right"/>
    </xf>
    <xf numFmtId="0" fontId="0" fillId="0" borderId="0" xfId="0" applyFill="1"/>
    <xf numFmtId="165" fontId="2" fillId="0" borderId="0" xfId="0" applyNumberFormat="1" applyFont="1"/>
    <xf numFmtId="43" fontId="1" fillId="0" borderId="0" xfId="1" quotePrefix="1" applyFont="1" applyFill="1" applyBorder="1" applyAlignment="1">
      <alignment horizontal="right"/>
    </xf>
    <xf numFmtId="43" fontId="1" fillId="0" borderId="5" xfId="1" quotePrefix="1" applyFont="1" applyFill="1" applyBorder="1" applyAlignment="1">
      <alignment horizontal="right"/>
    </xf>
    <xf numFmtId="43" fontId="1" fillId="0" borderId="3" xfId="1" applyNumberFormat="1" applyFont="1" applyFill="1" applyBorder="1" applyAlignment="1">
      <alignment horizontal="right"/>
    </xf>
    <xf numFmtId="165" fontId="0" fillId="0" borderId="0" xfId="1" applyNumberFormat="1" applyFont="1"/>
    <xf numFmtId="168" fontId="1" fillId="0" borderId="3" xfId="1" applyNumberFormat="1" applyFont="1" applyFill="1" applyBorder="1" applyAlignment="1">
      <alignment horizontal="right"/>
    </xf>
    <xf numFmtId="168" fontId="1" fillId="0" borderId="5" xfId="1" applyNumberFormat="1" applyFont="1" applyFill="1" applyBorder="1" applyAlignment="1">
      <alignment horizontal="right"/>
    </xf>
    <xf numFmtId="168" fontId="10" fillId="0" borderId="0" xfId="1" applyNumberFormat="1" applyFont="1" applyFill="1" applyBorder="1" applyAlignment="1">
      <alignment horizontal="right"/>
    </xf>
    <xf numFmtId="168" fontId="11" fillId="0" borderId="0" xfId="1" applyNumberFormat="1" applyFont="1" applyFill="1" applyBorder="1" applyAlignment="1">
      <alignment horizontal="right"/>
    </xf>
    <xf numFmtId="9" fontId="1" fillId="0" borderId="0" xfId="2" quotePrefix="1" applyFont="1" applyFill="1" applyBorder="1" applyAlignment="1">
      <alignment horizontal="right"/>
    </xf>
    <xf numFmtId="9" fontId="1" fillId="0" borderId="5" xfId="2" quotePrefix="1" applyFont="1" applyFill="1" applyBorder="1" applyAlignment="1">
      <alignment horizontal="right"/>
    </xf>
    <xf numFmtId="166" fontId="1" fillId="0" borderId="27" xfId="2" quotePrefix="1" applyNumberFormat="1" applyFont="1" applyFill="1" applyBorder="1" applyAlignment="1">
      <alignment horizontal="right"/>
    </xf>
    <xf numFmtId="168" fontId="0" fillId="0" borderId="0" xfId="1" applyNumberFormat="1" applyFont="1"/>
    <xf numFmtId="226" fontId="0" fillId="0" borderId="4" xfId="2" applyNumberFormat="1" applyFont="1" applyFill="1" applyBorder="1" applyAlignment="1">
      <alignment horizontal="right"/>
    </xf>
    <xf numFmtId="226" fontId="0" fillId="2" borderId="4" xfId="1" applyNumberFormat="1" applyFont="1" applyFill="1" applyBorder="1" applyAlignment="1">
      <alignment horizontal="right"/>
    </xf>
    <xf numFmtId="0" fontId="2" fillId="0" borderId="28" xfId="0" applyFont="1" applyFill="1" applyBorder="1" applyAlignment="1">
      <alignment horizontal="left"/>
    </xf>
    <xf numFmtId="0" fontId="2" fillId="0" borderId="29" xfId="0" applyFont="1" applyFill="1" applyBorder="1" applyAlignment="1">
      <alignment horizontal="left"/>
    </xf>
    <xf numFmtId="6" fontId="2" fillId="0" borderId="10" xfId="1" applyNumberFormat="1" applyFont="1" applyBorder="1" applyAlignment="1">
      <alignment horizontal="right"/>
    </xf>
    <xf numFmtId="166" fontId="0" fillId="0" borderId="0" xfId="2" applyNumberFormat="1" applyFont="1" applyAlignment="1">
      <alignment horizontal="right"/>
    </xf>
    <xf numFmtId="10" fontId="0" fillId="0" borderId="0" xfId="2" applyNumberFormat="1" applyFont="1" applyAlignment="1">
      <alignment horizontal="right"/>
    </xf>
    <xf numFmtId="0" fontId="0" fillId="0" borderId="1" xfId="0" applyFont="1" applyBorder="1"/>
    <xf numFmtId="5" fontId="0" fillId="0" borderId="4" xfId="1" applyNumberFormat="1" applyFont="1" applyFill="1" applyBorder="1" applyAlignment="1">
      <alignment horizontal="right"/>
    </xf>
    <xf numFmtId="0" fontId="0" fillId="0" borderId="31" xfId="0" applyFont="1" applyFill="1" applyBorder="1"/>
    <xf numFmtId="0" fontId="2" fillId="0" borderId="1" xfId="0" applyFont="1" applyFill="1" applyBorder="1" applyAlignment="1">
      <alignment horizontal="left"/>
    </xf>
    <xf numFmtId="5" fontId="2" fillId="0" borderId="11" xfId="1" applyNumberFormat="1" applyFont="1" applyBorder="1" applyAlignment="1">
      <alignment horizontal="right"/>
    </xf>
    <xf numFmtId="167" fontId="0" fillId="0" borderId="0" xfId="2" applyNumberFormat="1" applyFont="1" applyFill="1" applyBorder="1" applyAlignment="1">
      <alignment horizontal="right"/>
    </xf>
    <xf numFmtId="167" fontId="0" fillId="0" borderId="0" xfId="1" applyNumberFormat="1" applyFont="1" applyFill="1" applyBorder="1" applyAlignment="1">
      <alignment horizontal="right"/>
    </xf>
    <xf numFmtId="7" fontId="2" fillId="0" borderId="0" xfId="1" applyNumberFormat="1" applyFont="1" applyFill="1" applyBorder="1" applyAlignment="1">
      <alignment horizontal="right"/>
    </xf>
    <xf numFmtId="166" fontId="0" fillId="0" borderId="0" xfId="1" applyNumberFormat="1" applyFont="1" applyAlignment="1">
      <alignment horizontal="right"/>
    </xf>
    <xf numFmtId="0" fontId="69" fillId="0" borderId="0" xfId="0" applyFont="1"/>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0" xfId="0" applyFont="1" applyFill="1"/>
    <xf numFmtId="0" fontId="0" fillId="0" borderId="0" xfId="0" applyFill="1" applyBorder="1"/>
    <xf numFmtId="0" fontId="8" fillId="0" borderId="0" xfId="0" applyFont="1" applyFill="1" applyBorder="1" applyAlignment="1">
      <alignment horizontal="left"/>
    </xf>
    <xf numFmtId="164" fontId="13" fillId="0" borderId="0" xfId="1" applyNumberFormat="1" applyFont="1" applyAlignment="1">
      <alignment horizontal="right"/>
    </xf>
    <xf numFmtId="165" fontId="13" fillId="0" borderId="3" xfId="1" applyNumberFormat="1" applyFont="1" applyFill="1" applyBorder="1" applyAlignment="1">
      <alignment horizontal="right"/>
    </xf>
    <xf numFmtId="165" fontId="13" fillId="0" borderId="0" xfId="1" applyNumberFormat="1" applyFont="1" applyBorder="1" applyAlignment="1">
      <alignment horizontal="right"/>
    </xf>
    <xf numFmtId="165" fontId="13" fillId="0" borderId="4" xfId="1" applyNumberFormat="1" applyFont="1" applyBorder="1" applyAlignment="1">
      <alignment horizontal="right"/>
    </xf>
    <xf numFmtId="165" fontId="13" fillId="0" borderId="5" xfId="1" applyNumberFormat="1" applyFont="1" applyBorder="1" applyAlignment="1">
      <alignment horizontal="right"/>
    </xf>
    <xf numFmtId="165" fontId="5" fillId="0" borderId="0" xfId="1" applyNumberFormat="1" applyFont="1" applyBorder="1" applyAlignment="1">
      <alignment horizontal="right"/>
    </xf>
    <xf numFmtId="165" fontId="7" fillId="0" borderId="0" xfId="1" applyNumberFormat="1" applyFont="1" applyFill="1" applyBorder="1" applyAlignment="1">
      <alignment horizontal="right"/>
    </xf>
    <xf numFmtId="165" fontId="6" fillId="0" borderId="0" xfId="1" applyNumberFormat="1" applyFont="1" applyBorder="1" applyAlignment="1">
      <alignment horizontal="right"/>
    </xf>
    <xf numFmtId="165" fontId="7" fillId="0" borderId="5" xfId="1" applyNumberFormat="1" applyFont="1" applyBorder="1" applyAlignment="1">
      <alignment horizontal="right"/>
    </xf>
    <xf numFmtId="165" fontId="7" fillId="0" borderId="0" xfId="1" applyNumberFormat="1" applyFont="1" applyBorder="1" applyAlignment="1">
      <alignment horizontal="right"/>
    </xf>
    <xf numFmtId="168" fontId="0" fillId="0" borderId="3" xfId="1" applyNumberFormat="1" applyFont="1" applyFill="1" applyBorder="1" applyAlignment="1">
      <alignment horizontal="right"/>
    </xf>
    <xf numFmtId="168" fontId="0" fillId="0" borderId="0" xfId="1" applyNumberFormat="1" applyFont="1" applyFill="1" applyBorder="1" applyAlignment="1">
      <alignment horizontal="right"/>
    </xf>
    <xf numFmtId="168" fontId="0" fillId="0" borderId="4" xfId="1" applyNumberFormat="1" applyFont="1" applyFill="1" applyBorder="1" applyAlignment="1">
      <alignment horizontal="right"/>
    </xf>
    <xf numFmtId="168" fontId="0" fillId="0" borderId="5" xfId="1" applyNumberFormat="1" applyFont="1" applyFill="1" applyBorder="1" applyAlignment="1">
      <alignment horizontal="right"/>
    </xf>
    <xf numFmtId="0" fontId="0" fillId="0" borderId="0" xfId="0" applyFont="1" applyAlignment="1">
      <alignment horizontal="left"/>
    </xf>
    <xf numFmtId="168" fontId="0" fillId="0" borderId="0" xfId="0" applyNumberFormat="1" applyAlignment="1">
      <alignment horizontal="right"/>
    </xf>
    <xf numFmtId="165" fontId="0" fillId="0" borderId="3" xfId="1" applyNumberFormat="1" applyFont="1" applyFill="1" applyBorder="1" applyAlignment="1">
      <alignment horizontal="right"/>
    </xf>
    <xf numFmtId="165" fontId="0" fillId="0" borderId="0" xfId="1" applyNumberFormat="1" applyFont="1" applyBorder="1" applyAlignment="1">
      <alignment horizontal="right"/>
    </xf>
    <xf numFmtId="165" fontId="0" fillId="0" borderId="4" xfId="1" applyNumberFormat="1" applyFont="1" applyBorder="1" applyAlignment="1">
      <alignment horizontal="right"/>
    </xf>
    <xf numFmtId="165" fontId="0" fillId="0" borderId="5" xfId="1" applyNumberFormat="1" applyFont="1" applyBorder="1" applyAlignment="1">
      <alignment horizontal="right"/>
    </xf>
    <xf numFmtId="165" fontId="5" fillId="0" borderId="3" xfId="1" applyNumberFormat="1" applyFont="1" applyBorder="1" applyAlignment="1">
      <alignment horizontal="right"/>
    </xf>
    <xf numFmtId="165" fontId="0" fillId="0" borderId="0" xfId="1" applyNumberFormat="1" applyFont="1" applyFill="1" applyBorder="1" applyAlignment="1">
      <alignment horizontal="righ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10" fontId="1" fillId="0" borderId="0" xfId="2" quotePrefix="1" applyNumberFormat="1" applyFont="1" applyFill="1" applyBorder="1" applyAlignment="1">
      <alignment horizontal="right"/>
    </xf>
    <xf numFmtId="165" fontId="13" fillId="0" borderId="0" xfId="1" quotePrefix="1" applyNumberFormat="1" applyFont="1" applyFill="1" applyBorder="1" applyAlignment="1">
      <alignment horizontal="right"/>
    </xf>
    <xf numFmtId="0" fontId="10" fillId="0" borderId="0" xfId="0" applyFont="1"/>
    <xf numFmtId="164" fontId="19" fillId="0" borderId="0" xfId="1" quotePrefix="1" applyNumberFormat="1" applyFont="1" applyFill="1" applyBorder="1" applyAlignment="1">
      <alignment horizontal="right"/>
    </xf>
    <xf numFmtId="164" fontId="19" fillId="0" borderId="4" xfId="1" quotePrefix="1" applyNumberFormat="1" applyFont="1" applyFill="1" applyBorder="1" applyAlignment="1">
      <alignment horizontal="right"/>
    </xf>
    <xf numFmtId="0" fontId="0" fillId="0" borderId="3" xfId="0" applyFont="1" applyBorder="1" applyAlignment="1">
      <alignment horizontal="left"/>
    </xf>
    <xf numFmtId="0" fontId="0" fillId="0" borderId="4" xfId="0" applyFont="1" applyBorder="1" applyAlignment="1">
      <alignment horizontal="left"/>
    </xf>
    <xf numFmtId="0" fontId="2" fillId="0" borderId="3" xfId="0" applyFont="1" applyBorder="1" applyAlignment="1">
      <alignment horizontal="left"/>
    </xf>
    <xf numFmtId="0" fontId="2" fillId="0" borderId="4" xfId="0" applyFont="1" applyBorder="1" applyAlignment="1">
      <alignment horizontal="left"/>
    </xf>
    <xf numFmtId="0" fontId="0" fillId="0" borderId="3" xfId="0" applyFont="1" applyFill="1" applyBorder="1" applyAlignment="1">
      <alignment horizontal="left"/>
    </xf>
    <xf numFmtId="0" fontId="10" fillId="0" borderId="3" xfId="3" applyFont="1" applyFill="1" applyBorder="1" applyAlignment="1">
      <alignment horizontal="left" vertical="top"/>
    </xf>
    <xf numFmtId="0" fontId="10" fillId="0" borderId="4" xfId="3" applyFont="1" applyFill="1" applyBorder="1" applyAlignment="1">
      <alignment horizontal="left" vertical="top"/>
    </xf>
    <xf numFmtId="0" fontId="2" fillId="0" borderId="3" xfId="0" applyFont="1" applyFill="1" applyBorder="1" applyAlignment="1">
      <alignment horizontal="left"/>
    </xf>
    <xf numFmtId="0" fontId="2" fillId="0" borderId="4" xfId="0" applyFont="1" applyFill="1" applyBorder="1" applyAlignment="1">
      <alignment horizontal="left"/>
    </xf>
    <xf numFmtId="0" fontId="10" fillId="0" borderId="3" xfId="0" applyFont="1" applyFill="1" applyBorder="1" applyAlignment="1">
      <alignment horizontal="left"/>
    </xf>
    <xf numFmtId="165" fontId="1" fillId="0" borderId="0" xfId="1" applyNumberFormat="1" applyFont="1" applyFill="1" applyBorder="1" applyAlignment="1">
      <alignment horizontal="right"/>
    </xf>
    <xf numFmtId="165" fontId="1" fillId="0" borderId="4" xfId="1" applyNumberFormat="1" applyFont="1" applyFill="1" applyBorder="1" applyAlignment="1">
      <alignment horizontal="right"/>
    </xf>
    <xf numFmtId="165" fontId="1" fillId="0" borderId="5" xfId="1" applyNumberFormat="1" applyFont="1" applyFill="1" applyBorder="1" applyAlignment="1">
      <alignment horizontal="right"/>
    </xf>
    <xf numFmtId="165" fontId="1" fillId="0" borderId="3" xfId="1" applyNumberFormat="1" applyFont="1" applyFill="1" applyBorder="1" applyAlignment="1">
      <alignment horizontal="right"/>
    </xf>
    <xf numFmtId="165" fontId="10" fillId="0" borderId="0" xfId="1" applyNumberFormat="1" applyFont="1" applyFill="1" applyBorder="1" applyAlignment="1">
      <alignment horizontal="right"/>
    </xf>
    <xf numFmtId="165" fontId="2" fillId="0" borderId="0" xfId="1" applyNumberFormat="1" applyFont="1" applyFill="1" applyBorder="1" applyAlignment="1">
      <alignment horizontal="right"/>
    </xf>
    <xf numFmtId="165" fontId="4" fillId="0" borderId="0" xfId="1" applyNumberFormat="1" applyFont="1" applyFill="1" applyBorder="1" applyAlignment="1">
      <alignment horizontal="right"/>
    </xf>
    <xf numFmtId="165" fontId="4" fillId="0" borderId="4" xfId="1" applyNumberFormat="1" applyFont="1" applyFill="1" applyBorder="1" applyAlignment="1">
      <alignment horizontal="right"/>
    </xf>
    <xf numFmtId="165" fontId="4" fillId="0" borderId="5" xfId="1" applyNumberFormat="1" applyFont="1" applyFill="1" applyBorder="1" applyAlignment="1">
      <alignment horizontal="right"/>
    </xf>
    <xf numFmtId="165" fontId="4" fillId="0" borderId="3" xfId="1" applyNumberFormat="1" applyFont="1" applyFill="1" applyBorder="1" applyAlignment="1">
      <alignment horizontal="right"/>
    </xf>
    <xf numFmtId="165" fontId="11" fillId="0" borderId="0" xfId="1" applyNumberFormat="1" applyFont="1" applyFill="1" applyBorder="1" applyAlignment="1">
      <alignment horizontal="right"/>
    </xf>
    <xf numFmtId="164" fontId="19" fillId="0" borderId="5" xfId="1" quotePrefix="1" applyNumberFormat="1" applyFont="1" applyFill="1" applyBorder="1" applyAlignment="1">
      <alignment horizontal="right"/>
    </xf>
    <xf numFmtId="43" fontId="1" fillId="0" borderId="8" xfId="1" applyNumberFormat="1" applyFont="1" applyFill="1" applyBorder="1" applyAlignment="1">
      <alignment horizontal="right"/>
    </xf>
    <xf numFmtId="165" fontId="10" fillId="0" borderId="0" xfId="1" quotePrefix="1" applyNumberFormat="1" applyFont="1" applyFill="1" applyBorder="1" applyAlignment="1">
      <alignment horizontal="right"/>
    </xf>
    <xf numFmtId="165" fontId="10" fillId="0" borderId="4" xfId="1" quotePrefix="1" applyNumberFormat="1" applyFont="1" applyFill="1" applyBorder="1" applyAlignment="1">
      <alignment horizontal="right"/>
    </xf>
    <xf numFmtId="165" fontId="11" fillId="0" borderId="4" xfId="1" quotePrefix="1" applyNumberFormat="1" applyFont="1" applyFill="1" applyBorder="1" applyAlignment="1">
      <alignment horizontal="right"/>
    </xf>
    <xf numFmtId="165" fontId="3" fillId="0" borderId="0" xfId="1" applyNumberFormat="1" applyFont="1" applyFill="1" applyBorder="1" applyAlignment="1">
      <alignment horizontal="right"/>
    </xf>
    <xf numFmtId="165" fontId="3" fillId="0" borderId="4" xfId="1" applyNumberFormat="1" applyFont="1" applyFill="1" applyBorder="1" applyAlignment="1">
      <alignment horizontal="right"/>
    </xf>
    <xf numFmtId="165" fontId="10" fillId="0" borderId="5" xfId="1" quotePrefix="1" applyNumberFormat="1" applyFont="1" applyFill="1" applyBorder="1" applyAlignment="1">
      <alignment horizontal="right"/>
    </xf>
    <xf numFmtId="165" fontId="3" fillId="0" borderId="3" xfId="1" applyNumberFormat="1" applyFont="1" applyFill="1" applyBorder="1" applyAlignment="1">
      <alignment horizontal="right"/>
    </xf>
    <xf numFmtId="165" fontId="19" fillId="0" borderId="0" xfId="1" applyNumberFormat="1" applyFont="1" applyFill="1" applyBorder="1" applyAlignment="1">
      <alignment horizontal="right"/>
    </xf>
    <xf numFmtId="165" fontId="3" fillId="0" borderId="5" xfId="1" applyNumberFormat="1" applyFont="1" applyFill="1" applyBorder="1" applyAlignment="1">
      <alignment horizontal="right"/>
    </xf>
    <xf numFmtId="165" fontId="19" fillId="0" borderId="4" xfId="1" quotePrefix="1" applyNumberFormat="1" applyFont="1" applyFill="1" applyBorder="1" applyAlignment="1">
      <alignment horizontal="right"/>
    </xf>
    <xf numFmtId="165" fontId="11" fillId="0" borderId="0" xfId="1" quotePrefix="1" applyNumberFormat="1" applyFont="1" applyFill="1" applyBorder="1" applyAlignment="1">
      <alignment horizontal="right"/>
    </xf>
    <xf numFmtId="165" fontId="19" fillId="0" borderId="0" xfId="1" quotePrefix="1" applyNumberFormat="1" applyFont="1" applyFill="1" applyBorder="1" applyAlignment="1">
      <alignment horizontal="right"/>
    </xf>
    <xf numFmtId="164" fontId="16" fillId="3" borderId="11" xfId="1" quotePrefix="1" applyNumberFormat="1" applyFont="1" applyFill="1" applyBorder="1" applyAlignment="1">
      <alignment horizontal="right"/>
    </xf>
    <xf numFmtId="164" fontId="18" fillId="3" borderId="4" xfId="1" quotePrefix="1" applyNumberFormat="1" applyFont="1" applyFill="1" applyBorder="1" applyAlignment="1">
      <alignment horizontal="right"/>
    </xf>
    <xf numFmtId="0" fontId="0" fillId="0" borderId="4" xfId="0" applyBorder="1"/>
    <xf numFmtId="165" fontId="0" fillId="0" borderId="4" xfId="1" applyNumberFormat="1" applyFont="1" applyBorder="1"/>
    <xf numFmtId="165" fontId="67" fillId="0" borderId="0" xfId="1" applyNumberFormat="1" applyFont="1"/>
    <xf numFmtId="165" fontId="67" fillId="0" borderId="4" xfId="1" applyNumberFormat="1" applyFont="1" applyBorder="1"/>
    <xf numFmtId="165" fontId="67" fillId="0" borderId="0" xfId="1" applyNumberFormat="1" applyFont="1" applyBorder="1"/>
    <xf numFmtId="165" fontId="8" fillId="0" borderId="0" xfId="1" applyNumberFormat="1" applyFont="1"/>
    <xf numFmtId="165" fontId="8" fillId="0" borderId="4" xfId="1" applyNumberFormat="1" applyFont="1" applyBorder="1"/>
    <xf numFmtId="165" fontId="8" fillId="0" borderId="6" xfId="1" applyNumberFormat="1" applyFont="1" applyBorder="1"/>
    <xf numFmtId="165" fontId="8" fillId="0" borderId="10" xfId="1" applyNumberFormat="1" applyFont="1" applyBorder="1"/>
    <xf numFmtId="165" fontId="10" fillId="0" borderId="0" xfId="1" applyNumberFormat="1" applyFont="1" applyFill="1" applyAlignment="1">
      <alignment vertical="top"/>
    </xf>
    <xf numFmtId="165" fontId="8" fillId="0" borderId="7" xfId="1" applyNumberFormat="1" applyFont="1" applyBorder="1"/>
    <xf numFmtId="165" fontId="10" fillId="0" borderId="0" xfId="1" applyNumberFormat="1" applyFont="1" applyBorder="1" applyAlignment="1">
      <alignment horizontal="right"/>
    </xf>
    <xf numFmtId="165" fontId="4" fillId="0" borderId="0" xfId="1" applyNumberFormat="1" applyFont="1" applyBorder="1" applyAlignment="1">
      <alignment horizontal="right"/>
    </xf>
    <xf numFmtId="165" fontId="1" fillId="0" borderId="0" xfId="1" applyNumberFormat="1" applyFont="1" applyBorder="1" applyAlignment="1">
      <alignment horizontal="right"/>
    </xf>
    <xf numFmtId="165" fontId="1" fillId="0" borderId="5" xfId="1" applyNumberFormat="1" applyFont="1" applyBorder="1" applyAlignment="1">
      <alignment horizontal="right"/>
    </xf>
    <xf numFmtId="165" fontId="4" fillId="0" borderId="5" xfId="1" applyNumberFormat="1" applyFont="1" applyBorder="1" applyAlignment="1">
      <alignment horizontal="right"/>
    </xf>
    <xf numFmtId="165" fontId="3" fillId="0" borderId="5" xfId="1" applyNumberFormat="1" applyFont="1" applyBorder="1" applyAlignment="1">
      <alignment horizontal="right"/>
    </xf>
    <xf numFmtId="165" fontId="3" fillId="0" borderId="8" xfId="1" applyNumberFormat="1" applyFont="1" applyBorder="1" applyAlignment="1">
      <alignment horizontal="right"/>
    </xf>
    <xf numFmtId="165" fontId="3" fillId="0" borderId="8" xfId="1" applyNumberFormat="1" applyFont="1" applyFill="1" applyBorder="1" applyAlignment="1">
      <alignment horizontal="right"/>
    </xf>
    <xf numFmtId="165" fontId="1" fillId="0" borderId="0" xfId="1" applyNumberFormat="1" applyFont="1"/>
    <xf numFmtId="165" fontId="1" fillId="0" borderId="4" xfId="1" applyNumberFormat="1" applyFont="1" applyBorder="1"/>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Border="1" applyAlignment="1">
      <alignment horizontal="left" wrapText="1"/>
    </xf>
    <xf numFmtId="0" fontId="0" fillId="0" borderId="4" xfId="0" applyFont="1" applyBorder="1" applyAlignment="1">
      <alignment horizontal="left" wrapText="1"/>
    </xf>
    <xf numFmtId="0" fontId="0" fillId="0" borderId="3" xfId="0" applyFont="1" applyFill="1" applyBorder="1" applyAlignment="1">
      <alignment horizontal="left"/>
    </xf>
    <xf numFmtId="0" fontId="0" fillId="0" borderId="4" xfId="0" applyFont="1" applyFill="1" applyBorder="1" applyAlignment="1">
      <alignment horizontal="left"/>
    </xf>
    <xf numFmtId="165" fontId="0" fillId="0" borderId="5" xfId="1" applyNumberFormat="1" applyFont="1" applyFill="1" applyBorder="1" applyAlignment="1">
      <alignment horizontal="right"/>
    </xf>
    <xf numFmtId="165" fontId="0" fillId="0" borderId="0" xfId="0" applyNumberFormat="1" applyFill="1" applyBorder="1"/>
    <xf numFmtId="165" fontId="0" fillId="0" borderId="4" xfId="1" applyNumberFormat="1" applyFont="1" applyFill="1" applyBorder="1" applyAlignment="1">
      <alignment horizontal="right"/>
    </xf>
    <xf numFmtId="165" fontId="0" fillId="0" borderId="4" xfId="0" applyNumberFormat="1" applyBorder="1"/>
    <xf numFmtId="165" fontId="0" fillId="0" borderId="3" xfId="1" applyNumberFormat="1" applyFont="1" applyBorder="1" applyAlignment="1">
      <alignment horizontal="right"/>
    </xf>
    <xf numFmtId="165" fontId="2" fillId="0" borderId="3" xfId="1" applyNumberFormat="1" applyFont="1" applyFill="1" applyBorder="1" applyAlignment="1">
      <alignment horizontal="right"/>
    </xf>
    <xf numFmtId="165" fontId="2" fillId="0" borderId="4" xfId="1" applyNumberFormat="1" applyFont="1" applyFill="1" applyBorder="1" applyAlignment="1">
      <alignment horizontal="right"/>
    </xf>
    <xf numFmtId="165" fontId="2" fillId="0" borderId="5" xfId="1" applyNumberFormat="1" applyFont="1" applyFill="1" applyBorder="1" applyAlignment="1">
      <alignment horizontal="right"/>
    </xf>
    <xf numFmtId="165" fontId="0" fillId="0" borderId="0" xfId="0" applyNumberFormat="1" applyFont="1"/>
    <xf numFmtId="165" fontId="4" fillId="0" borderId="0" xfId="0" applyNumberFormat="1" applyFont="1"/>
    <xf numFmtId="165" fontId="4" fillId="0" borderId="4" xfId="0" applyNumberFormat="1" applyFont="1" applyBorder="1"/>
    <xf numFmtId="165" fontId="2" fillId="0" borderId="0" xfId="1" applyNumberFormat="1" applyFont="1" applyBorder="1" applyAlignment="1">
      <alignment horizontal="right"/>
    </xf>
    <xf numFmtId="165" fontId="2" fillId="0" borderId="4" xfId="0" applyNumberFormat="1" applyFont="1" applyBorder="1"/>
    <xf numFmtId="165" fontId="1" fillId="0" borderId="3" xfId="1" applyNumberFormat="1" applyFont="1" applyBorder="1" applyAlignment="1">
      <alignment horizontal="right"/>
    </xf>
    <xf numFmtId="165" fontId="4" fillId="0" borderId="3" xfId="1" applyNumberFormat="1" applyFont="1" applyBorder="1" applyAlignment="1">
      <alignment horizontal="right"/>
    </xf>
    <xf numFmtId="165" fontId="2" fillId="0" borderId="3" xfId="1" applyNumberFormat="1" applyFont="1" applyBorder="1" applyAlignment="1">
      <alignment horizontal="right"/>
    </xf>
    <xf numFmtId="165" fontId="2" fillId="0" borderId="5" xfId="1" applyNumberFormat="1" applyFont="1" applyBorder="1" applyAlignment="1">
      <alignment horizontal="right"/>
    </xf>
    <xf numFmtId="165" fontId="0" fillId="0" borderId="4" xfId="0" applyNumberFormat="1" applyFill="1" applyBorder="1"/>
    <xf numFmtId="165" fontId="0" fillId="0" borderId="0" xfId="0" applyNumberFormat="1" applyFont="1" applyFill="1"/>
    <xf numFmtId="165" fontId="1" fillId="0" borderId="6" xfId="1" applyNumberFormat="1" applyFont="1" applyFill="1" applyBorder="1" applyAlignment="1">
      <alignment horizontal="right"/>
    </xf>
    <xf numFmtId="165" fontId="1" fillId="0" borderId="7" xfId="1" applyNumberFormat="1" applyFont="1" applyBorder="1" applyAlignment="1">
      <alignment horizontal="right"/>
    </xf>
    <xf numFmtId="165" fontId="1" fillId="0" borderId="8" xfId="1" applyNumberFormat="1" applyFont="1" applyBorder="1" applyAlignment="1">
      <alignment horizontal="right"/>
    </xf>
    <xf numFmtId="165" fontId="1" fillId="0" borderId="7" xfId="1" applyNumberFormat="1" applyFont="1" applyFill="1" applyBorder="1" applyAlignment="1">
      <alignment horizontal="right"/>
    </xf>
    <xf numFmtId="0" fontId="0" fillId="0" borderId="4" xfId="0" applyFont="1" applyFill="1" applyBorder="1" applyAlignment="1"/>
    <xf numFmtId="0" fontId="2" fillId="0" borderId="3" xfId="0" applyFont="1" applyFill="1" applyBorder="1" applyAlignment="1"/>
    <xf numFmtId="0" fontId="2" fillId="0" borderId="4" xfId="0" applyFont="1" applyFill="1" applyBorder="1" applyAlignment="1"/>
    <xf numFmtId="165" fontId="1" fillId="0" borderId="0" xfId="1" quotePrefix="1" applyNumberFormat="1" applyFont="1" applyFill="1" applyBorder="1" applyAlignment="1">
      <alignment horizontal="right" wrapText="1"/>
    </xf>
    <xf numFmtId="0" fontId="0" fillId="0" borderId="0" xfId="0" applyFill="1" applyBorder="1" applyAlignment="1">
      <alignment wrapText="1"/>
    </xf>
    <xf numFmtId="0" fontId="70" fillId="0" borderId="4" xfId="0" applyFont="1" applyFill="1" applyBorder="1" applyAlignment="1">
      <alignment horizontal="left" wrapText="1"/>
    </xf>
    <xf numFmtId="0" fontId="2" fillId="0" borderId="3" xfId="0" applyFont="1" applyFill="1" applyBorder="1" applyAlignment="1">
      <alignment horizontal="left" indent="1"/>
    </xf>
    <xf numFmtId="0" fontId="10" fillId="0" borderId="3" xfId="0" applyFont="1" applyFill="1" applyBorder="1" applyAlignment="1">
      <alignment horizontal="left" indent="2"/>
    </xf>
    <xf numFmtId="0" fontId="0" fillId="0" borderId="0" xfId="0" applyFont="1" applyFill="1" applyBorder="1"/>
    <xf numFmtId="165" fontId="1" fillId="0" borderId="5" xfId="2" quotePrefix="1" applyNumberFormat="1" applyFont="1" applyFill="1" applyBorder="1" applyAlignment="1">
      <alignment horizontal="right"/>
    </xf>
    <xf numFmtId="43" fontId="1" fillId="0" borderId="5" xfId="2" quotePrefix="1" applyNumberFormat="1" applyFont="1" applyFill="1" applyBorder="1" applyAlignment="1">
      <alignment horizontal="right"/>
    </xf>
    <xf numFmtId="43" fontId="0" fillId="0" borderId="5" xfId="1" quotePrefix="1" applyFont="1" applyFill="1" applyBorder="1" applyAlignment="1">
      <alignment horizontal="right"/>
    </xf>
    <xf numFmtId="43" fontId="1" fillId="0" borderId="0" xfId="1" quotePrefix="1" applyNumberFormat="1" applyFont="1" applyFill="1" applyBorder="1" applyAlignment="1">
      <alignment horizontal="right"/>
    </xf>
    <xf numFmtId="43" fontId="1" fillId="0" borderId="5" xfId="1" quotePrefix="1" applyNumberFormat="1" applyFont="1" applyFill="1" applyBorder="1" applyAlignment="1">
      <alignment horizontal="right"/>
    </xf>
    <xf numFmtId="43" fontId="1" fillId="0" borderId="0" xfId="2" quotePrefix="1" applyNumberFormat="1" applyFont="1" applyFill="1" applyBorder="1" applyAlignment="1">
      <alignment horizontal="right"/>
    </xf>
    <xf numFmtId="165" fontId="1" fillId="0" borderId="37" xfId="1" quotePrefix="1" applyNumberFormat="1" applyFont="1" applyFill="1" applyBorder="1" applyAlignment="1">
      <alignment horizontal="right" wrapText="1"/>
    </xf>
    <xf numFmtId="9" fontId="0" fillId="0" borderId="5" xfId="2" quotePrefix="1" applyFont="1" applyFill="1" applyBorder="1" applyAlignment="1">
      <alignment horizontal="right"/>
    </xf>
    <xf numFmtId="10" fontId="1" fillId="0" borderId="5" xfId="2" quotePrefix="1" applyNumberFormat="1" applyFont="1" applyFill="1" applyBorder="1" applyAlignment="1">
      <alignment horizontal="right"/>
    </xf>
    <xf numFmtId="10" fontId="1" fillId="2" borderId="0" xfId="2" quotePrefix="1" applyNumberFormat="1" applyFont="1" applyFill="1" applyBorder="1" applyAlignment="1">
      <alignment horizontal="right"/>
    </xf>
    <xf numFmtId="43" fontId="1" fillId="2" borderId="0" xfId="1" quotePrefix="1" applyFont="1" applyFill="1" applyBorder="1" applyAlignment="1">
      <alignment horizontal="right"/>
    </xf>
    <xf numFmtId="9" fontId="1" fillId="0" borderId="5" xfId="2" quotePrefix="1" applyNumberFormat="1" applyFont="1" applyFill="1" applyBorder="1" applyAlignment="1">
      <alignment horizontal="right"/>
    </xf>
    <xf numFmtId="43" fontId="1" fillId="2" borderId="0" xfId="1" quotePrefix="1" applyNumberFormat="1" applyFont="1" applyFill="1" applyBorder="1" applyAlignment="1">
      <alignment horizontal="right"/>
    </xf>
    <xf numFmtId="10" fontId="0" fillId="2" borderId="0" xfId="2" quotePrefix="1" applyNumberFormat="1" applyFont="1" applyFill="1" applyBorder="1" applyAlignment="1">
      <alignment horizontal="right"/>
    </xf>
    <xf numFmtId="10" fontId="1" fillId="2" borderId="0" xfId="1" quotePrefix="1" applyNumberFormat="1" applyFont="1" applyFill="1" applyBorder="1" applyAlignment="1">
      <alignment horizontal="right"/>
    </xf>
    <xf numFmtId="165" fontId="10" fillId="0" borderId="5" xfId="1" applyNumberFormat="1" applyFont="1" applyFill="1" applyBorder="1" applyAlignment="1">
      <alignment horizontal="right"/>
    </xf>
    <xf numFmtId="0" fontId="0" fillId="0" borderId="0" xfId="0" applyFill="1" applyBorder="1" applyAlignment="1">
      <alignment horizontal="left" wrapText="1"/>
    </xf>
    <xf numFmtId="168" fontId="0" fillId="0" borderId="0" xfId="1" applyNumberFormat="1" applyFont="1" applyFill="1"/>
    <xf numFmtId="165" fontId="19" fillId="0" borderId="5" xfId="1" applyNumberFormat="1" applyFont="1" applyFill="1" applyBorder="1" applyAlignment="1">
      <alignment horizontal="right"/>
    </xf>
    <xf numFmtId="165" fontId="10" fillId="0" borderId="0" xfId="0" applyNumberFormat="1" applyFont="1"/>
    <xf numFmtId="165" fontId="11" fillId="0" borderId="5" xfId="1" quotePrefix="1" applyNumberFormat="1" applyFont="1" applyFill="1" applyBorder="1" applyAlignment="1">
      <alignment horizontal="right"/>
    </xf>
    <xf numFmtId="165" fontId="11" fillId="0" borderId="5" xfId="1" applyNumberFormat="1" applyFont="1" applyFill="1" applyBorder="1" applyAlignment="1">
      <alignment horizontal="right"/>
    </xf>
    <xf numFmtId="0" fontId="0" fillId="0" borderId="3" xfId="0" applyFont="1" applyBorder="1" applyAlignment="1">
      <alignment horizontal="left"/>
    </xf>
    <xf numFmtId="0" fontId="2" fillId="0" borderId="4" xfId="0" applyFont="1" applyBorder="1" applyAlignment="1">
      <alignment horizontal="left"/>
    </xf>
    <xf numFmtId="0" fontId="2" fillId="0" borderId="3" xfId="0" applyFont="1" applyFill="1" applyBorder="1" applyAlignment="1">
      <alignment horizontal="left"/>
    </xf>
    <xf numFmtId="0" fontId="2" fillId="0" borderId="10" xfId="0" applyFont="1" applyBorder="1" applyAlignment="1">
      <alignment horizontal="left"/>
    </xf>
    <xf numFmtId="0" fontId="0" fillId="0" borderId="6" xfId="0" applyFont="1" applyBorder="1" applyAlignment="1">
      <alignment horizontal="left"/>
    </xf>
    <xf numFmtId="0" fontId="2" fillId="0" borderId="4" xfId="0" applyFont="1" applyFill="1" applyBorder="1" applyAlignment="1">
      <alignment horizontal="left"/>
    </xf>
    <xf numFmtId="165" fontId="19" fillId="0" borderId="3" xfId="1" applyNumberFormat="1" applyFont="1" applyFill="1" applyBorder="1" applyAlignment="1">
      <alignment horizontal="right"/>
    </xf>
    <xf numFmtId="165" fontId="4" fillId="0" borderId="0" xfId="1" quotePrefix="1" applyNumberFormat="1" applyFont="1" applyFill="1" applyBorder="1" applyAlignment="1">
      <alignment horizontal="right"/>
    </xf>
    <xf numFmtId="165" fontId="4" fillId="0" borderId="5" xfId="1" quotePrefix="1" applyNumberFormat="1" applyFont="1" applyFill="1" applyBorder="1" applyAlignment="1">
      <alignment horizontal="right"/>
    </xf>
    <xf numFmtId="165" fontId="2" fillId="0" borderId="0" xfId="1" quotePrefix="1" applyNumberFormat="1" applyFont="1" applyFill="1" applyBorder="1" applyAlignment="1">
      <alignment horizontal="right"/>
    </xf>
    <xf numFmtId="165" fontId="2" fillId="0" borderId="5" xfId="1" quotePrefix="1" applyNumberFormat="1" applyFont="1" applyFill="1" applyBorder="1" applyAlignment="1">
      <alignment horizontal="right"/>
    </xf>
    <xf numFmtId="165" fontId="3" fillId="0" borderId="0" xfId="1" quotePrefix="1" applyNumberFormat="1" applyFont="1" applyFill="1" applyBorder="1" applyAlignment="1">
      <alignment horizontal="right"/>
    </xf>
    <xf numFmtId="0" fontId="2" fillId="0" borderId="34" xfId="0" applyFont="1" applyFill="1" applyBorder="1" applyAlignment="1">
      <alignment horizontal="left"/>
    </xf>
    <xf numFmtId="0" fontId="2" fillId="0" borderId="35" xfId="0" applyFont="1" applyFill="1" applyBorder="1" applyAlignment="1">
      <alignment horizontal="left"/>
    </xf>
    <xf numFmtId="165" fontId="3" fillId="0" borderId="34" xfId="1" quotePrefix="1" applyNumberFormat="1" applyFont="1" applyFill="1" applyBorder="1" applyAlignment="1">
      <alignment horizontal="right"/>
    </xf>
    <xf numFmtId="165" fontId="3" fillId="0" borderId="36" xfId="1" quotePrefix="1" applyNumberFormat="1" applyFont="1" applyFill="1" applyBorder="1" applyAlignment="1">
      <alignment horizontal="right"/>
    </xf>
    <xf numFmtId="165" fontId="3" fillId="0" borderId="35" xfId="1" quotePrefix="1" applyNumberFormat="1" applyFont="1" applyFill="1" applyBorder="1" applyAlignment="1">
      <alignment horizontal="right"/>
    </xf>
    <xf numFmtId="165" fontId="3" fillId="0" borderId="33" xfId="1" quotePrefix="1" applyNumberFormat="1" applyFont="1" applyFill="1" applyBorder="1" applyAlignment="1">
      <alignment horizontal="right"/>
    </xf>
    <xf numFmtId="10" fontId="10" fillId="0" borderId="0" xfId="2" applyNumberFormat="1" applyFont="1"/>
    <xf numFmtId="165" fontId="0" fillId="0" borderId="0" xfId="1" applyNumberFormat="1" applyFont="1" applyFill="1"/>
    <xf numFmtId="165" fontId="3" fillId="0" borderId="27" xfId="1" quotePrefix="1" applyNumberFormat="1" applyFont="1" applyFill="1" applyBorder="1" applyAlignment="1">
      <alignment horizontal="right"/>
    </xf>
    <xf numFmtId="165" fontId="3" fillId="0" borderId="29" xfId="1" quotePrefix="1" applyNumberFormat="1" applyFont="1" applyFill="1" applyBorder="1" applyAlignment="1">
      <alignment horizontal="right"/>
    </xf>
    <xf numFmtId="165" fontId="3" fillId="0" borderId="30" xfId="1" quotePrefix="1" applyNumberFormat="1" applyFont="1" applyFill="1" applyBorder="1" applyAlignment="1">
      <alignment horizontal="right"/>
    </xf>
    <xf numFmtId="165" fontId="3" fillId="0" borderId="28" xfId="1" quotePrefix="1" applyNumberFormat="1" applyFont="1" applyFill="1" applyBorder="1" applyAlignment="1">
      <alignment horizontal="right"/>
    </xf>
    <xf numFmtId="165" fontId="10" fillId="0" borderId="0" xfId="2" applyNumberFormat="1" applyFont="1"/>
    <xf numFmtId="165" fontId="10" fillId="0" borderId="4" xfId="2" applyNumberFormat="1" applyFont="1" applyBorder="1"/>
    <xf numFmtId="166" fontId="1" fillId="0" borderId="29" xfId="2" quotePrefix="1" applyNumberFormat="1" applyFont="1" applyFill="1" applyBorder="1" applyAlignment="1">
      <alignment horizontal="right"/>
    </xf>
    <xf numFmtId="166" fontId="1" fillId="0" borderId="33" xfId="2" quotePrefix="1" applyNumberFormat="1" applyFont="1" applyFill="1" applyBorder="1" applyAlignment="1">
      <alignment horizontal="right"/>
    </xf>
    <xf numFmtId="227" fontId="0" fillId="0" borderId="0" xfId="2" quotePrefix="1" applyNumberFormat="1" applyFont="1" applyFill="1" applyBorder="1" applyAlignment="1">
      <alignment horizontal="right"/>
    </xf>
    <xf numFmtId="165" fontId="10" fillId="0" borderId="0" xfId="330" quotePrefix="1" applyNumberFormat="1" applyFont="1" applyFill="1" applyBorder="1" applyAlignment="1">
      <alignment horizontal="right"/>
    </xf>
    <xf numFmtId="43" fontId="10" fillId="0" borderId="7" xfId="1" applyNumberFormat="1" applyFont="1" applyFill="1" applyBorder="1" applyAlignment="1">
      <alignment horizontal="right"/>
    </xf>
    <xf numFmtId="43" fontId="10" fillId="0" borderId="10" xfId="1" applyNumberFormat="1" applyFont="1" applyFill="1" applyBorder="1" applyAlignment="1">
      <alignment horizontal="right"/>
    </xf>
    <xf numFmtId="44" fontId="10" fillId="0" borderId="0" xfId="329" applyFont="1"/>
    <xf numFmtId="165" fontId="1" fillId="0" borderId="10" xfId="1" applyNumberFormat="1" applyFont="1" applyFill="1" applyBorder="1" applyAlignment="1">
      <alignment horizontal="right"/>
    </xf>
    <xf numFmtId="165" fontId="0" fillId="0" borderId="7" xfId="0" applyNumberFormat="1" applyFont="1" applyBorder="1"/>
    <xf numFmtId="43" fontId="1" fillId="0" borderId="6" xfId="1" applyNumberFormat="1" applyFont="1" applyFill="1" applyBorder="1" applyAlignment="1">
      <alignment horizontal="right"/>
    </xf>
    <xf numFmtId="43" fontId="1" fillId="0" borderId="7" xfId="1" applyNumberFormat="1" applyFont="1" applyBorder="1" applyAlignment="1">
      <alignment horizontal="right"/>
    </xf>
    <xf numFmtId="43" fontId="1" fillId="0" borderId="10" xfId="1" applyNumberFormat="1" applyFont="1" applyBorder="1" applyAlignment="1">
      <alignment horizontal="right"/>
    </xf>
    <xf numFmtId="43" fontId="1" fillId="0" borderId="8" xfId="1" applyNumberFormat="1" applyFont="1" applyBorder="1" applyAlignment="1">
      <alignment horizontal="right"/>
    </xf>
    <xf numFmtId="6" fontId="0" fillId="0" borderId="32" xfId="0" applyNumberFormat="1" applyFont="1" applyBorder="1" applyAlignment="1">
      <alignment horizontal="right"/>
    </xf>
    <xf numFmtId="168" fontId="10" fillId="0" borderId="0" xfId="0" applyNumberFormat="1" applyFont="1"/>
    <xf numFmtId="0" fontId="0" fillId="0" borderId="3"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43" fontId="10" fillId="2" borderId="0" xfId="1" applyNumberFormat="1" applyFont="1" applyFill="1" applyBorder="1" applyAlignment="1">
      <alignment horizontal="right"/>
    </xf>
    <xf numFmtId="164" fontId="11" fillId="0" borderId="0" xfId="1" quotePrefix="1" applyNumberFormat="1" applyFont="1" applyFill="1" applyBorder="1" applyAlignment="1">
      <alignment horizontal="right"/>
    </xf>
    <xf numFmtId="164" fontId="11" fillId="0" borderId="4" xfId="1" quotePrefix="1" applyNumberFormat="1" applyFont="1" applyFill="1" applyBorder="1" applyAlignment="1">
      <alignment horizontal="right"/>
    </xf>
    <xf numFmtId="0" fontId="10" fillId="0" borderId="28" xfId="0" applyFont="1" applyFill="1" applyBorder="1" applyAlignment="1">
      <alignment horizontal="left" indent="2"/>
    </xf>
    <xf numFmtId="43" fontId="1" fillId="0" borderId="30" xfId="1" quotePrefix="1" applyFont="1" applyFill="1" applyBorder="1" applyAlignment="1">
      <alignment horizontal="right"/>
    </xf>
    <xf numFmtId="43" fontId="1" fillId="0" borderId="27" xfId="1" quotePrefix="1" applyFont="1" applyFill="1" applyBorder="1" applyAlignment="1">
      <alignment horizontal="right"/>
    </xf>
    <xf numFmtId="43" fontId="1" fillId="0" borderId="30" xfId="1" quotePrefix="1" applyNumberFormat="1" applyFont="1" applyFill="1" applyBorder="1" applyAlignment="1">
      <alignment horizontal="right"/>
    </xf>
    <xf numFmtId="43" fontId="1" fillId="2" borderId="30" xfId="1" quotePrefix="1" applyNumberFormat="1" applyFont="1" applyFill="1" applyBorder="1" applyAlignment="1">
      <alignment horizontal="right"/>
    </xf>
    <xf numFmtId="43" fontId="1" fillId="0" borderId="27" xfId="1" quotePrefix="1" applyNumberFormat="1" applyFont="1" applyFill="1" applyBorder="1" applyAlignment="1">
      <alignment horizontal="right"/>
    </xf>
    <xf numFmtId="43" fontId="1" fillId="0" borderId="27" xfId="2" quotePrefix="1" applyNumberFormat="1" applyFont="1" applyFill="1" applyBorder="1" applyAlignment="1">
      <alignment horizontal="right"/>
    </xf>
    <xf numFmtId="165" fontId="2" fillId="0" borderId="41" xfId="1" quotePrefix="1" applyNumberFormat="1" applyFont="1" applyBorder="1" applyAlignment="1">
      <alignment horizontal="right"/>
    </xf>
    <xf numFmtId="165" fontId="2" fillId="0" borderId="38" xfId="1" quotePrefix="1" applyNumberFormat="1" applyFont="1" applyBorder="1" applyAlignment="1">
      <alignment horizontal="right"/>
    </xf>
    <xf numFmtId="165" fontId="2" fillId="0" borderId="41" xfId="1" quotePrefix="1" applyNumberFormat="1" applyFont="1" applyFill="1" applyBorder="1" applyAlignment="1">
      <alignment horizontal="right"/>
    </xf>
    <xf numFmtId="165" fontId="1" fillId="2" borderId="0" xfId="1" quotePrefix="1" applyNumberFormat="1" applyFont="1" applyFill="1" applyBorder="1" applyAlignment="1">
      <alignment horizontal="right"/>
    </xf>
    <xf numFmtId="165" fontId="0" fillId="0" borderId="5" xfId="1" quotePrefix="1" applyNumberFormat="1" applyFont="1" applyFill="1" applyBorder="1" applyAlignment="1">
      <alignment horizontal="right"/>
    </xf>
    <xf numFmtId="165" fontId="1" fillId="0" borderId="0" xfId="2" quotePrefix="1" applyNumberFormat="1" applyFont="1" applyFill="1" applyBorder="1" applyAlignment="1">
      <alignment horizontal="right"/>
    </xf>
    <xf numFmtId="165" fontId="19" fillId="0" borderId="5" xfId="331" applyNumberFormat="1" applyFont="1" applyFill="1" applyBorder="1" applyAlignment="1">
      <alignment horizontal="right"/>
    </xf>
    <xf numFmtId="0" fontId="10" fillId="0" borderId="43" xfId="0" applyFont="1" applyFill="1" applyBorder="1" applyAlignment="1">
      <alignment horizontal="left" indent="2"/>
    </xf>
    <xf numFmtId="165" fontId="1" fillId="0" borderId="44" xfId="1" quotePrefix="1" applyNumberFormat="1" applyFont="1" applyFill="1" applyBorder="1" applyAlignment="1">
      <alignment horizontal="right"/>
    </xf>
    <xf numFmtId="165" fontId="1" fillId="0" borderId="42" xfId="1" quotePrefix="1" applyNumberFormat="1" applyFont="1" applyFill="1" applyBorder="1" applyAlignment="1">
      <alignment horizontal="right"/>
    </xf>
    <xf numFmtId="165" fontId="1" fillId="2" borderId="44" xfId="1" quotePrefix="1" applyNumberFormat="1" applyFont="1" applyFill="1" applyBorder="1" applyAlignment="1">
      <alignment horizontal="right"/>
    </xf>
    <xf numFmtId="165" fontId="1" fillId="0" borderId="42" xfId="2" quotePrefix="1" applyNumberFormat="1" applyFont="1" applyFill="1" applyBorder="1" applyAlignment="1">
      <alignment horizontal="right"/>
    </xf>
    <xf numFmtId="165" fontId="10" fillId="0" borderId="0" xfId="330" applyNumberFormat="1" applyFont="1" applyFill="1" applyBorder="1" applyAlignment="1">
      <alignment horizontal="right"/>
    </xf>
    <xf numFmtId="0" fontId="2" fillId="0" borderId="0" xfId="0" applyFont="1" applyFill="1"/>
    <xf numFmtId="165" fontId="10" fillId="2" borderId="0" xfId="1" applyNumberFormat="1" applyFont="1" applyFill="1" applyBorder="1" applyAlignment="1">
      <alignment horizontal="right"/>
    </xf>
    <xf numFmtId="165" fontId="3" fillId="2" borderId="0" xfId="1" quotePrefix="1" applyNumberFormat="1" applyFont="1" applyFill="1" applyBorder="1" applyAlignment="1">
      <alignment horizontal="right"/>
    </xf>
    <xf numFmtId="43" fontId="10" fillId="0" borderId="0" xfId="331" applyNumberFormat="1" applyFont="1" applyFill="1" applyBorder="1" applyAlignment="1">
      <alignment horizontal="right"/>
    </xf>
    <xf numFmtId="43" fontId="10" fillId="0" borderId="5" xfId="331" applyNumberFormat="1" applyFont="1" applyFill="1" applyBorder="1" applyAlignment="1">
      <alignment horizontal="right"/>
    </xf>
    <xf numFmtId="43" fontId="0" fillId="0" borderId="4" xfId="1" applyNumberFormat="1" applyFont="1" applyFill="1" applyBorder="1" applyAlignment="1">
      <alignment horizontal="right"/>
    </xf>
    <xf numFmtId="164" fontId="65" fillId="0" borderId="0" xfId="1" applyNumberFormat="1" applyFont="1" applyFill="1" applyBorder="1" applyAlignment="1">
      <alignment horizontal="right"/>
    </xf>
    <xf numFmtId="164" fontId="66" fillId="0" borderId="0" xfId="1" applyNumberFormat="1" applyFont="1" applyFill="1" applyBorder="1" applyAlignment="1">
      <alignment horizontal="right"/>
    </xf>
    <xf numFmtId="0" fontId="10" fillId="0" borderId="0" xfId="0" applyFont="1" applyFill="1" applyBorder="1"/>
    <xf numFmtId="0" fontId="10" fillId="0" borderId="0" xfId="0" applyFont="1" applyBorder="1"/>
    <xf numFmtId="0" fontId="0" fillId="0" borderId="3" xfId="0" applyFont="1" applyFill="1" applyBorder="1" applyAlignment="1">
      <alignment horizontal="left"/>
    </xf>
    <xf numFmtId="0" fontId="0" fillId="0" borderId="4" xfId="0" applyFont="1" applyFill="1" applyBorder="1" applyAlignment="1">
      <alignment horizontal="left"/>
    </xf>
    <xf numFmtId="0" fontId="2" fillId="0" borderId="3" xfId="0" applyFont="1" applyFill="1" applyBorder="1" applyAlignment="1">
      <alignment horizontal="left" wrapText="1"/>
    </xf>
    <xf numFmtId="0" fontId="0" fillId="0" borderId="3" xfId="0" applyFont="1" applyBorder="1" applyAlignment="1">
      <alignment horizontal="left"/>
    </xf>
    <xf numFmtId="0" fontId="0" fillId="0" borderId="4" xfId="0" applyFont="1" applyBorder="1" applyAlignment="1">
      <alignment horizontal="left"/>
    </xf>
    <xf numFmtId="0" fontId="2" fillId="0" borderId="3" xfId="0" applyFont="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165" fontId="11" fillId="0" borderId="0" xfId="330" applyNumberFormat="1" applyFont="1" applyFill="1" applyBorder="1" applyAlignment="1">
      <alignment horizontal="right"/>
    </xf>
    <xf numFmtId="165" fontId="19" fillId="0" borderId="0" xfId="331" applyNumberFormat="1" applyFont="1" applyFill="1" applyBorder="1" applyAlignment="1">
      <alignment horizontal="right"/>
    </xf>
    <xf numFmtId="0" fontId="10" fillId="0" borderId="4" xfId="0" applyFont="1" applyFill="1" applyBorder="1" applyAlignment="1">
      <alignment horizontal="left"/>
    </xf>
    <xf numFmtId="0" fontId="0" fillId="0" borderId="10" xfId="0" applyFont="1" applyFill="1" applyBorder="1" applyAlignment="1">
      <alignment horizontal="left"/>
    </xf>
    <xf numFmtId="0" fontId="0" fillId="0" borderId="0" xfId="0" applyBorder="1"/>
    <xf numFmtId="165" fontId="0" fillId="0" borderId="0" xfId="1" applyNumberFormat="1" applyFont="1" applyBorder="1"/>
    <xf numFmtId="165" fontId="8" fillId="0" borderId="0" xfId="1" applyNumberFormat="1" applyFont="1" applyBorder="1"/>
    <xf numFmtId="165" fontId="1" fillId="0" borderId="0" xfId="1" applyNumberFormat="1" applyFont="1" applyBorder="1"/>
    <xf numFmtId="165" fontId="0" fillId="0" borderId="0" xfId="0" applyNumberFormat="1" applyBorder="1"/>
    <xf numFmtId="165" fontId="4" fillId="0" borderId="0" xfId="0" applyNumberFormat="1" applyFont="1" applyBorder="1"/>
    <xf numFmtId="165" fontId="0" fillId="0" borderId="0" xfId="0" applyNumberFormat="1" applyFont="1" applyBorder="1"/>
    <xf numFmtId="165" fontId="2" fillId="0" borderId="0" xfId="0" applyNumberFormat="1" applyFont="1" applyBorder="1"/>
    <xf numFmtId="165" fontId="0" fillId="0" borderId="0" xfId="0" applyNumberFormat="1" applyFont="1" applyFill="1" applyBorder="1"/>
    <xf numFmtId="43" fontId="1" fillId="0" borderId="9" xfId="1" applyNumberFormat="1" applyFont="1" applyBorder="1" applyAlignment="1">
      <alignment horizontal="right"/>
    </xf>
    <xf numFmtId="164" fontId="16" fillId="3" borderId="4" xfId="1" quotePrefix="1" applyNumberFormat="1" applyFont="1" applyFill="1" applyBorder="1" applyAlignment="1">
      <alignment horizontal="right"/>
    </xf>
    <xf numFmtId="0" fontId="0" fillId="0" borderId="4" xfId="0" applyFill="1" applyBorder="1"/>
    <xf numFmtId="165" fontId="0" fillId="0" borderId="10" xfId="0" applyNumberFormat="1" applyBorder="1"/>
    <xf numFmtId="165" fontId="10" fillId="10" borderId="0" xfId="1" applyNumberFormat="1" applyFont="1" applyFill="1" applyBorder="1" applyAlignment="1">
      <alignment horizontal="right"/>
    </xf>
    <xf numFmtId="165" fontId="11" fillId="10" borderId="0" xfId="1" applyNumberFormat="1" applyFont="1" applyFill="1" applyBorder="1" applyAlignment="1">
      <alignment horizontal="right"/>
    </xf>
    <xf numFmtId="165" fontId="1" fillId="10" borderId="0" xfId="1" quotePrefix="1" applyNumberFormat="1" applyFont="1" applyFill="1" applyBorder="1" applyAlignment="1">
      <alignment horizontal="right"/>
    </xf>
    <xf numFmtId="43" fontId="10" fillId="0" borderId="0" xfId="0" applyNumberFormat="1" applyFont="1"/>
    <xf numFmtId="228" fontId="10" fillId="0" borderId="0" xfId="0" applyNumberFormat="1" applyFont="1"/>
    <xf numFmtId="229" fontId="10" fillId="0" borderId="0" xfId="2" applyNumberFormat="1" applyFont="1"/>
    <xf numFmtId="166" fontId="0" fillId="2" borderId="0" xfId="2" quotePrefix="1" applyNumberFormat="1" applyFont="1" applyFill="1" applyBorder="1" applyAlignment="1">
      <alignment horizontal="right"/>
    </xf>
    <xf numFmtId="0" fontId="0" fillId="0" borderId="29" xfId="0" applyFont="1" applyFill="1" applyBorder="1" applyAlignment="1"/>
    <xf numFmtId="0" fontId="0" fillId="0" borderId="45" xfId="0" applyFont="1" applyFill="1" applyBorder="1" applyAlignment="1"/>
    <xf numFmtId="0" fontId="0" fillId="0" borderId="5" xfId="0" applyFont="1" applyBorder="1" applyAlignment="1">
      <alignment horizontal="left"/>
    </xf>
    <xf numFmtId="165" fontId="10" fillId="13" borderId="0" xfId="1" applyNumberFormat="1" applyFont="1" applyFill="1" applyBorder="1" applyAlignment="1">
      <alignment horizontal="right"/>
    </xf>
    <xf numFmtId="43" fontId="10" fillId="13" borderId="0" xfId="1" applyNumberFormat="1" applyFont="1" applyFill="1" applyBorder="1" applyAlignment="1">
      <alignment horizontal="right"/>
    </xf>
    <xf numFmtId="230" fontId="2" fillId="0" borderId="4" xfId="2" applyNumberFormat="1" applyFont="1" applyFill="1" applyBorder="1" applyAlignment="1">
      <alignment horizontal="right"/>
    </xf>
    <xf numFmtId="10" fontId="0" fillId="2" borderId="4" xfId="2" applyNumberFormat="1" applyFont="1" applyFill="1" applyBorder="1" applyAlignment="1">
      <alignment horizontal="right"/>
    </xf>
    <xf numFmtId="10" fontId="0" fillId="2" borderId="11" xfId="1" applyNumberFormat="1" applyFont="1" applyFill="1" applyBorder="1" applyAlignment="1">
      <alignment horizontal="right"/>
    </xf>
    <xf numFmtId="0" fontId="2" fillId="0" borderId="3" xfId="0" applyFont="1" applyBorder="1" applyAlignment="1">
      <alignment horizontal="left"/>
    </xf>
    <xf numFmtId="0" fontId="2" fillId="0" borderId="4" xfId="0" applyFont="1" applyBorder="1" applyAlignment="1">
      <alignment horizontal="left"/>
    </xf>
    <xf numFmtId="0" fontId="0" fillId="0" borderId="3" xfId="0" applyFont="1" applyBorder="1" applyAlignment="1">
      <alignment horizontal="left"/>
    </xf>
    <xf numFmtId="0" fontId="0" fillId="0" borderId="4" xfId="0" applyFont="1" applyBorder="1" applyAlignment="1">
      <alignment horizontal="left"/>
    </xf>
    <xf numFmtId="0" fontId="0" fillId="0" borderId="3" xfId="0" applyFont="1" applyBorder="1" applyAlignment="1">
      <alignment horizontal="left" wrapText="1"/>
    </xf>
    <xf numFmtId="0" fontId="0" fillId="0" borderId="4" xfId="0" applyFont="1" applyBorder="1" applyAlignment="1">
      <alignment horizontal="left" wrapText="1"/>
    </xf>
    <xf numFmtId="0" fontId="8" fillId="0" borderId="3" xfId="0" applyFont="1" applyBorder="1" applyAlignment="1">
      <alignment horizontal="left"/>
    </xf>
    <xf numFmtId="0" fontId="8" fillId="0" borderId="4" xfId="0" applyFont="1" applyBorder="1" applyAlignment="1">
      <alignment horizontal="left"/>
    </xf>
    <xf numFmtId="0" fontId="0" fillId="0" borderId="3" xfId="0" applyFont="1" applyFill="1" applyBorder="1" applyAlignment="1">
      <alignment horizontal="left"/>
    </xf>
    <xf numFmtId="0" fontId="0" fillId="0" borderId="4" xfId="0" applyFont="1" applyFill="1" applyBorder="1" applyAlignment="1">
      <alignment horizontal="left"/>
    </xf>
    <xf numFmtId="0" fontId="0" fillId="0" borderId="12" xfId="0" applyBorder="1" applyAlignment="1">
      <alignment horizontal="left" vertical="top" wrapText="1"/>
    </xf>
    <xf numFmtId="0" fontId="0" fillId="0" borderId="13" xfId="0" applyBorder="1" applyAlignment="1">
      <alignment horizontal="left" vertical="top" wrapText="1"/>
    </xf>
    <xf numFmtId="0" fontId="2" fillId="0" borderId="39" xfId="0" applyFont="1" applyBorder="1" applyAlignment="1">
      <alignment horizontal="left"/>
    </xf>
    <xf numFmtId="0" fontId="2" fillId="0" borderId="40" xfId="0" applyFont="1" applyBorder="1" applyAlignment="1">
      <alignment horizontal="left"/>
    </xf>
    <xf numFmtId="0" fontId="17" fillId="3" borderId="3" xfId="0" applyFont="1" applyFill="1" applyBorder="1" applyAlignment="1">
      <alignment horizontal="left"/>
    </xf>
    <xf numFmtId="0" fontId="17" fillId="3" borderId="0" xfId="0" applyFont="1" applyFill="1" applyBorder="1" applyAlignment="1">
      <alignment horizontal="left"/>
    </xf>
    <xf numFmtId="0" fontId="15" fillId="3" borderId="1" xfId="0" applyFont="1" applyFill="1" applyBorder="1" applyAlignment="1">
      <alignment horizontal="left"/>
    </xf>
    <xf numFmtId="0" fontId="15" fillId="3" borderId="2" xfId="0" applyFont="1" applyFill="1" applyBorder="1" applyAlignment="1">
      <alignment horizontal="left"/>
    </xf>
    <xf numFmtId="0" fontId="12" fillId="0" borderId="3" xfId="0" applyFont="1" applyFill="1" applyBorder="1" applyAlignment="1">
      <alignment horizontal="left"/>
    </xf>
    <xf numFmtId="0" fontId="12" fillId="0" borderId="4" xfId="0" applyFont="1" applyFill="1" applyBorder="1" applyAlignment="1">
      <alignment horizontal="left"/>
    </xf>
    <xf numFmtId="0" fontId="0" fillId="2" borderId="1" xfId="0" applyFont="1" applyFill="1" applyBorder="1" applyAlignment="1">
      <alignment horizontal="left"/>
    </xf>
    <xf numFmtId="0" fontId="0" fillId="2" borderId="11" xfId="0" applyFont="1" applyFill="1" applyBorder="1" applyAlignment="1">
      <alignment horizontal="left"/>
    </xf>
    <xf numFmtId="0" fontId="0" fillId="10" borderId="3" xfId="0" applyFont="1" applyFill="1" applyBorder="1" applyAlignment="1">
      <alignment horizontal="left"/>
    </xf>
    <xf numFmtId="0" fontId="0" fillId="10" borderId="4" xfId="0" applyFont="1" applyFill="1" applyBorder="1" applyAlignment="1">
      <alignment horizontal="left"/>
    </xf>
    <xf numFmtId="0" fontId="2" fillId="0" borderId="3" xfId="0" applyFont="1" applyFill="1" applyBorder="1" applyAlignment="1">
      <alignment horizontal="left"/>
    </xf>
    <xf numFmtId="0" fontId="2" fillId="0" borderId="4" xfId="0" applyFont="1" applyFill="1" applyBorder="1" applyAlignment="1">
      <alignment horizontal="left"/>
    </xf>
    <xf numFmtId="0" fontId="15" fillId="3" borderId="12" xfId="0" applyFont="1" applyFill="1" applyBorder="1" applyAlignment="1">
      <alignment horizontal="left"/>
    </xf>
    <xf numFmtId="0" fontId="15" fillId="3" borderId="13" xfId="0" applyFont="1" applyFill="1" applyBorder="1" applyAlignment="1">
      <alignment horizontal="left"/>
    </xf>
    <xf numFmtId="0" fontId="0" fillId="0" borderId="3" xfId="0" applyFill="1" applyBorder="1" applyAlignment="1">
      <alignment horizontal="left" vertical="top" wrapText="1"/>
    </xf>
    <xf numFmtId="0" fontId="0" fillId="0" borderId="4"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0" fillId="0" borderId="17" xfId="0" applyFont="1" applyFill="1" applyBorder="1" applyAlignment="1">
      <alignment horizontal="left" vertical="top" wrapText="1"/>
    </xf>
    <xf numFmtId="0" fontId="2" fillId="0" borderId="28" xfId="0" applyFont="1" applyFill="1" applyBorder="1" applyAlignment="1">
      <alignment horizontal="left"/>
    </xf>
    <xf numFmtId="0" fontId="2" fillId="0" borderId="29" xfId="0" applyFont="1" applyFill="1" applyBorder="1" applyAlignment="1">
      <alignment horizontal="left"/>
    </xf>
    <xf numFmtId="0" fontId="0" fillId="0" borderId="6" xfId="0" applyFont="1" applyBorder="1" applyAlignment="1">
      <alignment horizontal="left"/>
    </xf>
    <xf numFmtId="0" fontId="0" fillId="0" borderId="10" xfId="0" applyFont="1" applyBorder="1" applyAlignment="1">
      <alignment horizontal="left"/>
    </xf>
    <xf numFmtId="0" fontId="0" fillId="0" borderId="3" xfId="0" applyFont="1" applyFill="1" applyBorder="1" applyAlignment="1">
      <alignment horizontal="left" wrapText="1"/>
    </xf>
    <xf numFmtId="0" fontId="0" fillId="0" borderId="4" xfId="0" applyFont="1" applyFill="1" applyBorder="1" applyAlignment="1">
      <alignment horizontal="left" wrapText="1"/>
    </xf>
    <xf numFmtId="0" fontId="2" fillId="0" borderId="3" xfId="0" applyFont="1" applyFill="1" applyBorder="1" applyAlignment="1">
      <alignment horizontal="left" wrapText="1"/>
    </xf>
    <xf numFmtId="0" fontId="2" fillId="0" borderId="4" xfId="0" applyFont="1" applyFill="1" applyBorder="1" applyAlignment="1">
      <alignment horizontal="left" wrapText="1"/>
    </xf>
    <xf numFmtId="0" fontId="0" fillId="0" borderId="3" xfId="0" applyBorder="1" applyAlignment="1">
      <alignment horizontal="left"/>
    </xf>
    <xf numFmtId="0" fontId="0" fillId="0" borderId="4" xfId="0" applyBorder="1" applyAlignment="1">
      <alignment horizontal="left"/>
    </xf>
    <xf numFmtId="0" fontId="2" fillId="0" borderId="6" xfId="0" applyFont="1" applyBorder="1" applyAlignment="1">
      <alignment horizontal="left"/>
    </xf>
    <xf numFmtId="0" fontId="2" fillId="0" borderId="10" xfId="0" applyFont="1" applyBorder="1" applyAlignment="1">
      <alignment horizontal="left"/>
    </xf>
    <xf numFmtId="0" fontId="10" fillId="0" borderId="3" xfId="3" applyFont="1" applyFill="1" applyBorder="1" applyAlignment="1">
      <alignment horizontal="left" vertical="top"/>
    </xf>
    <xf numFmtId="0" fontId="10" fillId="0" borderId="4" xfId="3" applyFont="1" applyFill="1" applyBorder="1" applyAlignment="1">
      <alignment horizontal="left" vertical="top"/>
    </xf>
    <xf numFmtId="1" fontId="10" fillId="0" borderId="0" xfId="1" applyNumberFormat="1" applyFont="1" applyFill="1" applyBorder="1" applyAlignment="1">
      <alignment horizontal="right"/>
    </xf>
  </cellXfs>
  <cellStyles count="332">
    <cellStyle name="_%(SignOnly)" xfId="7"/>
    <cellStyle name="_%(SignSpaceOnly)" xfId="8"/>
    <cellStyle name="_Comma" xfId="9"/>
    <cellStyle name="_Currency" xfId="10"/>
    <cellStyle name="_CurrencySpace" xfId="11"/>
    <cellStyle name="_Euro" xfId="12"/>
    <cellStyle name="_Heading" xfId="13"/>
    <cellStyle name="_Heading_prestemp" xfId="14"/>
    <cellStyle name="_Heading_prestemp_1st Qtr PL FY07" xfId="15"/>
    <cellStyle name="_Heading_prestemp_Financial Statements" xfId="16"/>
    <cellStyle name="_Heading_prestemp_Financial Statementsvs1" xfId="17"/>
    <cellStyle name="_Highlight" xfId="18"/>
    <cellStyle name="_Multiple" xfId="19"/>
    <cellStyle name="_MultipleSpace" xfId="20"/>
    <cellStyle name="_SubHeading" xfId="21"/>
    <cellStyle name="_SubHeading_prestemp" xfId="22"/>
    <cellStyle name="_SubHeading_prestemp_1st Qtr PL FY07" xfId="23"/>
    <cellStyle name="_SubHeading_prestemp_Financial Statements" xfId="24"/>
    <cellStyle name="_SubHeading_prestemp_Financial Statementsvs1" xfId="25"/>
    <cellStyle name="_Table" xfId="26"/>
    <cellStyle name="_TableHead" xfId="27"/>
    <cellStyle name="_TableRowHead" xfId="28"/>
    <cellStyle name="_TableSuperHead" xfId="29"/>
    <cellStyle name="=C:\WINNT\SYSTEM32\COMMAND.COM" xfId="30"/>
    <cellStyle name="=C:\WINNT\SYSTEM32\COMMAND.COM 2" xfId="255"/>
    <cellStyle name="6-0" xfId="31"/>
    <cellStyle name="Accent4" xfId="330" builtinId="41"/>
    <cellStyle name="Accent6" xfId="331" builtinId="49"/>
    <cellStyle name="Bold12" xfId="32"/>
    <cellStyle name="BoldItal12" xfId="33"/>
    <cellStyle name="Border" xfId="34"/>
    <cellStyle name="Border 10" xfId="35"/>
    <cellStyle name="Border 11" xfId="36"/>
    <cellStyle name="Border 12" xfId="37"/>
    <cellStyle name="Border 13" xfId="38"/>
    <cellStyle name="Border 14" xfId="39"/>
    <cellStyle name="Border 15" xfId="40"/>
    <cellStyle name="Border 16" xfId="41"/>
    <cellStyle name="Border 17" xfId="42"/>
    <cellStyle name="Border 18" xfId="43"/>
    <cellStyle name="Border 19" xfId="44"/>
    <cellStyle name="Border 2" xfId="45"/>
    <cellStyle name="Border 20" xfId="46"/>
    <cellStyle name="Border 21" xfId="47"/>
    <cellStyle name="Border 22" xfId="48"/>
    <cellStyle name="Border 23" xfId="49"/>
    <cellStyle name="Border 24" xfId="50"/>
    <cellStyle name="Border 25" xfId="51"/>
    <cellStyle name="Border 26" xfId="52"/>
    <cellStyle name="Border 27" xfId="53"/>
    <cellStyle name="Border 28" xfId="54"/>
    <cellStyle name="Border 29" xfId="55"/>
    <cellStyle name="Border 3" xfId="56"/>
    <cellStyle name="Border 30" xfId="57"/>
    <cellStyle name="Border 31" xfId="58"/>
    <cellStyle name="Border 32" xfId="59"/>
    <cellStyle name="Border 33" xfId="60"/>
    <cellStyle name="Border 34" xfId="61"/>
    <cellStyle name="Border 35" xfId="62"/>
    <cellStyle name="Border 36" xfId="63"/>
    <cellStyle name="Border 37" xfId="64"/>
    <cellStyle name="Border 38" xfId="65"/>
    <cellStyle name="Border 39" xfId="66"/>
    <cellStyle name="Border 4" xfId="67"/>
    <cellStyle name="Border 40" xfId="68"/>
    <cellStyle name="Border 41" xfId="69"/>
    <cellStyle name="Border 42" xfId="70"/>
    <cellStyle name="Border 5" xfId="71"/>
    <cellStyle name="Border 6" xfId="72"/>
    <cellStyle name="Border 7" xfId="73"/>
    <cellStyle name="Border 8" xfId="74"/>
    <cellStyle name="Border 9" xfId="75"/>
    <cellStyle name="Calc Currency (0)" xfId="76"/>
    <cellStyle name="Calc Currency (0) 2" xfId="256"/>
    <cellStyle name="Calc Currency (2)" xfId="77"/>
    <cellStyle name="Calc Currency (2) 2" xfId="257"/>
    <cellStyle name="Calc Percent (0)" xfId="78"/>
    <cellStyle name="Calc Percent (0) 2" xfId="258"/>
    <cellStyle name="Calc Percent (1)" xfId="79"/>
    <cellStyle name="Calc Percent (1) 2" xfId="259"/>
    <cellStyle name="Calc Percent (2)" xfId="80"/>
    <cellStyle name="Calc Percent (2) 2" xfId="260"/>
    <cellStyle name="Calc Units (0)" xfId="81"/>
    <cellStyle name="Calc Units (0) 2" xfId="261"/>
    <cellStyle name="Calc Units (1)" xfId="82"/>
    <cellStyle name="Calc Units (1) 2" xfId="262"/>
    <cellStyle name="Calc Units (2)" xfId="83"/>
    <cellStyle name="Calc Units (2) 2" xfId="263"/>
    <cellStyle name="Centered Heading" xfId="84"/>
    <cellStyle name="columns" xfId="85"/>
    <cellStyle name="Comma" xfId="1" builtinId="3"/>
    <cellStyle name="Comma  - Style1" xfId="264"/>
    <cellStyle name="Comma  - Style2" xfId="265"/>
    <cellStyle name="Comma  - Style3" xfId="266"/>
    <cellStyle name="Comma  - Style4" xfId="267"/>
    <cellStyle name="Comma  - Style5" xfId="268"/>
    <cellStyle name="Comma  - Style6" xfId="269"/>
    <cellStyle name="Comma  - Style7" xfId="270"/>
    <cellStyle name="Comma  - Style8" xfId="271"/>
    <cellStyle name="comma (0)" xfId="86"/>
    <cellStyle name="comma (0) 2" xfId="87"/>
    <cellStyle name="comma (0) 2 2" xfId="272"/>
    <cellStyle name="comma (0) 3" xfId="88"/>
    <cellStyle name="Comma [00]" xfId="89"/>
    <cellStyle name="Comma [00] 2" xfId="273"/>
    <cellStyle name="Comma 2" xfId="5"/>
    <cellStyle name="Comma 2 2" xfId="91"/>
    <cellStyle name="Comma 2 2 2" xfId="274"/>
    <cellStyle name="Comma 2 3" xfId="92"/>
    <cellStyle name="Comma 2 4" xfId="93"/>
    <cellStyle name="Comma 2 5" xfId="275"/>
    <cellStyle name="Comma 2 6" xfId="90"/>
    <cellStyle name="Comma 3" xfId="94"/>
    <cellStyle name="Comma 3 2" xfId="276"/>
    <cellStyle name="Comma 4" xfId="95"/>
    <cellStyle name="Comma 4 2" xfId="277"/>
    <cellStyle name="Comma 5" xfId="96"/>
    <cellStyle name="Comma 5 2" xfId="317"/>
    <cellStyle name="Comma Acctg" xfId="97"/>
    <cellStyle name="Comma Acctg 2" xfId="98"/>
    <cellStyle name="Comma0" xfId="99"/>
    <cellStyle name="Company Name" xfId="100"/>
    <cellStyle name="Contracts" xfId="101"/>
    <cellStyle name="CR Comma" xfId="102"/>
    <cellStyle name="CR Currency" xfId="103"/>
    <cellStyle name="curr" xfId="104"/>
    <cellStyle name="Currency" xfId="329" builtinId="4"/>
    <cellStyle name="Currency [00]" xfId="105"/>
    <cellStyle name="Currency [00] 2" xfId="278"/>
    <cellStyle name="Currency 2" xfId="106"/>
    <cellStyle name="Currency Acctg" xfId="107"/>
    <cellStyle name="Currency0" xfId="108"/>
    <cellStyle name="Data" xfId="109"/>
    <cellStyle name="Date" xfId="110"/>
    <cellStyle name="Date Short" xfId="111"/>
    <cellStyle name="DateJoel" xfId="112"/>
    <cellStyle name="debbie" xfId="113"/>
    <cellStyle name="Dezimal [0]_laroux" xfId="114"/>
    <cellStyle name="Dezimal_laroux" xfId="115"/>
    <cellStyle name="Enter Currency (0)" xfId="116"/>
    <cellStyle name="Enter Currency (0) 2" xfId="279"/>
    <cellStyle name="Enter Currency (2)" xfId="117"/>
    <cellStyle name="Enter Currency (2) 2" xfId="280"/>
    <cellStyle name="Enter Units (0)" xfId="118"/>
    <cellStyle name="Enter Units (0) 2" xfId="281"/>
    <cellStyle name="Enter Units (1)" xfId="119"/>
    <cellStyle name="Enter Units (1) 2" xfId="282"/>
    <cellStyle name="Enter Units (2)" xfId="120"/>
    <cellStyle name="Enter Units (2) 2" xfId="283"/>
    <cellStyle name="eps" xfId="121"/>
    <cellStyle name="Euro" xfId="122"/>
    <cellStyle name="Grey" xfId="123"/>
    <cellStyle name="Header1" xfId="124"/>
    <cellStyle name="Header2" xfId="125"/>
    <cellStyle name="Header2 10" xfId="126"/>
    <cellStyle name="Header2 11" xfId="127"/>
    <cellStyle name="Header2 12" xfId="128"/>
    <cellStyle name="Header2 13" xfId="129"/>
    <cellStyle name="Header2 14" xfId="130"/>
    <cellStyle name="Header2 15" xfId="131"/>
    <cellStyle name="Header2 16" xfId="132"/>
    <cellStyle name="Header2 17" xfId="133"/>
    <cellStyle name="Header2 18" xfId="134"/>
    <cellStyle name="Header2 19" xfId="135"/>
    <cellStyle name="Header2 2" xfId="136"/>
    <cellStyle name="Header2 20" xfId="137"/>
    <cellStyle name="Header2 21" xfId="138"/>
    <cellStyle name="Header2 22" xfId="139"/>
    <cellStyle name="Header2 23" xfId="140"/>
    <cellStyle name="Header2 24" xfId="141"/>
    <cellStyle name="Header2 25" xfId="142"/>
    <cellStyle name="Header2 26" xfId="143"/>
    <cellStyle name="Header2 27" xfId="144"/>
    <cellStyle name="Header2 28" xfId="145"/>
    <cellStyle name="Header2 29" xfId="146"/>
    <cellStyle name="Header2 3" xfId="147"/>
    <cellStyle name="Header2 30" xfId="148"/>
    <cellStyle name="Header2 31" xfId="149"/>
    <cellStyle name="Header2 32" xfId="150"/>
    <cellStyle name="Header2 33" xfId="151"/>
    <cellStyle name="Header2 34" xfId="152"/>
    <cellStyle name="Header2 35" xfId="153"/>
    <cellStyle name="Header2 36" xfId="154"/>
    <cellStyle name="Header2 37" xfId="155"/>
    <cellStyle name="Header2 38" xfId="156"/>
    <cellStyle name="Header2 39" xfId="157"/>
    <cellStyle name="Header2 4" xfId="158"/>
    <cellStyle name="Header2 40" xfId="159"/>
    <cellStyle name="Header2 41" xfId="160"/>
    <cellStyle name="Header2 42" xfId="161"/>
    <cellStyle name="Header2 5" xfId="162"/>
    <cellStyle name="Header2 6" xfId="163"/>
    <cellStyle name="Header2 7" xfId="164"/>
    <cellStyle name="Header2 8" xfId="165"/>
    <cellStyle name="Header2 9" xfId="166"/>
    <cellStyle name="Heading" xfId="167"/>
    <cellStyle name="Heading 1 2" xfId="168"/>
    <cellStyle name="Heading 1 3" xfId="169"/>
    <cellStyle name="Heading 1 4" xfId="170"/>
    <cellStyle name="Heading 2 2" xfId="171"/>
    <cellStyle name="Heading 2 3" xfId="172"/>
    <cellStyle name="Heading 2 4" xfId="173"/>
    <cellStyle name="Heading No Underline" xfId="174"/>
    <cellStyle name="Heading With Underline" xfId="175"/>
    <cellStyle name="Hyperlink 2" xfId="284"/>
    <cellStyle name="Hyperlink 2 2" xfId="319"/>
    <cellStyle name="Hyperlink 2 2 2" xfId="320"/>
    <cellStyle name="Hyperlink 3" xfId="285"/>
    <cellStyle name="Hyperlink 4" xfId="321"/>
    <cellStyle name="Input [yellow]" xfId="176"/>
    <cellStyle name="Link Currency (0)" xfId="177"/>
    <cellStyle name="Link Currency (0) 2" xfId="286"/>
    <cellStyle name="Link Currency (2)" xfId="178"/>
    <cellStyle name="Link Currency (2) 2" xfId="287"/>
    <cellStyle name="Link Units (0)" xfId="179"/>
    <cellStyle name="Link Units (0) 2" xfId="288"/>
    <cellStyle name="Link Units (1)" xfId="180"/>
    <cellStyle name="Link Units (1) 2" xfId="289"/>
    <cellStyle name="Link Units (2)" xfId="181"/>
    <cellStyle name="Link Units (2) 2" xfId="290"/>
    <cellStyle name="Millares [0]_pldt" xfId="182"/>
    <cellStyle name="Millares_pldt" xfId="183"/>
    <cellStyle name="Milliers [0]_AR1194" xfId="184"/>
    <cellStyle name="Milliers_AR1194" xfId="185"/>
    <cellStyle name="Moneda [0]_pldt" xfId="186"/>
    <cellStyle name="Moneda_pldt" xfId="187"/>
    <cellStyle name="Monétaire [0]_AR1194" xfId="188"/>
    <cellStyle name="Monétaire_AR1194" xfId="189"/>
    <cellStyle name="negativ" xfId="190"/>
    <cellStyle name="no dec" xfId="191"/>
    <cellStyle name="nodollars" xfId="192"/>
    <cellStyle name="nodollars 2" xfId="193"/>
    <cellStyle name="Normal" xfId="0" builtinId="0"/>
    <cellStyle name="Normal - Style1" xfId="194"/>
    <cellStyle name="Normal - Style1 2" xfId="291"/>
    <cellStyle name="Normal - Style2" xfId="292"/>
    <cellStyle name="Normal - Style3" xfId="293"/>
    <cellStyle name="Normal - Style4" xfId="294"/>
    <cellStyle name="Normal - Style5" xfId="295"/>
    <cellStyle name="Normal 10" xfId="322"/>
    <cellStyle name="Normal 2" xfId="3"/>
    <cellStyle name="Normal 2 2" xfId="196"/>
    <cellStyle name="Normal 2 2 2" xfId="197"/>
    <cellStyle name="Normal 2 3" xfId="198"/>
    <cellStyle name="Normal 2 3 2" xfId="296"/>
    <cellStyle name="Normal 2 4" xfId="199"/>
    <cellStyle name="Normal 2 5" xfId="297"/>
    <cellStyle name="Normal 2 6" xfId="323"/>
    <cellStyle name="Normal 2 7" xfId="324"/>
    <cellStyle name="Normal 2 8" xfId="195"/>
    <cellStyle name="Normal 3" xfId="4"/>
    <cellStyle name="Normal 3 2" xfId="298"/>
    <cellStyle name="Normal 3 3" xfId="299"/>
    <cellStyle name="Normal 3 4" xfId="200"/>
    <cellStyle name="Normal 4" xfId="201"/>
    <cellStyle name="Normal 5" xfId="6"/>
    <cellStyle name="Normal 5 2" xfId="300"/>
    <cellStyle name="Normal 6" xfId="202"/>
    <cellStyle name="Normal 6 2" xfId="301"/>
    <cellStyle name="Normal 6 3" xfId="302"/>
    <cellStyle name="Normal 7" xfId="203"/>
    <cellStyle name="Normal 7 2" xfId="303"/>
    <cellStyle name="Normal 8" xfId="204"/>
    <cellStyle name="Normal 8 2" xfId="304"/>
    <cellStyle name="Normal 8 3" xfId="316"/>
    <cellStyle name="Normal 9" xfId="325"/>
    <cellStyle name="Number0DecimalStyle" xfId="205"/>
    <cellStyle name="Number0DecimalStyle 2" xfId="253"/>
    <cellStyle name="Number10DecimalStyle" xfId="206"/>
    <cellStyle name="Number1DecimalStyle" xfId="207"/>
    <cellStyle name="Number2DecimalStyle" xfId="208"/>
    <cellStyle name="Number2DecimalStyle 2" xfId="254"/>
    <cellStyle name="Number3DecimalStyle" xfId="209"/>
    <cellStyle name="Number4DecimalStyle" xfId="210"/>
    <cellStyle name="Number5DecimalStyle" xfId="211"/>
    <cellStyle name="Number6DecimalStyle" xfId="212"/>
    <cellStyle name="Number7DecimalStyle" xfId="213"/>
    <cellStyle name="Number8DecimalStyle" xfId="214"/>
    <cellStyle name="Number9DecimalStyle" xfId="215"/>
    <cellStyle name="over" xfId="216"/>
    <cellStyle name="Percent" xfId="2" builtinId="5"/>
    <cellStyle name="percent (0)" xfId="217"/>
    <cellStyle name="Percent [0]" xfId="218"/>
    <cellStyle name="Percent [0] 2" xfId="305"/>
    <cellStyle name="Percent [00]" xfId="219"/>
    <cellStyle name="Percent [00] 2" xfId="306"/>
    <cellStyle name="Percent [2]" xfId="220"/>
    <cellStyle name="Percent 10" xfId="318"/>
    <cellStyle name="Percent 2" xfId="221"/>
    <cellStyle name="Percent 2 2" xfId="222"/>
    <cellStyle name="Percent 2 3" xfId="223"/>
    <cellStyle name="Percent 2 4" xfId="224"/>
    <cellStyle name="Percent 3" xfId="225"/>
    <cellStyle name="Percent 3 2" xfId="307"/>
    <cellStyle name="Percent 4" xfId="308"/>
    <cellStyle name="Percent 6" xfId="326"/>
    <cellStyle name="PERCENTAGE" xfId="226"/>
    <cellStyle name="posit" xfId="227"/>
    <cellStyle name="Powerpoint Style" xfId="228"/>
    <cellStyle name="PrePop Currency (0)" xfId="229"/>
    <cellStyle name="PrePop Currency (0) 2" xfId="309"/>
    <cellStyle name="PrePop Currency (2)" xfId="230"/>
    <cellStyle name="PrePop Currency (2) 2" xfId="310"/>
    <cellStyle name="PrePop Units (0)" xfId="231"/>
    <cellStyle name="PrePop Units (0) 2" xfId="311"/>
    <cellStyle name="PrePop Units (1)" xfId="232"/>
    <cellStyle name="PrePop Units (1) 2" xfId="312"/>
    <cellStyle name="PrePop Units (2)" xfId="233"/>
    <cellStyle name="PrePop Units (2) 2" xfId="313"/>
    <cellStyle name="SingleTopDoubleBott" xfId="234"/>
    <cellStyle name="Standard_A" xfId="235"/>
    <cellStyle name="Style 1" xfId="236"/>
    <cellStyle name="Style 2" xfId="237"/>
    <cellStyle name="Style 3" xfId="327"/>
    <cellStyle name="Style 4" xfId="328"/>
    <cellStyle name="Text Indent A" xfId="238"/>
    <cellStyle name="Text Indent B" xfId="239"/>
    <cellStyle name="Text Indent B 2" xfId="314"/>
    <cellStyle name="Text Indent C" xfId="240"/>
    <cellStyle name="Text Indent C 2" xfId="315"/>
    <cellStyle name="TextStyle" xfId="241"/>
    <cellStyle name="Tickmark" xfId="242"/>
    <cellStyle name="TimStyle" xfId="243"/>
    <cellStyle name="Total 2" xfId="244"/>
    <cellStyle name="Total 3" xfId="245"/>
    <cellStyle name="Total 4" xfId="246"/>
    <cellStyle name="Underline" xfId="247"/>
    <cellStyle name="UnderlineDouble" xfId="248"/>
    <cellStyle name="Währung [0]_RESULTS" xfId="249"/>
    <cellStyle name="Währung_RESULTS" xfId="250"/>
    <cellStyle name="표준_BINV" xfId="251"/>
    <cellStyle name="標準_99B-05PE_IC2" xfId="25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A721-4EFC-AAD3-C4056A0A7B99}"/>
            </c:ext>
          </c:extLst>
        </c:ser>
        <c:dLbls>
          <c:showLegendKey val="0"/>
          <c:showVal val="0"/>
          <c:showCatName val="0"/>
          <c:showSerName val="0"/>
          <c:showPercent val="0"/>
          <c:showBubbleSize val="0"/>
        </c:dLbls>
        <c:smooth val="0"/>
        <c:axId val="70027904"/>
        <c:axId val="70052864"/>
      </c:lineChart>
      <c:catAx>
        <c:axId val="70027904"/>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70052864"/>
        <c:crosses val="autoZero"/>
        <c:auto val="1"/>
        <c:lblAlgn val="ctr"/>
        <c:lblOffset val="100"/>
        <c:tickLblSkip val="7"/>
        <c:noMultiLvlLbl val="1"/>
      </c:catAx>
      <c:valAx>
        <c:axId val="70052864"/>
        <c:scaling>
          <c:orientation val="minMax"/>
        </c:scaling>
        <c:delete val="0"/>
        <c:axPos val="l"/>
        <c:majorGridlines/>
        <c:numFmt formatCode="0.0\x" sourceLinked="0"/>
        <c:majorTickMark val="out"/>
        <c:minorTickMark val="none"/>
        <c:tickLblPos val="nextTo"/>
        <c:crossAx val="70027904"/>
        <c:crosses val="autoZero"/>
        <c:crossBetween val="between"/>
      </c:valAx>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C4A-4712-9787-47F5870BB50C}"/>
            </c:ext>
          </c:extLst>
        </c:ser>
        <c:dLbls>
          <c:showLegendKey val="0"/>
          <c:showVal val="0"/>
          <c:showCatName val="0"/>
          <c:showSerName val="0"/>
          <c:showPercent val="0"/>
          <c:showBubbleSize val="0"/>
        </c:dLbls>
        <c:smooth val="0"/>
        <c:axId val="144789888"/>
        <c:axId val="144792576"/>
      </c:lineChart>
      <c:catAx>
        <c:axId val="144789888"/>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4792576"/>
        <c:crosses val="autoZero"/>
        <c:auto val="1"/>
        <c:lblAlgn val="ctr"/>
        <c:lblOffset val="100"/>
        <c:tickLblSkip val="7"/>
        <c:noMultiLvlLbl val="1"/>
      </c:catAx>
      <c:valAx>
        <c:axId val="144792576"/>
        <c:scaling>
          <c:orientation val="minMax"/>
        </c:scaling>
        <c:delete val="0"/>
        <c:axPos val="l"/>
        <c:majorGridlines/>
        <c:numFmt formatCode="0.0\x" sourceLinked="0"/>
        <c:majorTickMark val="out"/>
        <c:minorTickMark val="none"/>
        <c:tickLblPos val="nextTo"/>
        <c:crossAx val="144789888"/>
        <c:crosses val="autoZero"/>
        <c:crossBetween val="between"/>
      </c:valAx>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477F-4015-B873-EB220D30F9CA}"/>
            </c:ext>
          </c:extLst>
        </c:ser>
        <c:dLbls>
          <c:showLegendKey val="0"/>
          <c:showVal val="0"/>
          <c:showCatName val="0"/>
          <c:showSerName val="0"/>
          <c:showPercent val="0"/>
          <c:showBubbleSize val="0"/>
        </c:dLbls>
        <c:smooth val="0"/>
        <c:axId val="150317696"/>
        <c:axId val="62493056"/>
      </c:lineChart>
      <c:catAx>
        <c:axId val="150317696"/>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62493056"/>
        <c:crosses val="autoZero"/>
        <c:auto val="1"/>
        <c:lblAlgn val="ctr"/>
        <c:lblOffset val="100"/>
        <c:tickLblSkip val="7"/>
        <c:noMultiLvlLbl val="1"/>
      </c:catAx>
      <c:valAx>
        <c:axId val="62493056"/>
        <c:scaling>
          <c:orientation val="minMax"/>
        </c:scaling>
        <c:delete val="0"/>
        <c:axPos val="l"/>
        <c:majorGridlines/>
        <c:numFmt formatCode="0.0\x" sourceLinked="0"/>
        <c:majorTickMark val="out"/>
        <c:minorTickMark val="none"/>
        <c:tickLblPos val="nextTo"/>
        <c:crossAx val="150317696"/>
        <c:crosses val="autoZero"/>
        <c:crossBetween val="between"/>
      </c:valAx>
    </c:plotArea>
    <c:legend>
      <c:legendPos val="b"/>
      <c:overlay val="0"/>
    </c:legend>
    <c:plotVisOnly val="1"/>
    <c:dispBlanksAs val="gap"/>
    <c:showDLblsOverMax val="0"/>
  </c:chart>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236802</xdr:colOff>
      <xdr:row>52</xdr:row>
      <xdr:rowOff>0</xdr:rowOff>
    </xdr:from>
    <xdr:to>
      <xdr:col>11</xdr:col>
      <xdr:colOff>718343</xdr:colOff>
      <xdr:row>52</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236802</xdr:colOff>
      <xdr:row>136</xdr:row>
      <xdr:rowOff>0</xdr:rowOff>
    </xdr:from>
    <xdr:to>
      <xdr:col>11</xdr:col>
      <xdr:colOff>718343</xdr:colOff>
      <xdr:row>136</xdr:row>
      <xdr:rowOff>0</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236802</xdr:colOff>
      <xdr:row>180</xdr:row>
      <xdr:rowOff>0</xdr:rowOff>
    </xdr:from>
    <xdr:to>
      <xdr:col>11</xdr:col>
      <xdr:colOff>718343</xdr:colOff>
      <xdr:row>180</xdr:row>
      <xdr:rowOff>0</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Owner\Documents\Articles%20(10-8-2015)\Apple\Apple%20Model%209-30-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arnings Model"/>
      <sheetName val="BOTE"/>
      <sheetName val="Estimates by Analyst"/>
      <sheetName val="After Earnings"/>
      <sheetName val="Charts"/>
      <sheetName val="Terms of Use"/>
    </sheetNames>
    <sheetDataSet>
      <sheetData sheetId="0"/>
      <sheetData sheetId="1"/>
      <sheetData sheetId="2">
        <row r="6">
          <cell r="B6" t="str">
            <v>Raymond James</v>
          </cell>
          <cell r="C6" t="str">
            <v>TAVIS C MCCOURT</v>
          </cell>
          <cell r="D6" t="str">
            <v>market perform</v>
          </cell>
          <cell r="E6">
            <v>42209</v>
          </cell>
          <cell r="F6">
            <v>0</v>
          </cell>
          <cell r="G6">
            <v>14314</v>
          </cell>
          <cell r="H6">
            <v>10550</v>
          </cell>
          <cell r="I6">
            <v>50163</v>
          </cell>
          <cell r="J6">
            <v>13914</v>
          </cell>
          <cell r="K6">
            <v>1.84</v>
          </cell>
          <cell r="L6">
            <v>33.299999999999997</v>
          </cell>
          <cell r="M6">
            <v>-146185</v>
          </cell>
        </row>
        <row r="7">
          <cell r="B7" t="str">
            <v>Exane BNP Paribas</v>
          </cell>
          <cell r="C7" t="str">
            <v>ALEXANDER PETERC</v>
          </cell>
          <cell r="D7" t="str">
            <v>outperform</v>
          </cell>
          <cell r="E7">
            <v>42209</v>
          </cell>
          <cell r="F7">
            <v>150</v>
          </cell>
          <cell r="G7">
            <v>0</v>
          </cell>
          <cell r="H7">
            <v>0</v>
          </cell>
          <cell r="I7">
            <v>0</v>
          </cell>
          <cell r="J7">
            <v>0</v>
          </cell>
          <cell r="K7">
            <v>0</v>
          </cell>
          <cell r="L7">
            <v>0</v>
          </cell>
          <cell r="M7">
            <v>0</v>
          </cell>
        </row>
        <row r="8">
          <cell r="B8" t="str">
            <v>Morgan Stanley</v>
          </cell>
          <cell r="C8" t="str">
            <v>KATHRYN HUBERTY</v>
          </cell>
          <cell r="D8" t="str">
            <v>Overwt/Cautious</v>
          </cell>
          <cell r="E8">
            <v>42208</v>
          </cell>
          <cell r="F8">
            <v>155</v>
          </cell>
          <cell r="G8">
            <v>0</v>
          </cell>
          <cell r="H8">
            <v>0</v>
          </cell>
          <cell r="I8">
            <v>0</v>
          </cell>
          <cell r="J8">
            <v>0</v>
          </cell>
          <cell r="K8">
            <v>0</v>
          </cell>
          <cell r="L8">
            <v>0</v>
          </cell>
          <cell r="M8">
            <v>0</v>
          </cell>
        </row>
        <row r="9">
          <cell r="B9" t="str">
            <v>BMO Capital Markets</v>
          </cell>
          <cell r="C9" t="str">
            <v>KEITH F BACHMAN</v>
          </cell>
          <cell r="D9" t="str">
            <v>outperform</v>
          </cell>
          <cell r="E9">
            <v>42207</v>
          </cell>
          <cell r="F9">
            <v>145</v>
          </cell>
          <cell r="G9">
            <v>0</v>
          </cell>
          <cell r="H9">
            <v>0</v>
          </cell>
          <cell r="I9">
            <v>0</v>
          </cell>
          <cell r="J9">
            <v>0</v>
          </cell>
          <cell r="K9">
            <v>0</v>
          </cell>
          <cell r="L9">
            <v>0</v>
          </cell>
          <cell r="M9">
            <v>0</v>
          </cell>
        </row>
        <row r="10">
          <cell r="B10" t="str">
            <v>Societe Generale</v>
          </cell>
          <cell r="C10" t="str">
            <v>ANDY PERKINS</v>
          </cell>
          <cell r="D10" t="str">
            <v>buy</v>
          </cell>
          <cell r="E10">
            <v>42207</v>
          </cell>
          <cell r="F10">
            <v>140</v>
          </cell>
          <cell r="G10">
            <v>14395</v>
          </cell>
          <cell r="H10">
            <v>10652</v>
          </cell>
          <cell r="I10">
            <v>49101</v>
          </cell>
          <cell r="J10">
            <v>0</v>
          </cell>
          <cell r="K10">
            <v>1.87</v>
          </cell>
          <cell r="L10">
            <v>0</v>
          </cell>
          <cell r="M10">
            <v>0</v>
          </cell>
        </row>
        <row r="11">
          <cell r="B11" t="str">
            <v>ABG Sundal Collier</v>
          </cell>
          <cell r="C11" t="str">
            <v>PER LINDBERG</v>
          </cell>
          <cell r="D11" t="str">
            <v>sell</v>
          </cell>
          <cell r="E11">
            <v>42207</v>
          </cell>
          <cell r="F11">
            <v>65</v>
          </cell>
          <cell r="G11">
            <v>0</v>
          </cell>
          <cell r="H11">
            <v>0</v>
          </cell>
          <cell r="I11">
            <v>0</v>
          </cell>
          <cell r="J11">
            <v>0</v>
          </cell>
          <cell r="K11">
            <v>0</v>
          </cell>
          <cell r="L11">
            <v>0</v>
          </cell>
          <cell r="M11">
            <v>0</v>
          </cell>
        </row>
        <row r="12">
          <cell r="B12" t="str">
            <v>RBC Capital Markets</v>
          </cell>
          <cell r="C12" t="str">
            <v>AMIT DARYANANI</v>
          </cell>
          <cell r="D12" t="str">
            <v>outperform</v>
          </cell>
          <cell r="E12">
            <v>42207</v>
          </cell>
          <cell r="F12">
            <v>150</v>
          </cell>
          <cell r="G12">
            <v>0</v>
          </cell>
          <cell r="H12">
            <v>0</v>
          </cell>
          <cell r="I12">
            <v>0</v>
          </cell>
          <cell r="J12">
            <v>0</v>
          </cell>
          <cell r="K12">
            <v>0</v>
          </cell>
          <cell r="L12">
            <v>0</v>
          </cell>
          <cell r="M12">
            <v>0</v>
          </cell>
        </row>
        <row r="13">
          <cell r="B13" t="str">
            <v>Argus Research Corp</v>
          </cell>
          <cell r="C13" t="str">
            <v>JAMES KELLEHER</v>
          </cell>
          <cell r="D13" t="str">
            <v>buy</v>
          </cell>
          <cell r="E13">
            <v>42207</v>
          </cell>
          <cell r="F13">
            <v>145</v>
          </cell>
          <cell r="G13">
            <v>0</v>
          </cell>
          <cell r="H13">
            <v>0</v>
          </cell>
          <cell r="I13">
            <v>51300</v>
          </cell>
          <cell r="J13">
            <v>0</v>
          </cell>
          <cell r="K13">
            <v>1.81</v>
          </cell>
          <cell r="L13">
            <v>0</v>
          </cell>
          <cell r="M13">
            <v>0</v>
          </cell>
        </row>
        <row r="14">
          <cell r="B14" t="str">
            <v>Brean Capital LLC</v>
          </cell>
          <cell r="C14" t="str">
            <v>ANANDA BARUAH</v>
          </cell>
          <cell r="D14" t="str">
            <v>buy</v>
          </cell>
          <cell r="E14">
            <v>42207</v>
          </cell>
          <cell r="F14">
            <v>170</v>
          </cell>
          <cell r="G14">
            <v>14482</v>
          </cell>
          <cell r="H14">
            <v>10934</v>
          </cell>
          <cell r="I14">
            <v>51300</v>
          </cell>
          <cell r="J14">
            <v>0</v>
          </cell>
          <cell r="K14">
            <v>1.91</v>
          </cell>
          <cell r="L14">
            <v>0</v>
          </cell>
          <cell r="M14">
            <v>0</v>
          </cell>
        </row>
        <row r="15">
          <cell r="B15" t="str">
            <v>Credit Suisse</v>
          </cell>
          <cell r="C15" t="str">
            <v>KULBINDER GARCHA</v>
          </cell>
          <cell r="D15" t="str">
            <v>outperform</v>
          </cell>
          <cell r="E15">
            <v>42207</v>
          </cell>
          <cell r="F15">
            <v>145</v>
          </cell>
          <cell r="G15">
            <v>0</v>
          </cell>
          <cell r="H15">
            <v>0</v>
          </cell>
          <cell r="I15">
            <v>0</v>
          </cell>
          <cell r="J15">
            <v>0</v>
          </cell>
          <cell r="K15">
            <v>0</v>
          </cell>
          <cell r="L15">
            <v>0</v>
          </cell>
          <cell r="M15">
            <v>0</v>
          </cell>
        </row>
        <row r="16">
          <cell r="B16" t="str">
            <v>Hilliard Lyons</v>
          </cell>
          <cell r="C16" t="str">
            <v>STEPHEN TURNER</v>
          </cell>
          <cell r="D16" t="str">
            <v>long-term buy</v>
          </cell>
          <cell r="E16">
            <v>42207</v>
          </cell>
          <cell r="F16">
            <v>154</v>
          </cell>
          <cell r="G16">
            <v>14643</v>
          </cell>
          <cell r="H16">
            <v>10792</v>
          </cell>
          <cell r="I16">
            <v>51383</v>
          </cell>
          <cell r="J16">
            <v>0</v>
          </cell>
          <cell r="K16">
            <v>1.9</v>
          </cell>
          <cell r="L16">
            <v>0</v>
          </cell>
          <cell r="M16">
            <v>0</v>
          </cell>
        </row>
        <row r="17">
          <cell r="B17" t="str">
            <v>JPMorgan</v>
          </cell>
          <cell r="C17" t="str">
            <v>ROD HALL</v>
          </cell>
          <cell r="D17" t="str">
            <v>overweight</v>
          </cell>
          <cell r="E17">
            <v>42207</v>
          </cell>
          <cell r="F17">
            <v>145</v>
          </cell>
          <cell r="G17">
            <v>0</v>
          </cell>
          <cell r="H17">
            <v>0</v>
          </cell>
          <cell r="I17">
            <v>0</v>
          </cell>
          <cell r="J17">
            <v>0</v>
          </cell>
          <cell r="K17">
            <v>0</v>
          </cell>
          <cell r="L17">
            <v>0</v>
          </cell>
          <cell r="M17">
            <v>0</v>
          </cell>
        </row>
        <row r="18">
          <cell r="B18" t="str">
            <v>Jefferies</v>
          </cell>
          <cell r="C18" t="str">
            <v>SUNDEEP BAJIKAR</v>
          </cell>
          <cell r="D18" t="str">
            <v>hold</v>
          </cell>
          <cell r="E18">
            <v>42207</v>
          </cell>
          <cell r="F18">
            <v>135</v>
          </cell>
          <cell r="G18">
            <v>14046</v>
          </cell>
          <cell r="H18">
            <v>10352</v>
          </cell>
          <cell r="I18">
            <v>50185</v>
          </cell>
          <cell r="J18">
            <v>13816</v>
          </cell>
          <cell r="K18">
            <v>1.81</v>
          </cell>
          <cell r="L18">
            <v>0</v>
          </cell>
          <cell r="M18">
            <v>0</v>
          </cell>
        </row>
        <row r="19">
          <cell r="B19" t="str">
            <v>Robert W. Baird &amp; Co</v>
          </cell>
          <cell r="C19" t="str">
            <v>WILLIAM V POWER</v>
          </cell>
          <cell r="D19" t="str">
            <v>outperform</v>
          </cell>
          <cell r="E19">
            <v>42207</v>
          </cell>
          <cell r="F19">
            <v>155</v>
          </cell>
          <cell r="G19">
            <v>0</v>
          </cell>
          <cell r="H19">
            <v>0</v>
          </cell>
          <cell r="I19">
            <v>0</v>
          </cell>
          <cell r="J19">
            <v>0</v>
          </cell>
          <cell r="K19">
            <v>0</v>
          </cell>
          <cell r="L19">
            <v>0</v>
          </cell>
          <cell r="M19">
            <v>0</v>
          </cell>
        </row>
        <row r="20">
          <cell r="B20" t="str">
            <v>FBR Capital Markets</v>
          </cell>
          <cell r="C20" t="str">
            <v>DANIEL H IVES</v>
          </cell>
          <cell r="D20" t="str">
            <v>outperform</v>
          </cell>
          <cell r="E20">
            <v>42207</v>
          </cell>
          <cell r="F20">
            <v>175</v>
          </cell>
          <cell r="G20">
            <v>14400</v>
          </cell>
          <cell r="H20">
            <v>10400</v>
          </cell>
          <cell r="I20">
            <v>50900</v>
          </cell>
          <cell r="J20">
            <v>0</v>
          </cell>
          <cell r="K20">
            <v>1.89</v>
          </cell>
          <cell r="L20">
            <v>0</v>
          </cell>
          <cell r="M20">
            <v>0</v>
          </cell>
        </row>
        <row r="21">
          <cell r="B21" t="str">
            <v>Macquarie</v>
          </cell>
          <cell r="C21" t="str">
            <v>BENJAMIN A SCHACHTER</v>
          </cell>
          <cell r="D21" t="str">
            <v>outperform</v>
          </cell>
          <cell r="E21">
            <v>42207</v>
          </cell>
          <cell r="F21">
            <v>140</v>
          </cell>
          <cell r="G21">
            <v>0</v>
          </cell>
          <cell r="H21">
            <v>0</v>
          </cell>
          <cell r="I21">
            <v>0</v>
          </cell>
          <cell r="J21">
            <v>0</v>
          </cell>
          <cell r="K21">
            <v>0</v>
          </cell>
          <cell r="L21">
            <v>0</v>
          </cell>
          <cell r="M21">
            <v>0</v>
          </cell>
        </row>
        <row r="22">
          <cell r="B22" t="str">
            <v>Cantor Fitzgerald</v>
          </cell>
          <cell r="C22" t="str">
            <v>BRIAN J WHITE</v>
          </cell>
          <cell r="D22" t="str">
            <v>buy</v>
          </cell>
          <cell r="E22">
            <v>42207</v>
          </cell>
          <cell r="F22">
            <v>195</v>
          </cell>
          <cell r="G22">
            <v>0</v>
          </cell>
          <cell r="H22">
            <v>0</v>
          </cell>
          <cell r="I22">
            <v>0</v>
          </cell>
          <cell r="J22">
            <v>0</v>
          </cell>
          <cell r="K22">
            <v>0</v>
          </cell>
          <cell r="L22">
            <v>0</v>
          </cell>
          <cell r="M22">
            <v>0</v>
          </cell>
        </row>
        <row r="23">
          <cell r="B23" t="str">
            <v>Stifel</v>
          </cell>
          <cell r="C23" t="str">
            <v>AARON C RAKERS</v>
          </cell>
          <cell r="D23" t="str">
            <v>buy</v>
          </cell>
          <cell r="E23">
            <v>42207</v>
          </cell>
          <cell r="F23">
            <v>150</v>
          </cell>
          <cell r="G23">
            <v>14315</v>
          </cell>
          <cell r="H23">
            <v>10550</v>
          </cell>
          <cell r="I23">
            <v>50235</v>
          </cell>
          <cell r="J23">
            <v>13915</v>
          </cell>
          <cell r="K23">
            <v>1.85</v>
          </cell>
          <cell r="L23">
            <v>0</v>
          </cell>
          <cell r="M23">
            <v>0</v>
          </cell>
        </row>
        <row r="24">
          <cell r="B24" t="str">
            <v>Berenberg</v>
          </cell>
          <cell r="C24" t="str">
            <v>ADNAAN AHMAD</v>
          </cell>
          <cell r="D24" t="str">
            <v>sell</v>
          </cell>
          <cell r="E24">
            <v>42207</v>
          </cell>
          <cell r="F24">
            <v>85</v>
          </cell>
          <cell r="G24">
            <v>0</v>
          </cell>
          <cell r="H24">
            <v>0</v>
          </cell>
          <cell r="I24">
            <v>0</v>
          </cell>
          <cell r="J24">
            <v>0</v>
          </cell>
          <cell r="K24">
            <v>0</v>
          </cell>
          <cell r="L24">
            <v>0</v>
          </cell>
          <cell r="M24">
            <v>0</v>
          </cell>
        </row>
        <row r="25">
          <cell r="B25" t="str">
            <v>Oppenheimer &amp; Co</v>
          </cell>
          <cell r="C25" t="str">
            <v>ANDREW UERKWITZ</v>
          </cell>
          <cell r="D25" t="str">
            <v>outperform</v>
          </cell>
          <cell r="E25">
            <v>42207</v>
          </cell>
          <cell r="F25">
            <v>155</v>
          </cell>
          <cell r="G25">
            <v>14469</v>
          </cell>
          <cell r="H25">
            <v>11600</v>
          </cell>
          <cell r="I25">
            <v>51071</v>
          </cell>
          <cell r="J25">
            <v>0</v>
          </cell>
          <cell r="K25">
            <v>2.0299999999999998</v>
          </cell>
          <cell r="L25">
            <v>33.9</v>
          </cell>
          <cell r="M25">
            <v>0</v>
          </cell>
        </row>
        <row r="26">
          <cell r="B26" t="str">
            <v>Wells Fargo Securities</v>
          </cell>
          <cell r="C26" t="str">
            <v>MAYNARD UM</v>
          </cell>
          <cell r="D26" t="str">
            <v>market perform</v>
          </cell>
          <cell r="E26">
            <v>42207</v>
          </cell>
          <cell r="F26">
            <v>0</v>
          </cell>
          <cell r="G26">
            <v>0</v>
          </cell>
          <cell r="H26">
            <v>0</v>
          </cell>
          <cell r="I26">
            <v>0</v>
          </cell>
          <cell r="J26">
            <v>0</v>
          </cell>
          <cell r="K26">
            <v>0</v>
          </cell>
          <cell r="L26">
            <v>0</v>
          </cell>
          <cell r="M26">
            <v>0</v>
          </cell>
        </row>
        <row r="27">
          <cell r="B27" t="str">
            <v>Cowen and Company</v>
          </cell>
          <cell r="C27" t="str">
            <v>TIMOTHY M ARCURI</v>
          </cell>
          <cell r="D27" t="str">
            <v>market perform</v>
          </cell>
          <cell r="E27">
            <v>42207</v>
          </cell>
          <cell r="F27">
            <v>130</v>
          </cell>
          <cell r="G27">
            <v>0</v>
          </cell>
          <cell r="H27">
            <v>0</v>
          </cell>
          <cell r="I27">
            <v>0</v>
          </cell>
          <cell r="J27">
            <v>0</v>
          </cell>
          <cell r="K27">
            <v>0</v>
          </cell>
          <cell r="L27">
            <v>0</v>
          </cell>
          <cell r="M27">
            <v>0</v>
          </cell>
        </row>
        <row r="28">
          <cell r="B28" t="str">
            <v>JMP Securities</v>
          </cell>
          <cell r="C28" t="str">
            <v>ALEX GAUNA</v>
          </cell>
          <cell r="D28" t="str">
            <v>market outperform</v>
          </cell>
          <cell r="E28">
            <v>42207</v>
          </cell>
          <cell r="F28">
            <v>150</v>
          </cell>
          <cell r="G28">
            <v>0</v>
          </cell>
          <cell r="H28">
            <v>0</v>
          </cell>
          <cell r="I28">
            <v>0</v>
          </cell>
          <cell r="J28">
            <v>0</v>
          </cell>
          <cell r="K28">
            <v>0</v>
          </cell>
          <cell r="L28">
            <v>0</v>
          </cell>
          <cell r="M28">
            <v>0</v>
          </cell>
        </row>
        <row r="29">
          <cell r="B29" t="str">
            <v>Maxim Group LLC</v>
          </cell>
          <cell r="C29" t="str">
            <v>NEHAL CHOKSHI</v>
          </cell>
          <cell r="D29" t="str">
            <v>hold</v>
          </cell>
          <cell r="E29">
            <v>42207</v>
          </cell>
          <cell r="F29">
            <v>144</v>
          </cell>
          <cell r="G29">
            <v>13770</v>
          </cell>
          <cell r="H29">
            <v>10158</v>
          </cell>
          <cell r="I29">
            <v>50070</v>
          </cell>
          <cell r="J29">
            <v>13459</v>
          </cell>
          <cell r="K29">
            <v>1.77</v>
          </cell>
          <cell r="L29">
            <v>0</v>
          </cell>
          <cell r="M29">
            <v>-142758</v>
          </cell>
        </row>
        <row r="30">
          <cell r="B30" t="str">
            <v>Susquehanna Financial Group</v>
          </cell>
          <cell r="C30" t="str">
            <v>CHRISTOPHER CASO</v>
          </cell>
          <cell r="D30" t="str">
            <v>Positive</v>
          </cell>
          <cell r="E30">
            <v>42207</v>
          </cell>
          <cell r="F30">
            <v>155</v>
          </cell>
          <cell r="G30">
            <v>14056</v>
          </cell>
          <cell r="H30">
            <v>10366</v>
          </cell>
          <cell r="I30">
            <v>50087</v>
          </cell>
          <cell r="J30">
            <v>0</v>
          </cell>
          <cell r="K30">
            <v>1.8</v>
          </cell>
          <cell r="L30">
            <v>0</v>
          </cell>
          <cell r="M30">
            <v>0</v>
          </cell>
        </row>
        <row r="31">
          <cell r="B31" t="str">
            <v>Atlantic Equities LLP</v>
          </cell>
          <cell r="C31" t="str">
            <v>JAMES CORDWELL</v>
          </cell>
          <cell r="D31" t="str">
            <v>overweight</v>
          </cell>
          <cell r="E31">
            <v>42207</v>
          </cell>
          <cell r="F31">
            <v>150</v>
          </cell>
          <cell r="G31">
            <v>14523</v>
          </cell>
          <cell r="H31">
            <v>10704</v>
          </cell>
          <cell r="I31">
            <v>51212</v>
          </cell>
          <cell r="J31">
            <v>0</v>
          </cell>
          <cell r="K31">
            <v>1.87</v>
          </cell>
          <cell r="L31">
            <v>0</v>
          </cell>
          <cell r="M31">
            <v>0</v>
          </cell>
        </row>
        <row r="32">
          <cell r="B32" t="str">
            <v>Cross Research</v>
          </cell>
          <cell r="C32" t="str">
            <v>SHANNON S CROSS</v>
          </cell>
          <cell r="D32" t="str">
            <v>buy</v>
          </cell>
          <cell r="E32">
            <v>42207</v>
          </cell>
          <cell r="F32">
            <v>150</v>
          </cell>
          <cell r="G32">
            <v>14485</v>
          </cell>
          <cell r="H32">
            <v>10647</v>
          </cell>
          <cell r="I32">
            <v>50514</v>
          </cell>
          <cell r="J32">
            <v>0</v>
          </cell>
          <cell r="K32">
            <v>1.86</v>
          </cell>
          <cell r="L32">
            <v>0</v>
          </cell>
          <cell r="M32">
            <v>0</v>
          </cell>
        </row>
        <row r="33">
          <cell r="B33" t="str">
            <v>Piper Jaffray</v>
          </cell>
          <cell r="C33" t="str">
            <v>EUGENE E MUNSTER</v>
          </cell>
          <cell r="D33" t="str">
            <v>overweight</v>
          </cell>
          <cell r="E33">
            <v>42207</v>
          </cell>
          <cell r="F33">
            <v>172</v>
          </cell>
          <cell r="G33">
            <v>0</v>
          </cell>
          <cell r="H33">
            <v>0</v>
          </cell>
          <cell r="I33">
            <v>0</v>
          </cell>
          <cell r="J33">
            <v>0</v>
          </cell>
          <cell r="K33">
            <v>0</v>
          </cell>
          <cell r="L33">
            <v>0</v>
          </cell>
          <cell r="M33">
            <v>0</v>
          </cell>
        </row>
        <row r="34">
          <cell r="B34" t="str">
            <v>FBN Securities</v>
          </cell>
          <cell r="C34" t="str">
            <v>SHEBLY SEYRAFI</v>
          </cell>
          <cell r="D34" t="str">
            <v>outperform</v>
          </cell>
          <cell r="E34">
            <v>42207</v>
          </cell>
          <cell r="F34">
            <v>150</v>
          </cell>
          <cell r="G34">
            <v>14745</v>
          </cell>
          <cell r="H34">
            <v>10867</v>
          </cell>
          <cell r="I34">
            <v>51554</v>
          </cell>
          <cell r="J34">
            <v>0</v>
          </cell>
          <cell r="K34">
            <v>1.9</v>
          </cell>
          <cell r="L34">
            <v>29.2</v>
          </cell>
          <cell r="M34">
            <v>-160538</v>
          </cell>
        </row>
        <row r="35">
          <cell r="B35" t="str">
            <v>Pacific Crest Securities</v>
          </cell>
          <cell r="C35" t="str">
            <v>ANDY HARGREAVES</v>
          </cell>
          <cell r="D35" t="str">
            <v>sector weight</v>
          </cell>
          <cell r="E35">
            <v>42206</v>
          </cell>
          <cell r="F35">
            <v>0</v>
          </cell>
          <cell r="G35">
            <v>0</v>
          </cell>
          <cell r="H35">
            <v>0</v>
          </cell>
          <cell r="I35">
            <v>0</v>
          </cell>
          <cell r="J35">
            <v>0</v>
          </cell>
          <cell r="K35">
            <v>0</v>
          </cell>
          <cell r="L35">
            <v>0</v>
          </cell>
          <cell r="M35">
            <v>0</v>
          </cell>
        </row>
        <row r="36">
          <cell r="B36" t="str">
            <v>William Blair &amp; Co</v>
          </cell>
          <cell r="C36" t="str">
            <v>ANIL K DORADLA</v>
          </cell>
          <cell r="D36" t="str">
            <v>outperform</v>
          </cell>
          <cell r="E36">
            <v>42206</v>
          </cell>
          <cell r="F36">
            <v>0</v>
          </cell>
          <cell r="G36">
            <v>14190</v>
          </cell>
          <cell r="H36">
            <v>10458</v>
          </cell>
          <cell r="I36">
            <v>50511</v>
          </cell>
          <cell r="J36">
            <v>0</v>
          </cell>
          <cell r="K36">
            <v>1.82</v>
          </cell>
          <cell r="L36">
            <v>0</v>
          </cell>
          <cell r="M36">
            <v>0</v>
          </cell>
        </row>
        <row r="37">
          <cell r="B37" t="str">
            <v>Canaccord Genuity Corp</v>
          </cell>
          <cell r="C37" t="str">
            <v>T MICHAEL WALKLEY</v>
          </cell>
          <cell r="D37" t="str">
            <v>buy</v>
          </cell>
          <cell r="E37">
            <v>42206</v>
          </cell>
          <cell r="F37">
            <v>155</v>
          </cell>
          <cell r="G37">
            <v>0</v>
          </cell>
          <cell r="H37">
            <v>0</v>
          </cell>
          <cell r="I37">
            <v>0</v>
          </cell>
          <cell r="J37">
            <v>0</v>
          </cell>
          <cell r="K37">
            <v>0</v>
          </cell>
          <cell r="L37">
            <v>0</v>
          </cell>
          <cell r="M37">
            <v>0</v>
          </cell>
        </row>
        <row r="38">
          <cell r="B38" t="str">
            <v>BGC Partners</v>
          </cell>
          <cell r="C38" t="str">
            <v>COLIN W GILLIS</v>
          </cell>
          <cell r="D38" t="str">
            <v>hold</v>
          </cell>
          <cell r="E38">
            <v>42206</v>
          </cell>
          <cell r="F38">
            <v>115</v>
          </cell>
          <cell r="G38">
            <v>14341</v>
          </cell>
          <cell r="H38">
            <v>10584</v>
          </cell>
          <cell r="I38">
            <v>51811</v>
          </cell>
          <cell r="J38">
            <v>0</v>
          </cell>
          <cell r="K38">
            <v>1.84</v>
          </cell>
          <cell r="L38">
            <v>0</v>
          </cell>
          <cell r="M38">
            <v>0</v>
          </cell>
        </row>
        <row r="39">
          <cell r="B39" t="str">
            <v>BTIG LLC</v>
          </cell>
          <cell r="C39" t="str">
            <v>WALTER P PIECYK JR</v>
          </cell>
          <cell r="D39" t="str">
            <v>buy</v>
          </cell>
          <cell r="E39">
            <v>42206</v>
          </cell>
          <cell r="F39">
            <v>160</v>
          </cell>
          <cell r="G39">
            <v>14761</v>
          </cell>
          <cell r="H39">
            <v>10879</v>
          </cell>
          <cell r="I39">
            <v>51168</v>
          </cell>
          <cell r="J39">
            <v>0</v>
          </cell>
          <cell r="K39">
            <v>1.92</v>
          </cell>
          <cell r="L39">
            <v>0</v>
          </cell>
          <cell r="M39">
            <v>-145107</v>
          </cell>
        </row>
        <row r="40">
          <cell r="B40" t="str">
            <v>Edward Jones</v>
          </cell>
          <cell r="C40" t="str">
            <v>WILLIAM C KREHER</v>
          </cell>
          <cell r="D40" t="str">
            <v>hold</v>
          </cell>
          <cell r="E40">
            <v>42179</v>
          </cell>
          <cell r="F40">
            <v>0</v>
          </cell>
          <cell r="G40">
            <v>0</v>
          </cell>
          <cell r="H40">
            <v>0</v>
          </cell>
          <cell r="I40">
            <v>0</v>
          </cell>
          <cell r="J40">
            <v>0</v>
          </cell>
          <cell r="K40">
            <v>0</v>
          </cell>
          <cell r="L40">
            <v>0</v>
          </cell>
          <cell r="M40">
            <v>0</v>
          </cell>
        </row>
        <row r="41">
          <cell r="B41" t="str">
            <v>EVA Dimensions</v>
          </cell>
          <cell r="C41" t="str">
            <v>AUSTIN BURKETT</v>
          </cell>
          <cell r="D41" t="str">
            <v>hold</v>
          </cell>
          <cell r="E41">
            <v>42160</v>
          </cell>
          <cell r="F41">
            <v>0</v>
          </cell>
          <cell r="G41">
            <v>0</v>
          </cell>
          <cell r="H41">
            <v>0</v>
          </cell>
          <cell r="I41">
            <v>0</v>
          </cell>
          <cell r="J41">
            <v>0</v>
          </cell>
          <cell r="K41">
            <v>0</v>
          </cell>
          <cell r="L41">
            <v>0</v>
          </cell>
          <cell r="M41">
            <v>0</v>
          </cell>
        </row>
        <row r="42">
          <cell r="B42" t="str">
            <v>Ameriprise Advisor Services, Inc</v>
          </cell>
          <cell r="C42" t="str">
            <v>JUSTIN H BURGIN</v>
          </cell>
          <cell r="D42" t="str">
            <v>buy</v>
          </cell>
          <cell r="E42">
            <v>42131</v>
          </cell>
          <cell r="F42">
            <v>0</v>
          </cell>
          <cell r="G42">
            <v>0</v>
          </cell>
          <cell r="H42">
            <v>0</v>
          </cell>
          <cell r="I42">
            <v>0</v>
          </cell>
          <cell r="J42">
            <v>0</v>
          </cell>
          <cell r="K42">
            <v>0</v>
          </cell>
          <cell r="L42">
            <v>0</v>
          </cell>
          <cell r="M42">
            <v>0</v>
          </cell>
        </row>
        <row r="43">
          <cell r="B43" t="str">
            <v>Daiwa Securities Co. Ltd.</v>
          </cell>
          <cell r="C43" t="str">
            <v>YOKO YAMADA</v>
          </cell>
          <cell r="D43" t="str">
            <v>outperform</v>
          </cell>
          <cell r="E43">
            <v>42125</v>
          </cell>
          <cell r="F43">
            <v>137</v>
          </cell>
          <cell r="G43">
            <v>0</v>
          </cell>
          <cell r="H43">
            <v>0</v>
          </cell>
          <cell r="I43">
            <v>0</v>
          </cell>
          <cell r="J43">
            <v>0</v>
          </cell>
          <cell r="K43">
            <v>0</v>
          </cell>
          <cell r="L43">
            <v>0</v>
          </cell>
          <cell r="M43">
            <v>0</v>
          </cell>
        </row>
        <row r="44">
          <cell r="B44" t="str">
            <v>First Shanghai Securities Ltd</v>
          </cell>
          <cell r="C44" t="str">
            <v>TSOI HO</v>
          </cell>
          <cell r="D44" t="str">
            <v>buy</v>
          </cell>
          <cell r="E44">
            <v>42124</v>
          </cell>
          <cell r="F44">
            <v>165</v>
          </cell>
          <cell r="G44">
            <v>0</v>
          </cell>
          <cell r="H44">
            <v>0</v>
          </cell>
          <cell r="I44">
            <v>0</v>
          </cell>
          <cell r="J44">
            <v>0</v>
          </cell>
          <cell r="K44">
            <v>0</v>
          </cell>
          <cell r="L44">
            <v>0</v>
          </cell>
          <cell r="M44">
            <v>0</v>
          </cell>
        </row>
        <row r="45">
          <cell r="B45" t="str">
            <v>Goldman Sachs</v>
          </cell>
          <cell r="C45" t="str">
            <v>BILL SHOPE</v>
          </cell>
          <cell r="D45" t="str">
            <v>Buy/Cautious</v>
          </cell>
          <cell r="E45">
            <v>42122</v>
          </cell>
          <cell r="F45">
            <v>163</v>
          </cell>
          <cell r="G45">
            <v>0</v>
          </cell>
          <cell r="H45">
            <v>0</v>
          </cell>
          <cell r="I45">
            <v>0</v>
          </cell>
          <cell r="J45">
            <v>0</v>
          </cell>
          <cell r="K45">
            <v>0</v>
          </cell>
          <cell r="L45">
            <v>0</v>
          </cell>
          <cell r="M45">
            <v>0</v>
          </cell>
        </row>
        <row r="46">
          <cell r="B46" t="str">
            <v>Hamburger Sparkasse</v>
          </cell>
          <cell r="C46" t="str">
            <v>MARCO GUENTHER</v>
          </cell>
          <cell r="D46" t="str">
            <v>neutral</v>
          </cell>
          <cell r="E46">
            <v>42122</v>
          </cell>
          <cell r="F46">
            <v>0</v>
          </cell>
          <cell r="G46">
            <v>0</v>
          </cell>
          <cell r="H46">
            <v>0</v>
          </cell>
          <cell r="I46">
            <v>0</v>
          </cell>
          <cell r="J46">
            <v>0</v>
          </cell>
          <cell r="K46">
            <v>0</v>
          </cell>
          <cell r="L46">
            <v>0</v>
          </cell>
          <cell r="M46">
            <v>0</v>
          </cell>
        </row>
        <row r="47">
          <cell r="B47" t="str">
            <v>UBS</v>
          </cell>
          <cell r="C47" t="str">
            <v>STEVEN M MILUNOVICH</v>
          </cell>
          <cell r="D47" t="str">
            <v>buy</v>
          </cell>
          <cell r="E47">
            <v>42048</v>
          </cell>
          <cell r="F47">
            <v>150</v>
          </cell>
          <cell r="G47">
            <v>0</v>
          </cell>
          <cell r="H47">
            <v>0</v>
          </cell>
          <cell r="I47">
            <v>0</v>
          </cell>
          <cell r="J47">
            <v>0</v>
          </cell>
          <cell r="K47">
            <v>0</v>
          </cell>
          <cell r="L47">
            <v>0</v>
          </cell>
          <cell r="M47">
            <v>0</v>
          </cell>
        </row>
        <row r="48">
          <cell r="B48" t="str">
            <v>Accountability Research Corp</v>
          </cell>
          <cell r="C48" t="str">
            <v>KEVIN CHU</v>
          </cell>
          <cell r="D48" t="str">
            <v>buy</v>
          </cell>
          <cell r="E48">
            <v>42040</v>
          </cell>
          <cell r="F48">
            <v>139</v>
          </cell>
          <cell r="G48">
            <v>0</v>
          </cell>
          <cell r="H48">
            <v>0</v>
          </cell>
          <cell r="I48">
            <v>0</v>
          </cell>
          <cell r="J48">
            <v>0</v>
          </cell>
          <cell r="K48">
            <v>0</v>
          </cell>
          <cell r="L48">
            <v>0</v>
          </cell>
          <cell r="M48">
            <v>0</v>
          </cell>
        </row>
        <row r="49">
          <cell r="B49" t="str">
            <v>Scotia Capital</v>
          </cell>
          <cell r="C49" t="str">
            <v>DANIEL CHAN</v>
          </cell>
          <cell r="D49" t="str">
            <v>suspended coverage</v>
          </cell>
          <cell r="E49">
            <v>41913</v>
          </cell>
          <cell r="F49">
            <v>0</v>
          </cell>
          <cell r="G49">
            <v>0</v>
          </cell>
          <cell r="H49">
            <v>0</v>
          </cell>
          <cell r="I49">
            <v>0</v>
          </cell>
          <cell r="J49">
            <v>0</v>
          </cell>
          <cell r="K49">
            <v>1.57</v>
          </cell>
          <cell r="L49">
            <v>0</v>
          </cell>
          <cell r="M49">
            <v>0</v>
          </cell>
        </row>
        <row r="50">
          <cell r="B50" t="str">
            <v>Erste Group</v>
          </cell>
          <cell r="C50" t="str">
            <v>HANS ENGEL</v>
          </cell>
          <cell r="D50" t="str">
            <v>buy</v>
          </cell>
          <cell r="E50">
            <v>41842</v>
          </cell>
          <cell r="F50">
            <v>0</v>
          </cell>
          <cell r="G50">
            <v>0</v>
          </cell>
          <cell r="H50">
            <v>0</v>
          </cell>
          <cell r="I50">
            <v>0</v>
          </cell>
          <cell r="J50">
            <v>0</v>
          </cell>
          <cell r="K50">
            <v>0</v>
          </cell>
          <cell r="L50">
            <v>0</v>
          </cell>
          <cell r="M50">
            <v>0</v>
          </cell>
        </row>
      </sheetData>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L279"/>
  <sheetViews>
    <sheetView showGridLines="0" tabSelected="1" topLeftCell="B1" zoomScale="85" zoomScaleNormal="85" workbookViewId="0">
      <selection activeCell="B2" sqref="B2:C2"/>
    </sheetView>
  </sheetViews>
  <sheetFormatPr defaultRowHeight="14.4" outlineLevelRow="1" outlineLevelCol="1" x14ac:dyDescent="0.3"/>
  <cols>
    <col min="1" max="1" width="1.6640625" customWidth="1"/>
    <col min="2" max="2" width="31.6640625" customWidth="1"/>
    <col min="3" max="3" width="38.33203125" style="9" customWidth="1"/>
    <col min="4" max="4" width="11.33203125" style="1" customWidth="1" outlineLevel="1"/>
    <col min="5" max="7" width="11.5546875" style="1" customWidth="1" outlineLevel="1"/>
    <col min="8" max="8" width="11.5546875" style="1" customWidth="1"/>
    <col min="9" max="10" width="11.5546875" style="1" hidden="1" customWidth="1" outlineLevel="1"/>
    <col min="11" max="12" width="11.5546875" style="2" hidden="1" customWidth="1" outlineLevel="1"/>
    <col min="13" max="13" width="11.5546875" style="2" customWidth="1" collapsed="1"/>
    <col min="14" max="15" width="11.5546875" style="1" customWidth="1" outlineLevel="1"/>
    <col min="16" max="17" width="11.5546875" style="2" customWidth="1" outlineLevel="1"/>
    <col min="18" max="18" width="11.5546875" style="2" customWidth="1"/>
    <col min="19" max="20" width="11.5546875" style="1" customWidth="1" outlineLevel="1"/>
    <col min="21" max="22" width="11.5546875" style="2" customWidth="1" outlineLevel="1"/>
    <col min="23" max="23" width="11.5546875" style="2" customWidth="1"/>
    <col min="24" max="24" width="4.33203125" customWidth="1"/>
    <col min="25" max="25" width="16.109375" customWidth="1"/>
    <col min="26" max="26" width="9.44140625" bestFit="1" customWidth="1"/>
  </cols>
  <sheetData>
    <row r="1" spans="1:30" s="50" customFormat="1" ht="7.2" customHeight="1" x14ac:dyDescent="0.3">
      <c r="A1" s="90"/>
      <c r="C1" s="51"/>
      <c r="D1" s="1"/>
      <c r="E1" s="1"/>
      <c r="F1" s="1"/>
      <c r="G1" s="1"/>
      <c r="H1" s="1"/>
      <c r="I1" s="1"/>
      <c r="J1" s="1"/>
      <c r="K1" s="2"/>
      <c r="L1" s="2"/>
      <c r="M1" s="2"/>
      <c r="N1" s="1"/>
      <c r="O1" s="1"/>
      <c r="P1" s="2"/>
      <c r="Q1" s="2"/>
      <c r="R1" s="2"/>
      <c r="S1" s="1"/>
      <c r="T1" s="1"/>
      <c r="U1" s="2"/>
      <c r="V1" s="2"/>
      <c r="W1" s="2"/>
      <c r="AD1" s="90" t="s">
        <v>59</v>
      </c>
    </row>
    <row r="2" spans="1:30" ht="46.2" customHeight="1" x14ac:dyDescent="0.3">
      <c r="B2" s="376" t="s">
        <v>58</v>
      </c>
      <c r="C2" s="377"/>
    </row>
    <row r="3" spans="1:30" x14ac:dyDescent="0.3">
      <c r="B3" s="386" t="s">
        <v>260</v>
      </c>
      <c r="C3" s="387"/>
      <c r="I3" s="10"/>
    </row>
    <row r="4" spans="1:30" x14ac:dyDescent="0.3">
      <c r="B4" s="388" t="s">
        <v>258</v>
      </c>
      <c r="C4" s="389"/>
      <c r="D4" s="8"/>
      <c r="I4" s="10"/>
    </row>
    <row r="5" spans="1:30" x14ac:dyDescent="0.3">
      <c r="B5" s="84" t="s">
        <v>23</v>
      </c>
      <c r="C5" s="85">
        <f>C252</f>
        <v>62.327383963248785</v>
      </c>
      <c r="I5" s="10"/>
      <c r="J5" s="10"/>
      <c r="K5" s="10"/>
      <c r="L5" s="10"/>
      <c r="N5" s="10"/>
      <c r="O5" s="10"/>
      <c r="P5" s="10"/>
      <c r="Q5" s="10"/>
      <c r="R5" s="10"/>
      <c r="S5" s="10"/>
      <c r="T5" s="10"/>
      <c r="U5" s="10"/>
      <c r="V5" s="10"/>
      <c r="W5" s="10"/>
    </row>
    <row r="6" spans="1:30" s="50" customFormat="1" x14ac:dyDescent="0.3">
      <c r="B6" s="56" t="s">
        <v>51</v>
      </c>
      <c r="C6" s="78" t="str">
        <f>TEXT(C261,"$0")&amp;" to "&amp;TEXT(C260,"$0")</f>
        <v>$53 to $72</v>
      </c>
      <c r="D6" s="1"/>
      <c r="E6" s="1"/>
      <c r="F6" s="1"/>
      <c r="G6" s="1"/>
      <c r="H6" s="1"/>
      <c r="I6" s="10"/>
      <c r="J6" s="10"/>
      <c r="K6" s="10"/>
      <c r="L6" s="10"/>
      <c r="M6" s="2"/>
      <c r="N6" s="10"/>
      <c r="O6" s="10"/>
      <c r="P6" s="10"/>
      <c r="Q6" s="10"/>
      <c r="R6" s="89"/>
      <c r="S6" s="10"/>
      <c r="T6" s="10"/>
      <c r="U6" s="10"/>
      <c r="V6" s="10"/>
      <c r="W6" s="10"/>
      <c r="Z6" s="96"/>
    </row>
    <row r="7" spans="1:30" ht="4.5" customHeight="1" x14ac:dyDescent="0.3">
      <c r="C7" s="16"/>
      <c r="D7" s="8"/>
      <c r="E7" s="8"/>
      <c r="F7" s="8"/>
      <c r="G7" s="8"/>
      <c r="H7" s="8"/>
      <c r="I7" s="8"/>
      <c r="J7" s="8"/>
      <c r="K7" s="8"/>
      <c r="L7" s="13"/>
      <c r="M7" s="14"/>
      <c r="N7" s="13"/>
      <c r="O7" s="13"/>
      <c r="P7" s="13"/>
      <c r="Q7" s="15"/>
      <c r="R7" s="15"/>
      <c r="S7" s="13"/>
      <c r="T7" s="13"/>
      <c r="U7" s="13"/>
      <c r="V7" s="15"/>
      <c r="W7" s="15"/>
      <c r="Z7" s="96"/>
    </row>
    <row r="8" spans="1:30" ht="15.6" x14ac:dyDescent="0.3">
      <c r="B8" s="382" t="s">
        <v>77</v>
      </c>
      <c r="C8" s="383"/>
      <c r="D8" s="41" t="s">
        <v>4</v>
      </c>
      <c r="E8" s="41" t="s">
        <v>3</v>
      </c>
      <c r="F8" s="41" t="s">
        <v>2</v>
      </c>
      <c r="G8" s="41" t="s">
        <v>5</v>
      </c>
      <c r="H8" s="41" t="s">
        <v>5</v>
      </c>
      <c r="I8" s="41" t="s">
        <v>6</v>
      </c>
      <c r="J8" s="41" t="s">
        <v>7</v>
      </c>
      <c r="K8" s="41" t="s">
        <v>8</v>
      </c>
      <c r="L8" s="52" t="s">
        <v>10</v>
      </c>
      <c r="M8" s="52" t="s">
        <v>10</v>
      </c>
      <c r="N8" s="52" t="s">
        <v>11</v>
      </c>
      <c r="O8" s="52" t="s">
        <v>12</v>
      </c>
      <c r="P8" s="52" t="s">
        <v>13</v>
      </c>
      <c r="Q8" s="43" t="s">
        <v>9</v>
      </c>
      <c r="R8" s="43" t="s">
        <v>9</v>
      </c>
      <c r="S8" s="43" t="s">
        <v>14</v>
      </c>
      <c r="T8" s="43" t="s">
        <v>15</v>
      </c>
      <c r="U8" s="43" t="s">
        <v>16</v>
      </c>
      <c r="V8" s="43" t="s">
        <v>17</v>
      </c>
      <c r="W8" s="58" t="s">
        <v>17</v>
      </c>
      <c r="Z8" s="322"/>
    </row>
    <row r="9" spans="1:30" ht="16.2" x14ac:dyDescent="0.45">
      <c r="B9" s="380" t="s">
        <v>0</v>
      </c>
      <c r="C9" s="381"/>
      <c r="D9" s="42" t="s">
        <v>24</v>
      </c>
      <c r="E9" s="42" t="s">
        <v>25</v>
      </c>
      <c r="F9" s="42" t="s">
        <v>26</v>
      </c>
      <c r="G9" s="42" t="s">
        <v>27</v>
      </c>
      <c r="H9" s="53" t="s">
        <v>19</v>
      </c>
      <c r="I9" s="42" t="s">
        <v>28</v>
      </c>
      <c r="J9" s="42" t="s">
        <v>29</v>
      </c>
      <c r="K9" s="42" t="s">
        <v>38</v>
      </c>
      <c r="L9" s="53" t="s">
        <v>49</v>
      </c>
      <c r="M9" s="53" t="s">
        <v>50</v>
      </c>
      <c r="N9" s="53" t="s">
        <v>85</v>
      </c>
      <c r="O9" s="53" t="s">
        <v>86</v>
      </c>
      <c r="P9" s="53" t="s">
        <v>32</v>
      </c>
      <c r="Q9" s="44" t="s">
        <v>33</v>
      </c>
      <c r="R9" s="44" t="s">
        <v>20</v>
      </c>
      <c r="S9" s="44" t="s">
        <v>34</v>
      </c>
      <c r="T9" s="44" t="s">
        <v>35</v>
      </c>
      <c r="U9" s="44" t="s">
        <v>36</v>
      </c>
      <c r="V9" s="44" t="s">
        <v>37</v>
      </c>
      <c r="W9" s="59" t="s">
        <v>21</v>
      </c>
      <c r="Z9" s="323"/>
    </row>
    <row r="10" spans="1:30" s="126" customFormat="1" ht="16.2" x14ac:dyDescent="0.45">
      <c r="B10" s="384" t="s">
        <v>78</v>
      </c>
      <c r="C10" s="385"/>
      <c r="D10" s="127"/>
      <c r="E10" s="127"/>
      <c r="F10" s="127"/>
      <c r="G10" s="128"/>
      <c r="H10" s="128"/>
      <c r="I10" s="127"/>
      <c r="J10" s="127"/>
      <c r="K10" s="127"/>
      <c r="L10" s="128"/>
      <c r="M10" s="150"/>
      <c r="N10" s="127"/>
      <c r="O10" s="127"/>
      <c r="P10" s="127"/>
      <c r="Q10" s="128"/>
      <c r="R10" s="150"/>
      <c r="S10" s="127"/>
      <c r="T10" s="127"/>
      <c r="U10" s="127"/>
      <c r="V10" s="128"/>
      <c r="W10" s="128"/>
      <c r="Z10" s="324"/>
    </row>
    <row r="11" spans="1:30" s="126" customFormat="1" x14ac:dyDescent="0.3">
      <c r="B11" s="138" t="s">
        <v>79</v>
      </c>
      <c r="C11" s="336"/>
      <c r="D11" s="152">
        <v>2424</v>
      </c>
      <c r="E11" s="152">
        <v>2705</v>
      </c>
      <c r="F11" s="152">
        <v>2637</v>
      </c>
      <c r="G11" s="153">
        <f>H11-(F11+E11+D11)</f>
        <v>1982</v>
      </c>
      <c r="H11" s="157">
        <v>9748</v>
      </c>
      <c r="I11" s="152">
        <v>1419</v>
      </c>
      <c r="J11" s="152">
        <v>1616</v>
      </c>
      <c r="K11" s="152">
        <v>1229</v>
      </c>
      <c r="L11" s="153">
        <f>M11-(SUM(I11:K11))</f>
        <v>1156</v>
      </c>
      <c r="M11" s="157">
        <v>5420</v>
      </c>
      <c r="N11" s="152">
        <v>850</v>
      </c>
      <c r="O11" s="152">
        <v>1125</v>
      </c>
      <c r="P11" s="152">
        <v>1239</v>
      </c>
      <c r="Q11" s="152">
        <f>(Q56*Q71+Q63*Q75)</f>
        <v>1369.35</v>
      </c>
      <c r="R11" s="157">
        <f>SUM(N11:Q11)</f>
        <v>4583.3500000000004</v>
      </c>
      <c r="S11" s="152">
        <f>(S56*S71+S63*S75)</f>
        <v>1614.6497999999999</v>
      </c>
      <c r="T11" s="152">
        <f>(T56*T71+T63*T75)</f>
        <v>1780.5971700000002</v>
      </c>
      <c r="U11" s="152">
        <f>(U56*U71+U63*U75)</f>
        <v>1900.1874780000003</v>
      </c>
      <c r="V11" s="152">
        <f>(V56*V71+V63*V75)</f>
        <v>2003.8873743000004</v>
      </c>
      <c r="W11" s="157">
        <f>SUM(S11:V11)</f>
        <v>7299.3218223000003</v>
      </c>
      <c r="Y11" s="246"/>
      <c r="Z11" s="325"/>
    </row>
    <row r="12" spans="1:30" s="126" customFormat="1" x14ac:dyDescent="0.3">
      <c r="B12" s="138" t="s">
        <v>80</v>
      </c>
      <c r="C12" s="336"/>
      <c r="D12" s="152">
        <v>1217</v>
      </c>
      <c r="E12" s="152">
        <v>991</v>
      </c>
      <c r="F12" s="152">
        <v>830</v>
      </c>
      <c r="G12" s="153">
        <f t="shared" ref="G12:G44" si="0">H12-(F12+E12+D12)</f>
        <v>811</v>
      </c>
      <c r="H12" s="157">
        <v>3849</v>
      </c>
      <c r="I12" s="152">
        <v>641</v>
      </c>
      <c r="J12" s="152">
        <v>487</v>
      </c>
      <c r="K12" s="152">
        <v>484</v>
      </c>
      <c r="L12" s="153">
        <f t="shared" ref="L12:L16" si="1">M12-(SUM(I12:K12))</f>
        <v>395</v>
      </c>
      <c r="M12" s="157">
        <v>2007</v>
      </c>
      <c r="N12" s="152">
        <v>366</v>
      </c>
      <c r="O12" s="152">
        <v>320</v>
      </c>
      <c r="P12" s="152">
        <v>435</v>
      </c>
      <c r="Q12" s="152">
        <f>(Q58*Q72+Q65*Q76)</f>
        <v>502.911</v>
      </c>
      <c r="R12" s="157">
        <f>SUM(N12:Q12)</f>
        <v>1623.9110000000001</v>
      </c>
      <c r="S12" s="152">
        <f>(S58*S72+S65*S76)</f>
        <v>579.57929999999999</v>
      </c>
      <c r="T12" s="152">
        <f>(T58*T72+T65*T76)</f>
        <v>602.46159750000004</v>
      </c>
      <c r="U12" s="152">
        <f>(U58*U72+U65*U76)</f>
        <v>634.13655637500005</v>
      </c>
      <c r="V12" s="152">
        <f>(V58*V72+V65*V76)</f>
        <v>702.7102096875002</v>
      </c>
      <c r="W12" s="157">
        <f t="shared" ref="W12:W14" si="2">SUM(S12:V12)</f>
        <v>2518.8876635625002</v>
      </c>
      <c r="Y12" s="246"/>
      <c r="Z12" s="325"/>
    </row>
    <row r="13" spans="1:30" s="126" customFormat="1" x14ac:dyDescent="0.3">
      <c r="B13" s="138" t="s">
        <v>81</v>
      </c>
      <c r="C13" s="336"/>
      <c r="D13" s="152">
        <v>386</v>
      </c>
      <c r="E13" s="152">
        <v>411</v>
      </c>
      <c r="F13" s="152">
        <v>424</v>
      </c>
      <c r="G13" s="153">
        <f t="shared" si="0"/>
        <v>351</v>
      </c>
      <c r="H13" s="157">
        <v>1572</v>
      </c>
      <c r="I13" s="152">
        <v>232</v>
      </c>
      <c r="J13" s="152">
        <v>229</v>
      </c>
      <c r="K13" s="152">
        <v>183</v>
      </c>
      <c r="L13" s="153">
        <f t="shared" si="1"/>
        <v>189</v>
      </c>
      <c r="M13" s="157">
        <v>833</v>
      </c>
      <c r="N13" s="152">
        <v>178</v>
      </c>
      <c r="O13" s="152">
        <v>235</v>
      </c>
      <c r="P13" s="152">
        <v>227</v>
      </c>
      <c r="Q13" s="152">
        <f>(Q60*Q73+Q67*Q77)</f>
        <v>195</v>
      </c>
      <c r="R13" s="157">
        <f>SUM(N13:Q13)</f>
        <v>835</v>
      </c>
      <c r="S13" s="152">
        <f>(S60*S73+S67*S77)</f>
        <v>223</v>
      </c>
      <c r="T13" s="152">
        <f>(T60*T73+T67*T77)</f>
        <v>232.90000000000003</v>
      </c>
      <c r="U13" s="152">
        <f>(U60*U73+U67*U77)</f>
        <v>243.29500000000002</v>
      </c>
      <c r="V13" s="152">
        <f>(V60*V73+V67*V77)</f>
        <v>254.20975000000004</v>
      </c>
      <c r="W13" s="157">
        <f t="shared" si="2"/>
        <v>953.40475000000015</v>
      </c>
      <c r="Y13" s="246"/>
    </row>
    <row r="14" spans="1:30" s="126" customFormat="1" x14ac:dyDescent="0.3">
      <c r="B14" s="138" t="s">
        <v>82</v>
      </c>
      <c r="C14" s="336"/>
      <c r="D14" s="152">
        <v>311</v>
      </c>
      <c r="E14" s="152">
        <v>278</v>
      </c>
      <c r="F14" s="152">
        <v>339</v>
      </c>
      <c r="G14" s="153">
        <f t="shared" si="0"/>
        <v>278</v>
      </c>
      <c r="H14" s="157">
        <v>1206</v>
      </c>
      <c r="I14" s="152">
        <v>293</v>
      </c>
      <c r="J14" s="152">
        <v>305</v>
      </c>
      <c r="K14" s="152">
        <v>334</v>
      </c>
      <c r="L14" s="153">
        <f t="shared" si="1"/>
        <v>294</v>
      </c>
      <c r="M14" s="157">
        <v>1226</v>
      </c>
      <c r="N14" s="152">
        <v>240</v>
      </c>
      <c r="O14" s="152">
        <v>305</v>
      </c>
      <c r="P14" s="152">
        <v>350</v>
      </c>
      <c r="Q14" s="153">
        <v>337.05999999999995</v>
      </c>
      <c r="R14" s="157">
        <f>SUM(N14:Q14)</f>
        <v>1232.06</v>
      </c>
      <c r="S14" s="152">
        <v>368.36500000000228</v>
      </c>
      <c r="T14" s="152">
        <v>291.78000000000065</v>
      </c>
      <c r="U14" s="152">
        <v>256.82605000000001</v>
      </c>
      <c r="V14" s="153">
        <v>210.79735249999959</v>
      </c>
      <c r="W14" s="157">
        <f t="shared" si="2"/>
        <v>1127.7684025000026</v>
      </c>
      <c r="Y14" s="246"/>
    </row>
    <row r="15" spans="1:30" s="126" customFormat="1" ht="16.2" x14ac:dyDescent="0.45">
      <c r="B15" s="138" t="s">
        <v>83</v>
      </c>
      <c r="C15" s="336"/>
      <c r="D15" s="162">
        <v>1506</v>
      </c>
      <c r="E15" s="162">
        <v>54</v>
      </c>
      <c r="F15" s="162">
        <v>780</v>
      </c>
      <c r="G15" s="154">
        <f t="shared" si="0"/>
        <v>-245</v>
      </c>
      <c r="H15" s="247">
        <v>2095</v>
      </c>
      <c r="I15" s="162">
        <v>-264</v>
      </c>
      <c r="J15" s="162">
        <v>-1</v>
      </c>
      <c r="K15" s="162">
        <v>-542</v>
      </c>
      <c r="L15" s="154">
        <f t="shared" si="1"/>
        <v>19</v>
      </c>
      <c r="M15" s="247">
        <v>-788</v>
      </c>
      <c r="N15" s="162">
        <v>40</v>
      </c>
      <c r="O15" s="162">
        <v>-70</v>
      </c>
      <c r="P15" s="162">
        <v>-358</v>
      </c>
      <c r="Q15" s="154">
        <v>0</v>
      </c>
      <c r="R15" s="247">
        <f>SUM(N15:Q15)</f>
        <v>-388</v>
      </c>
      <c r="S15" s="294">
        <v>0</v>
      </c>
      <c r="T15" s="294">
        <v>0</v>
      </c>
      <c r="U15" s="294">
        <v>0</v>
      </c>
      <c r="V15" s="295">
        <v>0</v>
      </c>
      <c r="W15" s="247">
        <f>SUM(S15:V15)</f>
        <v>0</v>
      </c>
      <c r="Y15" s="246"/>
    </row>
    <row r="16" spans="1:30" s="51" customFormat="1" ht="16.2" x14ac:dyDescent="0.45">
      <c r="B16" s="366" t="s">
        <v>84</v>
      </c>
      <c r="C16" s="367"/>
      <c r="D16" s="155">
        <f>SUM(D11:D15)</f>
        <v>5844</v>
      </c>
      <c r="E16" s="155">
        <f>SUM(E11:E15)</f>
        <v>4439</v>
      </c>
      <c r="F16" s="155">
        <f>SUM(F11:F15)</f>
        <v>5010</v>
      </c>
      <c r="G16" s="161">
        <f t="shared" si="0"/>
        <v>3177</v>
      </c>
      <c r="H16" s="160">
        <f>SUM(H11:H15)</f>
        <v>18470</v>
      </c>
      <c r="I16" s="155">
        <f>SUM(I11:I15)</f>
        <v>2321</v>
      </c>
      <c r="J16" s="155">
        <f t="shared" ref="J16:K16" si="3">SUM(J11:J15)</f>
        <v>2636</v>
      </c>
      <c r="K16" s="155">
        <f t="shared" si="3"/>
        <v>1688</v>
      </c>
      <c r="L16" s="161">
        <f t="shared" si="1"/>
        <v>2053</v>
      </c>
      <c r="M16" s="160">
        <f>SUM(M11:M15)</f>
        <v>8698</v>
      </c>
      <c r="N16" s="159">
        <v>1674</v>
      </c>
      <c r="O16" s="159">
        <v>1915</v>
      </c>
      <c r="P16" s="335">
        <f>SUM(P11:P15)</f>
        <v>1893</v>
      </c>
      <c r="Q16" s="335">
        <f>SUM(Q11:Q15)</f>
        <v>2404.3209999999999</v>
      </c>
      <c r="R16" s="309">
        <f>SUM(R11:R15)</f>
        <v>7886.3209999999999</v>
      </c>
      <c r="S16" s="335">
        <f t="shared" ref="S16:V16" si="4">SUM(S11:S15)</f>
        <v>2785.5941000000021</v>
      </c>
      <c r="T16" s="159">
        <f t="shared" si="4"/>
        <v>2907.7387675000009</v>
      </c>
      <c r="U16" s="159">
        <f t="shared" si="4"/>
        <v>3034.4450843750005</v>
      </c>
      <c r="V16" s="159">
        <f t="shared" si="4"/>
        <v>3171.6046864875002</v>
      </c>
      <c r="W16" s="160">
        <f>SUM(S16:V16)</f>
        <v>11899.382638362504</v>
      </c>
      <c r="Y16" s="246"/>
    </row>
    <row r="17" spans="2:26" s="40" customFormat="1" ht="17.25" customHeight="1" x14ac:dyDescent="0.45">
      <c r="B17" s="366" t="s">
        <v>87</v>
      </c>
      <c r="C17" s="367"/>
      <c r="D17" s="145"/>
      <c r="E17" s="145"/>
      <c r="F17" s="145"/>
      <c r="G17" s="153"/>
      <c r="H17" s="147"/>
      <c r="I17" s="145"/>
      <c r="J17" s="143"/>
      <c r="K17" s="143"/>
      <c r="L17" s="143"/>
      <c r="M17" s="141"/>
      <c r="N17" s="149"/>
      <c r="O17" s="149"/>
      <c r="P17" s="149"/>
      <c r="Q17" s="149"/>
      <c r="R17" s="147"/>
      <c r="S17" s="69"/>
      <c r="T17" s="69"/>
      <c r="U17" s="69"/>
      <c r="V17" s="69"/>
      <c r="W17" s="147"/>
      <c r="Y17" s="246"/>
    </row>
    <row r="18" spans="2:26" s="51" customFormat="1" ht="17.25" customHeight="1" x14ac:dyDescent="0.3">
      <c r="B18" s="329" t="s">
        <v>88</v>
      </c>
      <c r="C18" s="330"/>
      <c r="D18" s="139">
        <v>313</v>
      </c>
      <c r="E18" s="139">
        <v>273</v>
      </c>
      <c r="F18" s="139">
        <v>275</v>
      </c>
      <c r="G18" s="153">
        <f t="shared" si="0"/>
        <v>310</v>
      </c>
      <c r="H18" s="141">
        <v>1171</v>
      </c>
      <c r="I18" s="142">
        <v>296</v>
      </c>
      <c r="J18" s="143">
        <v>226</v>
      </c>
      <c r="K18" s="143">
        <v>262</v>
      </c>
      <c r="L18" s="153">
        <f t="shared" ref="L18:L28" si="5">M18-(K18+J18+I18)</f>
        <v>230</v>
      </c>
      <c r="M18" s="141">
        <v>1014</v>
      </c>
      <c r="N18" s="143">
        <v>208</v>
      </c>
      <c r="O18" s="143">
        <v>202</v>
      </c>
      <c r="P18" s="315">
        <v>198</v>
      </c>
      <c r="Q18" s="143">
        <f>Q89*Q11</f>
        <v>205.40249999999997</v>
      </c>
      <c r="R18" s="157">
        <f>SUM(N18:Q18)</f>
        <v>813.40249999999992</v>
      </c>
      <c r="S18" s="143">
        <f t="shared" ref="S18:V18" si="6">S89*S11</f>
        <v>226.050972</v>
      </c>
      <c r="T18" s="143">
        <f t="shared" si="6"/>
        <v>213.67166040000001</v>
      </c>
      <c r="U18" s="417">
        <f>U89*U11</f>
        <v>190.01874780000003</v>
      </c>
      <c r="V18" s="143">
        <f t="shared" si="6"/>
        <v>200.38873743000005</v>
      </c>
      <c r="W18" s="157">
        <f>SUM(S18:V18)</f>
        <v>830.13011763000009</v>
      </c>
      <c r="Y18" s="246"/>
    </row>
    <row r="19" spans="2:26" s="51" customFormat="1" ht="17.25" customHeight="1" x14ac:dyDescent="0.3">
      <c r="B19" s="329" t="s">
        <v>89</v>
      </c>
      <c r="C19" s="330"/>
      <c r="D19" s="139">
        <v>266</v>
      </c>
      <c r="E19" s="139">
        <v>281</v>
      </c>
      <c r="F19" s="139">
        <v>322</v>
      </c>
      <c r="G19" s="153">
        <f t="shared" si="0"/>
        <v>315</v>
      </c>
      <c r="H19" s="141">
        <v>1184</v>
      </c>
      <c r="I19" s="142">
        <v>305</v>
      </c>
      <c r="J19" s="143">
        <v>283</v>
      </c>
      <c r="K19" s="143">
        <v>271</v>
      </c>
      <c r="L19" s="153">
        <f t="shared" si="5"/>
        <v>258</v>
      </c>
      <c r="M19" s="141">
        <v>1117</v>
      </c>
      <c r="N19" s="143">
        <v>242</v>
      </c>
      <c r="O19" s="143">
        <v>246</v>
      </c>
      <c r="P19" s="315">
        <v>256</v>
      </c>
      <c r="Q19" s="143">
        <f>Q90*Q11</f>
        <v>246.48299999999998</v>
      </c>
      <c r="R19" s="157">
        <f t="shared" ref="R19:R27" si="7">SUM(N19:Q19)</f>
        <v>990.48299999999995</v>
      </c>
      <c r="S19" s="143">
        <f t="shared" ref="S19:V19" si="8">S90*S11</f>
        <v>209.90447399999999</v>
      </c>
      <c r="T19" s="143">
        <f t="shared" si="8"/>
        <v>231.47763210000005</v>
      </c>
      <c r="U19" s="143">
        <f t="shared" si="8"/>
        <v>190.01874780000003</v>
      </c>
      <c r="V19" s="143">
        <f t="shared" si="8"/>
        <v>200.38873743000005</v>
      </c>
      <c r="W19" s="157">
        <f t="shared" ref="W19:W27" si="9">SUM(S19:V19)</f>
        <v>831.78959133000012</v>
      </c>
      <c r="Y19" s="246"/>
    </row>
    <row r="20" spans="2:26" s="51" customFormat="1" ht="17.25" customHeight="1" x14ac:dyDescent="0.3">
      <c r="B20" s="329" t="s">
        <v>90</v>
      </c>
      <c r="C20" s="330"/>
      <c r="D20" s="139">
        <v>299</v>
      </c>
      <c r="E20" s="139">
        <v>502</v>
      </c>
      <c r="F20" s="139">
        <v>199</v>
      </c>
      <c r="G20" s="153">
        <f t="shared" si="0"/>
        <v>639</v>
      </c>
      <c r="H20" s="141">
        <v>1639</v>
      </c>
      <c r="I20" s="142">
        <v>1083</v>
      </c>
      <c r="J20" s="143">
        <v>103</v>
      </c>
      <c r="K20" s="143">
        <v>1074</v>
      </c>
      <c r="L20" s="153">
        <f t="shared" si="5"/>
        <v>384</v>
      </c>
      <c r="M20" s="141">
        <v>2644</v>
      </c>
      <c r="N20" s="143">
        <v>126</v>
      </c>
      <c r="O20" s="143">
        <v>76</v>
      </c>
      <c r="P20" s="315">
        <v>304</v>
      </c>
      <c r="Q20" s="351">
        <f>Q91*Q11</f>
        <v>89.007750000000001</v>
      </c>
      <c r="R20" s="157">
        <f t="shared" si="7"/>
        <v>595.00774999999999</v>
      </c>
      <c r="S20" s="143">
        <f t="shared" ref="S20:V20" si="10">S91*S11</f>
        <v>161.46498</v>
      </c>
      <c r="T20" s="143">
        <f t="shared" si="10"/>
        <v>178.05971700000003</v>
      </c>
      <c r="U20" s="143">
        <f t="shared" si="10"/>
        <v>285.02812170000004</v>
      </c>
      <c r="V20" s="143">
        <f t="shared" si="10"/>
        <v>300.58310614500004</v>
      </c>
      <c r="W20" s="157">
        <f t="shared" si="9"/>
        <v>925.13592484500009</v>
      </c>
      <c r="Y20" s="246"/>
    </row>
    <row r="21" spans="2:26" s="51" customFormat="1" ht="17.25" customHeight="1" x14ac:dyDescent="0.3">
      <c r="B21" s="329" t="s">
        <v>91</v>
      </c>
      <c r="C21" s="330"/>
      <c r="D21" s="139">
        <v>252</v>
      </c>
      <c r="E21" s="139">
        <v>250</v>
      </c>
      <c r="F21" s="139">
        <v>269</v>
      </c>
      <c r="G21" s="153">
        <f t="shared" si="0"/>
        <v>259</v>
      </c>
      <c r="H21" s="141">
        <v>1030</v>
      </c>
      <c r="I21" s="142">
        <v>254</v>
      </c>
      <c r="J21" s="143">
        <v>255</v>
      </c>
      <c r="K21" s="143">
        <v>289</v>
      </c>
      <c r="L21" s="153">
        <f t="shared" si="5"/>
        <v>256</v>
      </c>
      <c r="M21" s="141">
        <v>1054</v>
      </c>
      <c r="N21" s="143">
        <v>215</v>
      </c>
      <c r="O21" s="143">
        <v>252</v>
      </c>
      <c r="P21" s="143">
        <v>291</v>
      </c>
      <c r="Q21" s="143">
        <f t="shared" ref="Q21:Q25" si="11">Q92*Q$16</f>
        <v>300.54012499999999</v>
      </c>
      <c r="R21" s="157">
        <f t="shared" si="7"/>
        <v>1058.540125</v>
      </c>
      <c r="S21" s="143">
        <f t="shared" ref="S21:V26" si="12">S92*S$16</f>
        <v>256.27465720000021</v>
      </c>
      <c r="T21" s="143">
        <f t="shared" si="12"/>
        <v>238.43457893500008</v>
      </c>
      <c r="U21" s="143">
        <f t="shared" si="12"/>
        <v>166.89447964062504</v>
      </c>
      <c r="V21" s="143">
        <f t="shared" si="12"/>
        <v>142.72221089193749</v>
      </c>
      <c r="W21" s="157">
        <f t="shared" si="9"/>
        <v>804.32592666756284</v>
      </c>
      <c r="Y21" s="246"/>
    </row>
    <row r="22" spans="2:26" s="51" customFormat="1" ht="17.25" customHeight="1" x14ac:dyDescent="0.3">
      <c r="B22" s="329" t="s">
        <v>92</v>
      </c>
      <c r="C22" s="330"/>
      <c r="D22" s="139">
        <v>298</v>
      </c>
      <c r="E22" s="139">
        <v>305</v>
      </c>
      <c r="F22" s="139">
        <v>381</v>
      </c>
      <c r="G22" s="153">
        <f t="shared" si="0"/>
        <v>332</v>
      </c>
      <c r="H22" s="141">
        <v>1316</v>
      </c>
      <c r="I22" s="142">
        <v>307</v>
      </c>
      <c r="J22" s="143">
        <v>278</v>
      </c>
      <c r="K22" s="143">
        <v>345</v>
      </c>
      <c r="L22" s="153">
        <f t="shared" si="5"/>
        <v>246</v>
      </c>
      <c r="M22" s="141">
        <v>1176</v>
      </c>
      <c r="N22" s="143">
        <v>449</v>
      </c>
      <c r="O22" s="143">
        <v>305</v>
      </c>
      <c r="P22" s="315">
        <v>362</v>
      </c>
      <c r="Q22" s="351">
        <f>Q93*Q$16</f>
        <v>242.59598890000001</v>
      </c>
      <c r="R22" s="157">
        <f t="shared" si="7"/>
        <v>1358.5959889000001</v>
      </c>
      <c r="S22" s="143">
        <f t="shared" si="12"/>
        <v>278.55941000000024</v>
      </c>
      <c r="T22" s="143">
        <f t="shared" si="12"/>
        <v>290.77387675000011</v>
      </c>
      <c r="U22" s="143">
        <f t="shared" si="12"/>
        <v>303.44450843750008</v>
      </c>
      <c r="V22" s="143">
        <f t="shared" si="12"/>
        <v>317.16046864875005</v>
      </c>
      <c r="W22" s="157">
        <f t="shared" si="9"/>
        <v>1189.9382638362504</v>
      </c>
      <c r="Y22" s="354"/>
    </row>
    <row r="23" spans="2:26" s="51" customFormat="1" ht="17.25" customHeight="1" x14ac:dyDescent="0.3">
      <c r="B23" s="329" t="s">
        <v>93</v>
      </c>
      <c r="C23" s="330"/>
      <c r="D23" s="139">
        <v>1124</v>
      </c>
      <c r="E23" s="139">
        <v>1048</v>
      </c>
      <c r="F23" s="139">
        <v>1163</v>
      </c>
      <c r="G23" s="153">
        <f t="shared" si="0"/>
        <v>1215</v>
      </c>
      <c r="H23" s="141">
        <v>4550</v>
      </c>
      <c r="I23" s="142">
        <v>1256</v>
      </c>
      <c r="J23" s="143">
        <v>1214</v>
      </c>
      <c r="K23" s="143">
        <v>1111</v>
      </c>
      <c r="L23" s="153">
        <f t="shared" si="5"/>
        <v>1022</v>
      </c>
      <c r="M23" s="141">
        <v>4603</v>
      </c>
      <c r="N23" s="143">
        <v>1149</v>
      </c>
      <c r="O23" s="143">
        <v>984</v>
      </c>
      <c r="P23" s="315">
        <v>1069</v>
      </c>
      <c r="Q23" s="143">
        <f t="shared" si="11"/>
        <v>1081.94445</v>
      </c>
      <c r="R23" s="157">
        <f t="shared" si="7"/>
        <v>4283.94445</v>
      </c>
      <c r="S23" s="143">
        <f t="shared" si="12"/>
        <v>1253.5173450000009</v>
      </c>
      <c r="T23" s="143">
        <f t="shared" si="12"/>
        <v>1308.4824453750005</v>
      </c>
      <c r="U23" s="143">
        <f t="shared" si="12"/>
        <v>1335.1558371250003</v>
      </c>
      <c r="V23" s="143">
        <f t="shared" si="12"/>
        <v>1395.5060620545</v>
      </c>
      <c r="W23" s="157">
        <f t="shared" si="9"/>
        <v>5292.6616895545012</v>
      </c>
      <c r="Y23" s="355"/>
    </row>
    <row r="24" spans="2:26" s="51" customFormat="1" ht="17.25" customHeight="1" x14ac:dyDescent="0.3">
      <c r="B24" s="329" t="s">
        <v>98</v>
      </c>
      <c r="C24" s="330"/>
      <c r="D24" s="139">
        <v>314</v>
      </c>
      <c r="E24" s="139">
        <v>361</v>
      </c>
      <c r="F24" s="139">
        <v>306</v>
      </c>
      <c r="G24" s="153">
        <f t="shared" si="0"/>
        <v>263</v>
      </c>
      <c r="H24" s="141">
        <v>1244</v>
      </c>
      <c r="I24" s="142">
        <v>182</v>
      </c>
      <c r="J24" s="143">
        <v>151</v>
      </c>
      <c r="K24" s="143">
        <v>127</v>
      </c>
      <c r="L24" s="153">
        <f t="shared" si="5"/>
        <v>93</v>
      </c>
      <c r="M24" s="141">
        <v>553</v>
      </c>
      <c r="N24" s="143">
        <v>117</v>
      </c>
      <c r="O24" s="143">
        <v>157</v>
      </c>
      <c r="P24" s="315">
        <v>148</v>
      </c>
      <c r="Q24" s="351">
        <f>Q95*Q$16</f>
        <v>180.32407499999999</v>
      </c>
      <c r="R24" s="157">
        <f t="shared" si="7"/>
        <v>602.32407499999999</v>
      </c>
      <c r="S24" s="143">
        <f t="shared" si="12"/>
        <v>208.91955750000014</v>
      </c>
      <c r="T24" s="143">
        <f t="shared" si="12"/>
        <v>218.08040756250006</v>
      </c>
      <c r="U24" s="143">
        <f t="shared" si="12"/>
        <v>227.58338132812503</v>
      </c>
      <c r="V24" s="143">
        <f t="shared" si="12"/>
        <v>237.8703514865625</v>
      </c>
      <c r="W24" s="157">
        <f t="shared" si="9"/>
        <v>892.45369787718778</v>
      </c>
      <c r="Y24" s="246"/>
    </row>
    <row r="25" spans="2:26" s="51" customFormat="1" ht="17.25" customHeight="1" x14ac:dyDescent="0.3">
      <c r="B25" s="329" t="s">
        <v>99</v>
      </c>
      <c r="C25" s="330"/>
      <c r="D25" s="139">
        <v>3</v>
      </c>
      <c r="E25" s="139">
        <v>117</v>
      </c>
      <c r="F25" s="139">
        <v>394</v>
      </c>
      <c r="G25" s="152">
        <f t="shared" si="0"/>
        <v>322</v>
      </c>
      <c r="H25" s="141">
        <v>836</v>
      </c>
      <c r="I25" s="139">
        <v>2783</v>
      </c>
      <c r="J25" s="143">
        <v>30</v>
      </c>
      <c r="K25" s="143">
        <v>758</v>
      </c>
      <c r="L25" s="152">
        <f t="shared" si="5"/>
        <v>1504</v>
      </c>
      <c r="M25" s="141">
        <v>5075</v>
      </c>
      <c r="N25" s="143">
        <v>16</v>
      </c>
      <c r="O25" s="143">
        <v>18</v>
      </c>
      <c r="P25" s="143">
        <v>27</v>
      </c>
      <c r="Q25" s="143">
        <f t="shared" si="11"/>
        <v>34.293009508716324</v>
      </c>
      <c r="R25" s="157">
        <f t="shared" si="7"/>
        <v>95.293009508716324</v>
      </c>
      <c r="S25" s="143">
        <f t="shared" si="12"/>
        <v>27.855941000000023</v>
      </c>
      <c r="T25" s="143">
        <f t="shared" si="12"/>
        <v>29.077387675000011</v>
      </c>
      <c r="U25" s="143">
        <f t="shared" si="12"/>
        <v>30.344450843750007</v>
      </c>
      <c r="V25" s="143">
        <f t="shared" si="12"/>
        <v>31.716046864875004</v>
      </c>
      <c r="W25" s="157">
        <f t="shared" si="9"/>
        <v>118.99382638362505</v>
      </c>
      <c r="Y25" s="246"/>
    </row>
    <row r="26" spans="2:26" s="51" customFormat="1" ht="17.25" customHeight="1" x14ac:dyDescent="0.45">
      <c r="B26" s="329" t="s">
        <v>94</v>
      </c>
      <c r="C26" s="330"/>
      <c r="D26" s="145">
        <v>0</v>
      </c>
      <c r="E26" s="145">
        <v>0</v>
      </c>
      <c r="F26" s="145">
        <v>0</v>
      </c>
      <c r="G26" s="162">
        <f t="shared" si="0"/>
        <v>0</v>
      </c>
      <c r="H26" s="147">
        <v>0</v>
      </c>
      <c r="I26" s="145">
        <v>63</v>
      </c>
      <c r="J26" s="149">
        <v>6</v>
      </c>
      <c r="K26" s="149">
        <v>0</v>
      </c>
      <c r="L26" s="162">
        <f t="shared" si="5"/>
        <v>202</v>
      </c>
      <c r="M26" s="147">
        <v>271</v>
      </c>
      <c r="N26" s="149">
        <v>16</v>
      </c>
      <c r="O26" s="149">
        <v>7</v>
      </c>
      <c r="P26" s="334">
        <v>31</v>
      </c>
      <c r="Q26" s="352">
        <f>Q97*Q$16</f>
        <v>19.715432200000002</v>
      </c>
      <c r="R26" s="247">
        <f t="shared" si="7"/>
        <v>73.715432200000009</v>
      </c>
      <c r="S26" s="149">
        <f t="shared" si="12"/>
        <v>27.855941000000023</v>
      </c>
      <c r="T26" s="149">
        <f t="shared" si="12"/>
        <v>29.077387675000011</v>
      </c>
      <c r="U26" s="149">
        <f t="shared" si="12"/>
        <v>30.344450843750007</v>
      </c>
      <c r="V26" s="149">
        <f t="shared" si="12"/>
        <v>31.716046864875004</v>
      </c>
      <c r="W26" s="247">
        <f t="shared" si="9"/>
        <v>118.99382638362505</v>
      </c>
      <c r="Y26" s="356"/>
    </row>
    <row r="27" spans="2:26" s="51" customFormat="1" ht="17.25" customHeight="1" x14ac:dyDescent="0.45">
      <c r="B27" s="329" t="s">
        <v>95</v>
      </c>
      <c r="C27" s="330"/>
      <c r="D27" s="145">
        <f>SUM(D18:D26)</f>
        <v>2869</v>
      </c>
      <c r="E27" s="145">
        <f>SUM(E18:E26)</f>
        <v>3137</v>
      </c>
      <c r="F27" s="145">
        <f>SUM(F18:F26)</f>
        <v>3309</v>
      </c>
      <c r="G27" s="162">
        <f t="shared" si="0"/>
        <v>3655</v>
      </c>
      <c r="H27" s="147">
        <f>SUM(H18:H26)</f>
        <v>12970</v>
      </c>
      <c r="I27" s="145">
        <f>SUM(I18:I26)</f>
        <v>6529</v>
      </c>
      <c r="J27" s="145">
        <f>SUM(J18:J26)</f>
        <v>2546</v>
      </c>
      <c r="K27" s="145">
        <f>SUM(K18:K26)</f>
        <v>4237</v>
      </c>
      <c r="L27" s="162">
        <f t="shared" si="5"/>
        <v>4195</v>
      </c>
      <c r="M27" s="147">
        <f>SUM(M18:M26)</f>
        <v>17507</v>
      </c>
      <c r="N27" s="145">
        <f>SUM(N18:N26)</f>
        <v>2538</v>
      </c>
      <c r="O27" s="145">
        <f>SUM(O18:O26)</f>
        <v>2247</v>
      </c>
      <c r="P27" s="145">
        <f>SUM(P18:P26)</f>
        <v>2686</v>
      </c>
      <c r="Q27" s="145">
        <f>SUM(Q18:Q26)</f>
        <v>2400.3063306087165</v>
      </c>
      <c r="R27" s="247">
        <f t="shared" si="7"/>
        <v>9871.306330608717</v>
      </c>
      <c r="S27" s="145">
        <f>SUM(S18:S26)</f>
        <v>2650.4032777000011</v>
      </c>
      <c r="T27" s="145">
        <f>SUM(T18:T26)</f>
        <v>2737.1350934725006</v>
      </c>
      <c r="U27" s="145">
        <f>SUM(U18:U26)</f>
        <v>2758.832725518751</v>
      </c>
      <c r="V27" s="145">
        <f>SUM(V18:V26)</f>
        <v>2858.0517678165002</v>
      </c>
      <c r="W27" s="247">
        <f t="shared" si="9"/>
        <v>11004.422864507753</v>
      </c>
      <c r="Y27" s="246"/>
      <c r="Z27" s="203"/>
    </row>
    <row r="28" spans="2:26" s="51" customFormat="1" ht="17.25" customHeight="1" x14ac:dyDescent="0.45">
      <c r="B28" s="331" t="s">
        <v>96</v>
      </c>
      <c r="C28" s="330"/>
      <c r="D28" s="155">
        <f>D16-D27</f>
        <v>2975</v>
      </c>
      <c r="E28" s="155">
        <f>E16-E27</f>
        <v>1302</v>
      </c>
      <c r="F28" s="155">
        <f>F16-F27</f>
        <v>1701</v>
      </c>
      <c r="G28" s="163">
        <f t="shared" si="0"/>
        <v>-478</v>
      </c>
      <c r="H28" s="160">
        <f>H16-H27</f>
        <v>5500</v>
      </c>
      <c r="I28" s="155">
        <f>I16-I27</f>
        <v>-4208</v>
      </c>
      <c r="J28" s="155">
        <f>J16-J27</f>
        <v>90</v>
      </c>
      <c r="K28" s="155">
        <f>K16-K27</f>
        <v>-2549</v>
      </c>
      <c r="L28" s="163">
        <f t="shared" si="5"/>
        <v>-2142</v>
      </c>
      <c r="M28" s="160">
        <f t="shared" ref="M28:V28" si="13">M16-M27</f>
        <v>-8809</v>
      </c>
      <c r="N28" s="155">
        <f t="shared" si="13"/>
        <v>-864</v>
      </c>
      <c r="O28" s="155">
        <f>O16-O27</f>
        <v>-332</v>
      </c>
      <c r="P28" s="155">
        <f>P16-P27</f>
        <v>-793</v>
      </c>
      <c r="Q28" s="155">
        <f t="shared" si="13"/>
        <v>4.0146693912834053</v>
      </c>
      <c r="R28" s="160">
        <f t="shared" si="13"/>
        <v>-1984.985330608717</v>
      </c>
      <c r="S28" s="155">
        <f t="shared" si="13"/>
        <v>135.19082230000095</v>
      </c>
      <c r="T28" s="155">
        <f t="shared" si="13"/>
        <v>170.60367402750035</v>
      </c>
      <c r="U28" s="155">
        <f t="shared" si="13"/>
        <v>275.61235885624956</v>
      </c>
      <c r="V28" s="155">
        <f t="shared" si="13"/>
        <v>313.55291867100004</v>
      </c>
      <c r="W28" s="160">
        <f t="shared" ref="W28" si="14">W16-W27</f>
        <v>894.95977385475089</v>
      </c>
      <c r="Y28" s="246"/>
    </row>
    <row r="29" spans="2:26" s="51" customFormat="1" ht="17.25" customHeight="1" x14ac:dyDescent="0.45">
      <c r="B29" s="331" t="s">
        <v>97</v>
      </c>
      <c r="C29" s="330"/>
      <c r="D29" s="145"/>
      <c r="E29" s="145"/>
      <c r="F29" s="145"/>
      <c r="G29" s="152">
        <f t="shared" si="0"/>
        <v>0</v>
      </c>
      <c r="H29" s="147"/>
      <c r="I29" s="145"/>
      <c r="J29" s="145"/>
      <c r="K29" s="145"/>
      <c r="L29" s="149"/>
      <c r="M29" s="147"/>
      <c r="N29" s="145"/>
      <c r="O29" s="145"/>
      <c r="P29" s="149"/>
      <c r="Q29" s="149"/>
      <c r="R29" s="147"/>
      <c r="S29" s="69"/>
      <c r="T29" s="69"/>
      <c r="U29" s="69"/>
      <c r="V29" s="69"/>
      <c r="W29" s="147"/>
      <c r="Y29" s="246"/>
    </row>
    <row r="30" spans="2:26" s="50" customFormat="1" x14ac:dyDescent="0.3">
      <c r="B30" s="329" t="s">
        <v>43</v>
      </c>
      <c r="C30" s="330"/>
      <c r="D30" s="139">
        <v>183</v>
      </c>
      <c r="E30" s="139">
        <v>186</v>
      </c>
      <c r="F30" s="139">
        <v>204</v>
      </c>
      <c r="G30" s="153">
        <f t="shared" si="0"/>
        <v>199</v>
      </c>
      <c r="H30" s="141">
        <v>772</v>
      </c>
      <c r="I30" s="142">
        <v>216</v>
      </c>
      <c r="J30" s="143">
        <v>201</v>
      </c>
      <c r="K30" s="143">
        <v>199</v>
      </c>
      <c r="L30" s="153">
        <f t="shared" ref="L30:L41" si="15">M30-(K30+J30+I30)</f>
        <v>209</v>
      </c>
      <c r="M30" s="141">
        <v>825</v>
      </c>
      <c r="N30" s="143">
        <v>220</v>
      </c>
      <c r="O30" s="143">
        <v>217</v>
      </c>
      <c r="P30" s="315">
        <v>220</v>
      </c>
      <c r="Q30" s="351">
        <v>210</v>
      </c>
      <c r="R30" s="242">
        <f>SUM(N30:Q30)</f>
        <v>867</v>
      </c>
      <c r="S30" s="143">
        <v>225</v>
      </c>
      <c r="T30" s="143">
        <v>225</v>
      </c>
      <c r="U30" s="143">
        <v>225</v>
      </c>
      <c r="V30" s="143">
        <v>225</v>
      </c>
      <c r="W30" s="242">
        <f>SUM(S30:V30)</f>
        <v>900</v>
      </c>
      <c r="Y30" s="246"/>
    </row>
    <row r="31" spans="2:26" s="50" customFormat="1" x14ac:dyDescent="0.3">
      <c r="B31" s="329" t="s">
        <v>178</v>
      </c>
      <c r="C31" s="330"/>
      <c r="D31" s="139"/>
      <c r="E31" s="139"/>
      <c r="F31" s="139"/>
      <c r="G31" s="153"/>
      <c r="H31" s="141"/>
      <c r="I31" s="142"/>
      <c r="J31" s="143"/>
      <c r="K31" s="143"/>
      <c r="L31" s="153"/>
      <c r="M31" s="141"/>
      <c r="N31" s="143"/>
      <c r="O31" s="143">
        <v>124</v>
      </c>
      <c r="P31" s="143">
        <v>0</v>
      </c>
      <c r="Q31" s="143">
        <v>0</v>
      </c>
      <c r="R31" s="242">
        <f t="shared" ref="R31:R35" si="16">SUM(N31:Q31)</f>
        <v>124</v>
      </c>
      <c r="S31" s="143"/>
      <c r="T31" s="143"/>
      <c r="U31" s="143"/>
      <c r="V31" s="143"/>
      <c r="W31" s="242">
        <f t="shared" ref="W31:W36" si="17">SUM(S31:V31)</f>
        <v>0</v>
      </c>
      <c r="Y31" s="246"/>
    </row>
    <row r="32" spans="2:26" s="50" customFormat="1" x14ac:dyDescent="0.3">
      <c r="B32" s="329" t="s">
        <v>100</v>
      </c>
      <c r="C32" s="330"/>
      <c r="D32" s="139">
        <v>453</v>
      </c>
      <c r="E32" s="139">
        <v>323</v>
      </c>
      <c r="F32" s="139">
        <v>-323</v>
      </c>
      <c r="G32" s="153">
        <f t="shared" si="0"/>
        <v>-256</v>
      </c>
      <c r="H32" s="141">
        <v>197</v>
      </c>
      <c r="I32" s="142">
        <v>152</v>
      </c>
      <c r="J32" s="143">
        <v>-311</v>
      </c>
      <c r="K32" s="143">
        <v>282</v>
      </c>
      <c r="L32" s="153">
        <f t="shared" si="15"/>
        <v>-222</v>
      </c>
      <c r="M32" s="141">
        <v>-99</v>
      </c>
      <c r="N32" s="143">
        <v>297</v>
      </c>
      <c r="O32" s="143">
        <v>311</v>
      </c>
      <c r="P32" s="143">
        <v>25</v>
      </c>
      <c r="Q32" s="143">
        <f>Q$16*Q99</f>
        <v>31.752786582144743</v>
      </c>
      <c r="R32" s="242">
        <f t="shared" si="16"/>
        <v>664.75278658214472</v>
      </c>
      <c r="S32" s="143">
        <f t="shared" ref="S32:V33" si="18">S$16*S99</f>
        <v>0</v>
      </c>
      <c r="T32" s="143">
        <f t="shared" si="18"/>
        <v>0</v>
      </c>
      <c r="U32" s="143">
        <f t="shared" si="18"/>
        <v>0</v>
      </c>
      <c r="V32" s="143">
        <f t="shared" si="18"/>
        <v>0</v>
      </c>
      <c r="W32" s="242">
        <f t="shared" si="17"/>
        <v>0</v>
      </c>
      <c r="Y32" s="246"/>
    </row>
    <row r="33" spans="2:26" x14ac:dyDescent="0.3">
      <c r="B33" s="368" t="s">
        <v>44</v>
      </c>
      <c r="C33" s="369"/>
      <c r="D33" s="139">
        <v>1</v>
      </c>
      <c r="E33" s="139">
        <v>-13</v>
      </c>
      <c r="F33" s="139">
        <v>24</v>
      </c>
      <c r="G33" s="153">
        <f t="shared" si="0"/>
        <v>8</v>
      </c>
      <c r="H33" s="141">
        <v>20</v>
      </c>
      <c r="I33" s="142">
        <v>47</v>
      </c>
      <c r="J33" s="143">
        <v>15</v>
      </c>
      <c r="K33" s="143">
        <v>47</v>
      </c>
      <c r="L33" s="153">
        <f t="shared" si="15"/>
        <v>40</v>
      </c>
      <c r="M33" s="141">
        <v>149</v>
      </c>
      <c r="N33" s="143">
        <v>0</v>
      </c>
      <c r="O33" s="143">
        <v>-59.000000000000313</v>
      </c>
      <c r="P33" s="143">
        <v>-31</v>
      </c>
      <c r="Q33" s="143">
        <f>Q$16*Q100</f>
        <v>-39.373455361859484</v>
      </c>
      <c r="R33" s="242">
        <f t="shared" si="16"/>
        <v>-129.37345536185978</v>
      </c>
      <c r="S33" s="143">
        <v>-15</v>
      </c>
      <c r="T33" s="143">
        <v>-30</v>
      </c>
      <c r="U33" s="143">
        <v>-5</v>
      </c>
      <c r="V33" s="143">
        <f t="shared" si="18"/>
        <v>-76.118512475700001</v>
      </c>
      <c r="W33" s="242">
        <f t="shared" si="17"/>
        <v>-126.1185124757</v>
      </c>
      <c r="Y33" s="246"/>
    </row>
    <row r="34" spans="2:26" s="50" customFormat="1" x14ac:dyDescent="0.3">
      <c r="B34" s="329" t="s">
        <v>101</v>
      </c>
      <c r="C34" s="330"/>
      <c r="D34" s="139">
        <v>4300</v>
      </c>
      <c r="E34" s="139">
        <v>19</v>
      </c>
      <c r="F34" s="139">
        <v>19</v>
      </c>
      <c r="G34" s="153">
        <f t="shared" si="0"/>
        <v>22</v>
      </c>
      <c r="H34" s="141">
        <v>4360</v>
      </c>
      <c r="I34" s="142">
        <v>5</v>
      </c>
      <c r="J34" s="143">
        <v>0</v>
      </c>
      <c r="K34" s="143">
        <v>0</v>
      </c>
      <c r="L34" s="153">
        <f t="shared" si="15"/>
        <v>0</v>
      </c>
      <c r="M34" s="141">
        <v>5</v>
      </c>
      <c r="N34" s="143">
        <v>0</v>
      </c>
      <c r="O34" s="143">
        <v>0</v>
      </c>
      <c r="P34" s="143">
        <v>0</v>
      </c>
      <c r="Q34" s="143">
        <v>0</v>
      </c>
      <c r="R34" s="242">
        <f t="shared" si="16"/>
        <v>0</v>
      </c>
      <c r="S34" s="68">
        <v>0</v>
      </c>
      <c r="T34" s="68">
        <v>0</v>
      </c>
      <c r="U34" s="68">
        <v>0</v>
      </c>
      <c r="V34" s="68">
        <v>0</v>
      </c>
      <c r="W34" s="242">
        <f t="shared" si="17"/>
        <v>0</v>
      </c>
      <c r="Y34" s="246"/>
    </row>
    <row r="35" spans="2:26" s="50" customFormat="1" ht="16.2" x14ac:dyDescent="0.45">
      <c r="B35" s="329" t="s">
        <v>113</v>
      </c>
      <c r="C35" s="330"/>
      <c r="D35" s="145">
        <v>0</v>
      </c>
      <c r="E35" s="145">
        <v>93</v>
      </c>
      <c r="F35" s="145">
        <v>3</v>
      </c>
      <c r="G35" s="154">
        <f t="shared" si="0"/>
        <v>1</v>
      </c>
      <c r="H35" s="147">
        <v>97</v>
      </c>
      <c r="I35" s="148">
        <v>0</v>
      </c>
      <c r="J35" s="149">
        <v>0</v>
      </c>
      <c r="K35" s="149">
        <v>0</v>
      </c>
      <c r="L35" s="154">
        <f t="shared" si="15"/>
        <v>0</v>
      </c>
      <c r="M35" s="147">
        <v>0</v>
      </c>
      <c r="N35" s="149">
        <v>0</v>
      </c>
      <c r="O35" s="149">
        <v>0</v>
      </c>
      <c r="P35" s="149">
        <v>0</v>
      </c>
      <c r="Q35" s="149">
        <v>0</v>
      </c>
      <c r="R35" s="248">
        <f t="shared" si="16"/>
        <v>0</v>
      </c>
      <c r="S35" s="69">
        <v>0</v>
      </c>
      <c r="T35" s="69">
        <v>0</v>
      </c>
      <c r="U35" s="69">
        <v>0</v>
      </c>
      <c r="V35" s="69">
        <v>0</v>
      </c>
      <c r="W35" s="248">
        <f t="shared" si="17"/>
        <v>0</v>
      </c>
      <c r="Y35" s="246"/>
    </row>
    <row r="36" spans="2:26" s="50" customFormat="1" ht="16.2" x14ac:dyDescent="0.45">
      <c r="B36" s="329" t="s">
        <v>84</v>
      </c>
      <c r="C36" s="330"/>
      <c r="D36" s="145">
        <f>SUM(D30:D35)</f>
        <v>4937</v>
      </c>
      <c r="E36" s="145">
        <f>SUM(E30:E35)</f>
        <v>608</v>
      </c>
      <c r="F36" s="145">
        <f>SUM(F30:F35)</f>
        <v>-73</v>
      </c>
      <c r="G36" s="154">
        <f t="shared" si="0"/>
        <v>-26</v>
      </c>
      <c r="H36" s="148">
        <f>SUM(H30:H35)</f>
        <v>5446</v>
      </c>
      <c r="I36" s="148">
        <f>SUM(I30:I35)</f>
        <v>420</v>
      </c>
      <c r="J36" s="145">
        <f>SUM(J30:J35)</f>
        <v>-95</v>
      </c>
      <c r="K36" s="145">
        <f>SUM(K30:K35)</f>
        <v>528</v>
      </c>
      <c r="L36" s="154">
        <f t="shared" si="15"/>
        <v>27</v>
      </c>
      <c r="M36" s="147">
        <f>SUM(M30:M35)</f>
        <v>880</v>
      </c>
      <c r="N36" s="145">
        <f>SUM(N30:N35)</f>
        <v>517</v>
      </c>
      <c r="O36" s="145">
        <f>SUM(O30:O35)</f>
        <v>592.99999999999966</v>
      </c>
      <c r="P36" s="145">
        <f>SUM(P30:P35)</f>
        <v>214</v>
      </c>
      <c r="Q36" s="145">
        <f>SUM(Q30:Q35)</f>
        <v>202.37933122028528</v>
      </c>
      <c r="R36" s="248">
        <f t="shared" ref="R36" si="19">SUM(N36:Q36)</f>
        <v>1526.3793312202847</v>
      </c>
      <c r="S36" s="145">
        <f>SUM(S30:S35)</f>
        <v>210</v>
      </c>
      <c r="T36" s="145">
        <f>SUM(T30:T35)</f>
        <v>195</v>
      </c>
      <c r="U36" s="145">
        <f>SUM(U30:U35)</f>
        <v>220</v>
      </c>
      <c r="V36" s="145">
        <f>SUM(V30:V35)</f>
        <v>148.88148752429998</v>
      </c>
      <c r="W36" s="248">
        <f t="shared" si="17"/>
        <v>773.88148752429993</v>
      </c>
      <c r="Y36" s="267"/>
    </row>
    <row r="37" spans="2:26" ht="16.2" x14ac:dyDescent="0.45">
      <c r="B37" s="366" t="s">
        <v>104</v>
      </c>
      <c r="C37" s="367"/>
      <c r="D37" s="155">
        <f>D28-D36</f>
        <v>-1962</v>
      </c>
      <c r="E37" s="155">
        <f>E28-E36</f>
        <v>694</v>
      </c>
      <c r="F37" s="155">
        <f>F28-F36</f>
        <v>1774</v>
      </c>
      <c r="G37" s="161">
        <f t="shared" si="0"/>
        <v>-452</v>
      </c>
      <c r="H37" s="158">
        <f>H28-H36</f>
        <v>54</v>
      </c>
      <c r="I37" s="158">
        <f>I28-I36</f>
        <v>-4628</v>
      </c>
      <c r="J37" s="155">
        <f>J28-J36</f>
        <v>185</v>
      </c>
      <c r="K37" s="155">
        <f>K28-K36</f>
        <v>-3077</v>
      </c>
      <c r="L37" s="161">
        <f t="shared" si="15"/>
        <v>-2169</v>
      </c>
      <c r="M37" s="160">
        <f t="shared" ref="M37:V37" si="20">M28-M36</f>
        <v>-9689</v>
      </c>
      <c r="N37" s="159">
        <f t="shared" si="20"/>
        <v>-1381</v>
      </c>
      <c r="O37" s="159">
        <f>O28-O36</f>
        <v>-924.99999999999966</v>
      </c>
      <c r="P37" s="159">
        <f>P28-P36</f>
        <v>-1007</v>
      </c>
      <c r="Q37" s="159">
        <f t="shared" si="20"/>
        <v>-198.36466182900188</v>
      </c>
      <c r="R37" s="245">
        <f t="shared" si="20"/>
        <v>-3511.3646618290018</v>
      </c>
      <c r="S37" s="159">
        <f t="shared" si="20"/>
        <v>-74.809177699999054</v>
      </c>
      <c r="T37" s="159">
        <f t="shared" si="20"/>
        <v>-24.396325972499653</v>
      </c>
      <c r="U37" s="159">
        <f t="shared" si="20"/>
        <v>55.612358856249557</v>
      </c>
      <c r="V37" s="159">
        <f t="shared" si="20"/>
        <v>164.67143114670006</v>
      </c>
      <c r="W37" s="245">
        <f t="shared" ref="W37" si="21">W28-W36</f>
        <v>121.07828633045096</v>
      </c>
      <c r="Y37" s="281"/>
      <c r="Z37" s="281"/>
    </row>
    <row r="38" spans="2:26" x14ac:dyDescent="0.3">
      <c r="B38" s="368" t="s">
        <v>102</v>
      </c>
      <c r="C38" s="369"/>
      <c r="D38" s="139">
        <v>664</v>
      </c>
      <c r="E38" s="139">
        <v>428</v>
      </c>
      <c r="F38" s="139">
        <v>627</v>
      </c>
      <c r="G38" s="153">
        <f t="shared" si="0"/>
        <v>-102</v>
      </c>
      <c r="H38" s="141">
        <v>1617</v>
      </c>
      <c r="I38" s="142">
        <v>-1392</v>
      </c>
      <c r="J38" s="143">
        <v>77</v>
      </c>
      <c r="K38" s="143">
        <v>-917</v>
      </c>
      <c r="L38" s="153">
        <f t="shared" si="15"/>
        <v>-645</v>
      </c>
      <c r="M38" s="141">
        <v>-2877</v>
      </c>
      <c r="N38" s="143">
        <v>-383</v>
      </c>
      <c r="O38" s="143">
        <v>-314</v>
      </c>
      <c r="P38" s="143">
        <v>-260</v>
      </c>
      <c r="Q38" s="143">
        <f>Q37*Q101</f>
        <v>-51.574812075540493</v>
      </c>
      <c r="R38" s="242">
        <f>SUM(N38:Q38)</f>
        <v>-1008.5748120755405</v>
      </c>
      <c r="S38" s="143">
        <f>S37*S101</f>
        <v>-19.450386201999756</v>
      </c>
      <c r="T38" s="143">
        <f>T37*T101</f>
        <v>-6.3430447528499103</v>
      </c>
      <c r="U38" s="143">
        <f>U37*U101</f>
        <v>14.459213302624885</v>
      </c>
      <c r="V38" s="143">
        <f>V37*V101</f>
        <v>42.814572098142015</v>
      </c>
      <c r="W38" s="242">
        <f>SUM(S38:V38)</f>
        <v>31.480354445917236</v>
      </c>
      <c r="Y38" s="246"/>
    </row>
    <row r="39" spans="2:26" ht="16.2" x14ac:dyDescent="0.45">
      <c r="B39" s="366" t="s">
        <v>103</v>
      </c>
      <c r="C39" s="367"/>
      <c r="D39" s="155">
        <f>D37-D38</f>
        <v>-2626</v>
      </c>
      <c r="E39" s="155">
        <f>E37-E38</f>
        <v>266</v>
      </c>
      <c r="F39" s="155">
        <f>F37-F38</f>
        <v>1147</v>
      </c>
      <c r="G39" s="161">
        <f t="shared" si="0"/>
        <v>-350</v>
      </c>
      <c r="H39" s="158">
        <f>H37-H38</f>
        <v>-1563</v>
      </c>
      <c r="I39" s="158">
        <f>I37-I38</f>
        <v>-3236</v>
      </c>
      <c r="J39" s="155">
        <f>J37-J38</f>
        <v>108</v>
      </c>
      <c r="K39" s="155">
        <f>K37-K38</f>
        <v>-2160</v>
      </c>
      <c r="L39" s="161">
        <f t="shared" si="15"/>
        <v>-1524</v>
      </c>
      <c r="M39" s="160">
        <f>M37-M38</f>
        <v>-6812</v>
      </c>
      <c r="N39" s="159">
        <f>N37-N38</f>
        <v>-998</v>
      </c>
      <c r="O39" s="159">
        <f>O37-O38</f>
        <v>-610.99999999999966</v>
      </c>
      <c r="P39" s="159">
        <f t="shared" ref="P39:Q39" si="22">P37-P38</f>
        <v>-747</v>
      </c>
      <c r="Q39" s="159">
        <f t="shared" si="22"/>
        <v>-146.7898497534614</v>
      </c>
      <c r="R39" s="245">
        <f>R37-R38</f>
        <v>-2502.7898497534611</v>
      </c>
      <c r="S39" s="159">
        <f t="shared" ref="S39" si="23">S37-S38</f>
        <v>-55.358791497999299</v>
      </c>
      <c r="T39" s="159">
        <f t="shared" ref="T39" si="24">T37-T38</f>
        <v>-18.053281219649744</v>
      </c>
      <c r="U39" s="159">
        <f t="shared" ref="U39" si="25">U37-U38</f>
        <v>41.153145553624668</v>
      </c>
      <c r="V39" s="159">
        <f t="shared" ref="V39" si="26">V37-V38</f>
        <v>121.85685904855805</v>
      </c>
      <c r="W39" s="245">
        <f>W37-W38</f>
        <v>89.597931884533722</v>
      </c>
    </row>
    <row r="40" spans="2:26" s="51" customFormat="1" x14ac:dyDescent="0.3">
      <c r="B40" s="329" t="s">
        <v>105</v>
      </c>
      <c r="C40" s="330"/>
      <c r="D40" s="139">
        <v>43</v>
      </c>
      <c r="E40" s="139">
        <v>39</v>
      </c>
      <c r="F40" s="139">
        <v>60</v>
      </c>
      <c r="G40" s="153">
        <f t="shared" si="0"/>
        <v>45</v>
      </c>
      <c r="H40" s="141">
        <v>187</v>
      </c>
      <c r="I40" s="142">
        <v>32</v>
      </c>
      <c r="J40" s="143">
        <v>47</v>
      </c>
      <c r="K40" s="143">
        <v>75</v>
      </c>
      <c r="L40" s="153">
        <f>M40-(K40+J40+I40)</f>
        <v>-274</v>
      </c>
      <c r="M40" s="141">
        <v>-120</v>
      </c>
      <c r="N40" s="143">
        <v>36</v>
      </c>
      <c r="O40" s="143">
        <v>81</v>
      </c>
      <c r="P40" s="143">
        <v>83</v>
      </c>
      <c r="Q40" s="351">
        <v>65</v>
      </c>
      <c r="R40" s="242">
        <f>SUM(N40:Q40)</f>
        <v>265</v>
      </c>
      <c r="S40" s="143">
        <v>0</v>
      </c>
      <c r="T40" s="143">
        <f>S40</f>
        <v>0</v>
      </c>
      <c r="U40" s="143">
        <f>T40</f>
        <v>0</v>
      </c>
      <c r="V40" s="143">
        <f>U40</f>
        <v>0</v>
      </c>
      <c r="W40" s="242">
        <f>SUM(S40:V40)</f>
        <v>0</v>
      </c>
      <c r="Y40" s="246"/>
    </row>
    <row r="41" spans="2:26" s="21" customFormat="1" ht="16.2" x14ac:dyDescent="0.45">
      <c r="B41" s="366" t="s">
        <v>106</v>
      </c>
      <c r="C41" s="367"/>
      <c r="D41" s="155">
        <f>D39-D40</f>
        <v>-2669</v>
      </c>
      <c r="E41" s="155">
        <f>E39-E40</f>
        <v>227</v>
      </c>
      <c r="F41" s="155">
        <f>F39-F40</f>
        <v>1087</v>
      </c>
      <c r="G41" s="161">
        <f t="shared" si="0"/>
        <v>-395</v>
      </c>
      <c r="H41" s="158">
        <f>H39-H40</f>
        <v>-1750</v>
      </c>
      <c r="I41" s="158">
        <f>I39-I40</f>
        <v>-3268</v>
      </c>
      <c r="J41" s="155">
        <f>J39-J40</f>
        <v>61</v>
      </c>
      <c r="K41" s="155">
        <f>K39-K40</f>
        <v>-2235</v>
      </c>
      <c r="L41" s="161">
        <f t="shared" si="15"/>
        <v>-1250</v>
      </c>
      <c r="M41" s="160">
        <f>M39-M40</f>
        <v>-6692</v>
      </c>
      <c r="N41" s="159">
        <f>N39-N40</f>
        <v>-1034</v>
      </c>
      <c r="O41" s="159">
        <f>O39-O40</f>
        <v>-691.99999999999966</v>
      </c>
      <c r="P41" s="159">
        <f t="shared" ref="P41:Q41" si="27">P39-P40</f>
        <v>-830</v>
      </c>
      <c r="Q41" s="159">
        <f t="shared" si="27"/>
        <v>-211.7898497534614</v>
      </c>
      <c r="R41" s="160">
        <f>R39-R40</f>
        <v>-2767.7898497534611</v>
      </c>
      <c r="S41" s="159">
        <f>S39-S40</f>
        <v>-55.358791497999299</v>
      </c>
      <c r="T41" s="159">
        <f>T39-T40</f>
        <v>-18.053281219649744</v>
      </c>
      <c r="U41" s="159">
        <f t="shared" ref="U41" si="28">U39-U40</f>
        <v>41.153145553624668</v>
      </c>
      <c r="V41" s="159">
        <f t="shared" ref="V41" si="29">V39-V40</f>
        <v>121.85685904855805</v>
      </c>
      <c r="W41" s="160">
        <f>W39-W40</f>
        <v>89.597931884533722</v>
      </c>
      <c r="Y41" s="246"/>
    </row>
    <row r="42" spans="2:26" s="50" customFormat="1" x14ac:dyDescent="0.3">
      <c r="B42" s="326" t="s">
        <v>218</v>
      </c>
      <c r="C42" s="333"/>
      <c r="D42" s="139">
        <f>D124</f>
        <v>-3308</v>
      </c>
      <c r="E42" s="139">
        <f>E124</f>
        <v>-442</v>
      </c>
      <c r="F42" s="139">
        <f t="shared" ref="F42:G42" si="30">F124</f>
        <v>487</v>
      </c>
      <c r="G42" s="139">
        <f t="shared" si="30"/>
        <v>-582</v>
      </c>
      <c r="H42" s="142">
        <f>SUM(D42:G42)</f>
        <v>-3845</v>
      </c>
      <c r="I42" s="142">
        <f>I124</f>
        <v>-2903</v>
      </c>
      <c r="J42" s="139">
        <f>J124</f>
        <v>57</v>
      </c>
      <c r="K42" s="139">
        <f t="shared" ref="K42:L42" si="31">K124</f>
        <v>-1877</v>
      </c>
      <c r="L42" s="139">
        <f t="shared" si="31"/>
        <v>-954</v>
      </c>
      <c r="M42" s="142">
        <f>SUM(I42:L42)</f>
        <v>-5677</v>
      </c>
      <c r="N42" s="142">
        <f>N124</f>
        <v>-465</v>
      </c>
      <c r="O42" s="139">
        <f>O124</f>
        <v>-388</v>
      </c>
      <c r="P42" s="139">
        <f>P124</f>
        <v>-371</v>
      </c>
      <c r="Q42" s="139">
        <f>Q124</f>
        <v>45</v>
      </c>
      <c r="R42" s="142">
        <f>SUM(N42:Q42)</f>
        <v>-1179</v>
      </c>
      <c r="S42" s="142">
        <f>S124</f>
        <v>5</v>
      </c>
      <c r="T42" s="139">
        <f>T124</f>
        <v>0</v>
      </c>
      <c r="U42" s="139">
        <f>U124</f>
        <v>-10</v>
      </c>
      <c r="V42" s="139">
        <f>V124</f>
        <v>5</v>
      </c>
      <c r="W42" s="141">
        <f>SUM(S42:V42)</f>
        <v>0</v>
      </c>
      <c r="Y42" s="246"/>
    </row>
    <row r="43" spans="2:26" s="50" customFormat="1" ht="16.2" x14ac:dyDescent="0.45">
      <c r="B43" s="332" t="s">
        <v>219</v>
      </c>
      <c r="C43" s="333"/>
      <c r="D43" s="159">
        <f>D41-D42</f>
        <v>639</v>
      </c>
      <c r="E43" s="159">
        <f>E41-E42</f>
        <v>669</v>
      </c>
      <c r="F43" s="159">
        <f t="shared" ref="F43" si="32">F41-F42</f>
        <v>600</v>
      </c>
      <c r="G43" s="159">
        <f t="shared" ref="G43" si="33">G41-G42</f>
        <v>187</v>
      </c>
      <c r="H43" s="158">
        <f>H41-H42</f>
        <v>2095</v>
      </c>
      <c r="I43" s="255">
        <f>I41-I42</f>
        <v>-365</v>
      </c>
      <c r="J43" s="159">
        <f>J41-J42</f>
        <v>4</v>
      </c>
      <c r="K43" s="159">
        <f t="shared" ref="K43:L43" si="34">K41-K42</f>
        <v>-358</v>
      </c>
      <c r="L43" s="159">
        <f t="shared" si="34"/>
        <v>-296</v>
      </c>
      <c r="M43" s="158">
        <f t="shared" ref="M43:V43" si="35">M41-M42</f>
        <v>-1015</v>
      </c>
      <c r="N43" s="255">
        <f t="shared" si="35"/>
        <v>-569</v>
      </c>
      <c r="O43" s="159">
        <f>O41-O42</f>
        <v>-303.99999999999966</v>
      </c>
      <c r="P43" s="159">
        <f>P41-P42</f>
        <v>-459</v>
      </c>
      <c r="Q43" s="159">
        <f t="shared" si="35"/>
        <v>-256.7898497534614</v>
      </c>
      <c r="R43" s="158">
        <f t="shared" si="35"/>
        <v>-1588.7898497534611</v>
      </c>
      <c r="S43" s="255">
        <f t="shared" si="35"/>
        <v>-60.358791497999299</v>
      </c>
      <c r="T43" s="159">
        <f t="shared" si="35"/>
        <v>-18.053281219649744</v>
      </c>
      <c r="U43" s="159">
        <f t="shared" si="35"/>
        <v>51.153145553624668</v>
      </c>
      <c r="V43" s="159">
        <f t="shared" si="35"/>
        <v>116.85685904855805</v>
      </c>
      <c r="W43" s="160">
        <f t="shared" ref="W43" si="36">W41-W42</f>
        <v>89.597931884533722</v>
      </c>
      <c r="Y43" s="246"/>
    </row>
    <row r="44" spans="2:26" x14ac:dyDescent="0.3">
      <c r="B44" s="390" t="s">
        <v>107</v>
      </c>
      <c r="C44" s="391"/>
      <c r="D44" s="139"/>
      <c r="E44" s="139"/>
      <c r="F44" s="139"/>
      <c r="G44" s="153">
        <f t="shared" si="0"/>
        <v>0</v>
      </c>
      <c r="H44" s="67"/>
      <c r="I44" s="66"/>
      <c r="J44" s="68"/>
      <c r="K44" s="68"/>
      <c r="L44" s="68"/>
      <c r="M44" s="67"/>
      <c r="N44" s="68"/>
      <c r="O44" s="68"/>
      <c r="P44" s="68"/>
      <c r="Q44" s="68"/>
      <c r="R44" s="67"/>
      <c r="S44" s="68"/>
      <c r="T44" s="68"/>
      <c r="U44" s="68"/>
      <c r="V44" s="68"/>
      <c r="W44" s="67"/>
      <c r="Y44" s="246"/>
    </row>
    <row r="45" spans="2:26" ht="15.75" customHeight="1" x14ac:dyDescent="0.3">
      <c r="B45" s="374" t="s">
        <v>108</v>
      </c>
      <c r="C45" s="375"/>
      <c r="D45" s="35">
        <f>D41/D48</f>
        <v>-5.2956349206349209</v>
      </c>
      <c r="E45" s="35">
        <f>E41/E48</f>
        <v>0.44950495049504952</v>
      </c>
      <c r="F45" s="35">
        <f>F41/F48</f>
        <v>2.1482213438735176</v>
      </c>
      <c r="G45" s="35">
        <f>G41/G48</f>
        <v>-0.78063241106719372</v>
      </c>
      <c r="H45" s="64">
        <v>-3.47</v>
      </c>
      <c r="I45" s="64">
        <f>I41/I48</f>
        <v>-6.445759368836292</v>
      </c>
      <c r="J45" s="35">
        <f>J41/J48</f>
        <v>0.12007874015748031</v>
      </c>
      <c r="K45" s="35">
        <f>K41/K48</f>
        <v>-4.3996062992125982</v>
      </c>
      <c r="L45" s="35">
        <f>M45-(SUM(I45:K45))</f>
        <v>-2.4547130721085892</v>
      </c>
      <c r="M45" s="32">
        <v>-13.18</v>
      </c>
      <c r="N45" s="31">
        <f t="shared" ref="N45:V45" si="37">N41/N48</f>
        <v>-2.031434184675835</v>
      </c>
      <c r="O45" s="31">
        <f t="shared" si="37"/>
        <v>-1.3568627450980386</v>
      </c>
      <c r="P45" s="319">
        <f>P41/P48</f>
        <v>-1.6054158607350097</v>
      </c>
      <c r="Q45" s="319">
        <f>Q41/Q48</f>
        <v>-0.38367726404612573</v>
      </c>
      <c r="R45" s="320">
        <f>R41/R48</f>
        <v>-5.3749818755102385</v>
      </c>
      <c r="S45" s="319">
        <f t="shared" si="37"/>
        <v>-0.10028766575724511</v>
      </c>
      <c r="T45" s="31">
        <f t="shared" si="37"/>
        <v>-3.2705219600814753E-2</v>
      </c>
      <c r="U45" s="31">
        <f t="shared" si="37"/>
        <v>7.455279991598672E-2</v>
      </c>
      <c r="V45" s="31">
        <f t="shared" si="37"/>
        <v>0.22075517943579356</v>
      </c>
      <c r="W45" s="32">
        <f>W41/W48</f>
        <v>0.16231509399372057</v>
      </c>
      <c r="Y45" s="246"/>
    </row>
    <row r="46" spans="2:26" s="50" customFormat="1" ht="15.75" customHeight="1" x14ac:dyDescent="0.3">
      <c r="B46" s="374" t="s">
        <v>109</v>
      </c>
      <c r="C46" s="375"/>
      <c r="D46" s="35">
        <f>D41/D49</f>
        <v>-5.2956349206349209</v>
      </c>
      <c r="E46" s="35">
        <f>E41/E49</f>
        <v>0.44773175542406313</v>
      </c>
      <c r="F46" s="35">
        <f>F41/F49</f>
        <v>2.1397637795275593</v>
      </c>
      <c r="G46" s="35">
        <f>G41/G49</f>
        <v>-0.78063241106719372</v>
      </c>
      <c r="H46" s="64">
        <v>-3.47</v>
      </c>
      <c r="I46" s="64">
        <f>I41/I49</f>
        <v>-6.445759368836292</v>
      </c>
      <c r="J46" s="35">
        <f>J41/J49</f>
        <v>0.11984282907662082</v>
      </c>
      <c r="K46" s="35">
        <f>K41/K49</f>
        <v>-4.3996062992125982</v>
      </c>
      <c r="L46" s="35">
        <f>M46-(SUM(I46:K46))</f>
        <v>-2.4544771610277305</v>
      </c>
      <c r="M46" s="32">
        <v>-13.18</v>
      </c>
      <c r="N46" s="31">
        <f t="shared" ref="N46:V46" si="38">N41/N49</f>
        <v>-2.031434184675835</v>
      </c>
      <c r="O46" s="31">
        <f t="shared" si="38"/>
        <v>-1.3568627450980386</v>
      </c>
      <c r="P46" s="319">
        <f t="shared" si="38"/>
        <v>-1.6054158607350097</v>
      </c>
      <c r="Q46" s="319">
        <f t="shared" si="38"/>
        <v>-0.38367726404612573</v>
      </c>
      <c r="R46" s="320">
        <f t="shared" si="38"/>
        <v>-5.3749818755102385</v>
      </c>
      <c r="S46" s="319">
        <f t="shared" si="38"/>
        <v>-0.10028766575724511</v>
      </c>
      <c r="T46" s="31">
        <f t="shared" si="38"/>
        <v>-3.2705219600814753E-2</v>
      </c>
      <c r="U46" s="31">
        <f t="shared" si="38"/>
        <v>7.455279991598672E-2</v>
      </c>
      <c r="V46" s="31">
        <f t="shared" si="38"/>
        <v>0.22075517943579356</v>
      </c>
      <c r="W46" s="32">
        <f t="shared" ref="W46" si="39">W41/W49</f>
        <v>0.16231509399372057</v>
      </c>
      <c r="Y46" s="289"/>
    </row>
    <row r="47" spans="2:26" s="50" customFormat="1" ht="15.75" customHeight="1" x14ac:dyDescent="0.3">
      <c r="B47" s="374" t="s">
        <v>220</v>
      </c>
      <c r="C47" s="375"/>
      <c r="D47" s="35">
        <f>D43/D49</f>
        <v>1.2678571428571428</v>
      </c>
      <c r="E47" s="35">
        <f t="shared" ref="E47:H47" si="40">E43/E49</f>
        <v>1.319526627218935</v>
      </c>
      <c r="F47" s="35">
        <f t="shared" si="40"/>
        <v>1.1811023622047243</v>
      </c>
      <c r="G47" s="35">
        <f t="shared" si="40"/>
        <v>0.36956521739130432</v>
      </c>
      <c r="H47" s="32">
        <f t="shared" si="40"/>
        <v>4.1403162055335967</v>
      </c>
      <c r="I47" s="64">
        <f>I43/I49</f>
        <v>-0.71992110453648916</v>
      </c>
      <c r="J47" s="35">
        <f t="shared" ref="J47:M47" si="41">J43/J49</f>
        <v>7.8585461689587421E-3</v>
      </c>
      <c r="K47" s="35">
        <f t="shared" si="41"/>
        <v>-0.70472440944881887</v>
      </c>
      <c r="L47" s="35">
        <f t="shared" si="41"/>
        <v>-0.58267716535433067</v>
      </c>
      <c r="M47" s="32">
        <f t="shared" si="41"/>
        <v>-1.9999899888316583</v>
      </c>
      <c r="N47" s="64">
        <f>N43/N49</f>
        <v>-1.117878192534381</v>
      </c>
      <c r="O47" s="35">
        <f>O43/O49</f>
        <v>-0.59607843137254835</v>
      </c>
      <c r="P47" s="35">
        <f>P43/P49</f>
        <v>-0.88781431334622829</v>
      </c>
      <c r="Q47" s="35">
        <f t="shared" ref="Q47:W47" si="42">Q43/Q49</f>
        <v>-0.46519900317656049</v>
      </c>
      <c r="R47" s="32">
        <f>R43/R49</f>
        <v>-3.0853919950534388</v>
      </c>
      <c r="S47" s="64">
        <f t="shared" si="42"/>
        <v>-0.10934563677173786</v>
      </c>
      <c r="T47" s="35">
        <f t="shared" si="42"/>
        <v>-3.2705219600814753E-2</v>
      </c>
      <c r="U47" s="35">
        <f t="shared" si="42"/>
        <v>9.2668741944972224E-2</v>
      </c>
      <c r="V47" s="35">
        <f t="shared" si="42"/>
        <v>0.21169720842130083</v>
      </c>
      <c r="W47" s="32">
        <f t="shared" si="42"/>
        <v>0.16231509399372057</v>
      </c>
      <c r="Y47" s="289"/>
    </row>
    <row r="48" spans="2:26" s="51" customFormat="1" ht="15.75" customHeight="1" x14ac:dyDescent="0.3">
      <c r="B48" s="390" t="s">
        <v>110</v>
      </c>
      <c r="C48" s="391"/>
      <c r="D48" s="139">
        <v>504</v>
      </c>
      <c r="E48" s="139">
        <v>505</v>
      </c>
      <c r="F48" s="139">
        <v>506</v>
      </c>
      <c r="G48" s="153">
        <v>506</v>
      </c>
      <c r="H48" s="141">
        <v>506</v>
      </c>
      <c r="I48" s="142">
        <v>507</v>
      </c>
      <c r="J48" s="143">
        <v>508</v>
      </c>
      <c r="K48" s="143">
        <v>508</v>
      </c>
      <c r="L48" s="143">
        <v>508</v>
      </c>
      <c r="M48" s="141">
        <f>(I48*I41/M41)+(J48*J41/M41)+(K48*K41/M41)+(L48*L41/M41)</f>
        <v>507.51165570830835</v>
      </c>
      <c r="N48" s="143">
        <v>509</v>
      </c>
      <c r="O48" s="143">
        <v>510</v>
      </c>
      <c r="P48" s="315">
        <v>517</v>
      </c>
      <c r="Q48" s="351">
        <v>552</v>
      </c>
      <c r="R48" s="141">
        <f>(N48*N41/R41)+(O48*O41/R41)+(P48*P41/R41)+(Q48*Q41/R41)</f>
        <v>514.93938284037824</v>
      </c>
      <c r="S48" s="317">
        <v>552</v>
      </c>
      <c r="T48" s="317">
        <v>552</v>
      </c>
      <c r="U48" s="317">
        <v>552</v>
      </c>
      <c r="V48" s="361">
        <v>552</v>
      </c>
      <c r="W48" s="141">
        <f>(S48*S41/W41)+(T48*T41/W41)+(U48*U41/W41)+(V48*V41/W41)</f>
        <v>551.99999999999977</v>
      </c>
      <c r="Y48" s="246"/>
    </row>
    <row r="49" spans="2:25" x14ac:dyDescent="0.3">
      <c r="B49" s="390" t="s">
        <v>111</v>
      </c>
      <c r="C49" s="391"/>
      <c r="D49" s="139">
        <v>504</v>
      </c>
      <c r="E49" s="139">
        <v>507</v>
      </c>
      <c r="F49" s="139">
        <v>508</v>
      </c>
      <c r="G49" s="153">
        <v>506</v>
      </c>
      <c r="H49" s="141">
        <v>506</v>
      </c>
      <c r="I49" s="142">
        <v>507</v>
      </c>
      <c r="J49" s="143">
        <v>509</v>
      </c>
      <c r="K49" s="143">
        <v>508</v>
      </c>
      <c r="L49" s="143">
        <v>508</v>
      </c>
      <c r="M49" s="141">
        <f>(I49*I41/M41)+(J49*J41/M41)+(K49*K41/M41)+(L49*L41/M41)</f>
        <v>507.50254034668262</v>
      </c>
      <c r="N49" s="143">
        <v>509</v>
      </c>
      <c r="O49" s="143">
        <v>510</v>
      </c>
      <c r="P49" s="315">
        <v>517</v>
      </c>
      <c r="Q49" s="351">
        <v>552</v>
      </c>
      <c r="R49" s="141">
        <f>(N49*N41/R41)+(O49*O41/R41)+(P49*P41/R41)+(Q49*Q41/R41)</f>
        <v>514.93938284037824</v>
      </c>
      <c r="S49" s="317">
        <v>552</v>
      </c>
      <c r="T49" s="317">
        <v>552</v>
      </c>
      <c r="U49" s="317">
        <v>552</v>
      </c>
      <c r="V49" s="361">
        <v>552</v>
      </c>
      <c r="W49" s="141">
        <f>(S49*S41/W41)+(T49*T41/W41)+(U49*U41/W41)+(V49*V41/W41)</f>
        <v>551.99999999999977</v>
      </c>
      <c r="Y49" s="246"/>
    </row>
    <row r="50" spans="2:25" s="9" customFormat="1" x14ac:dyDescent="0.3">
      <c r="B50" s="30" t="s">
        <v>112</v>
      </c>
      <c r="C50" s="337"/>
      <c r="D50" s="279">
        <f>-D215/D49</f>
        <v>0.18253968253968253</v>
      </c>
      <c r="E50" s="279">
        <f>-E215/E49</f>
        <v>0.27218934911242604</v>
      </c>
      <c r="F50" s="279">
        <f>-F215/F49</f>
        <v>0.27165354330708663</v>
      </c>
      <c r="G50" s="280">
        <f>-G215/G49</f>
        <v>0.27075098814229248</v>
      </c>
      <c r="H50" s="32">
        <v>0.36</v>
      </c>
      <c r="I50" s="31">
        <f>-I215/I49</f>
        <v>0.27416173570019725</v>
      </c>
      <c r="J50" s="31">
        <f>-J215/J49</f>
        <v>0.27111984282907664</v>
      </c>
      <c r="K50" s="31">
        <f>-K215/K49</f>
        <v>0.27165354330708663</v>
      </c>
      <c r="L50" s="31">
        <f>-L215/L49</f>
        <v>0.27165354330708663</v>
      </c>
      <c r="M50" s="151">
        <f>SUM(I50:L50)</f>
        <v>1.0885886651434471</v>
      </c>
      <c r="N50" s="31">
        <f>-N215/N49</f>
        <v>4.9115913555992138E-2</v>
      </c>
      <c r="O50" s="31">
        <f>-O215/O49</f>
        <v>5.0980392156862744E-2</v>
      </c>
      <c r="P50" s="31">
        <f>O50</f>
        <v>5.0980392156862744E-2</v>
      </c>
      <c r="Q50" s="293">
        <f>P50</f>
        <v>5.0980392156862744E-2</v>
      </c>
      <c r="R50" s="151">
        <f>SUM(N50:Q50)</f>
        <v>0.20205709002658034</v>
      </c>
      <c r="S50" s="293">
        <f>Q50</f>
        <v>5.0980392156862744E-2</v>
      </c>
      <c r="T50" s="293">
        <f>S50</f>
        <v>5.0980392156862744E-2</v>
      </c>
      <c r="U50" s="293">
        <f>T50</f>
        <v>5.0980392156862744E-2</v>
      </c>
      <c r="V50" s="362">
        <f>U50</f>
        <v>5.0980392156862744E-2</v>
      </c>
      <c r="W50" s="151">
        <f>SUM(S50:V50)</f>
        <v>0.20392156862745098</v>
      </c>
    </row>
    <row r="51" spans="2:25" x14ac:dyDescent="0.3">
      <c r="B51" s="17"/>
      <c r="C51" s="20"/>
      <c r="D51" s="57">
        <f t="shared" ref="D51:L51" si="43">ROUND((D11+D12+D13-(D80+D81+D82+D84+D85+D86)-D87),0)</f>
        <v>0</v>
      </c>
      <c r="E51" s="57">
        <f t="shared" si="43"/>
        <v>0</v>
      </c>
      <c r="F51" s="57">
        <f t="shared" si="43"/>
        <v>0</v>
      </c>
      <c r="G51" s="57">
        <f t="shared" si="43"/>
        <v>0</v>
      </c>
      <c r="H51" s="57"/>
      <c r="I51" s="57">
        <f t="shared" si="43"/>
        <v>0</v>
      </c>
      <c r="J51" s="57">
        <f t="shared" si="43"/>
        <v>0</v>
      </c>
      <c r="K51" s="57">
        <f t="shared" si="43"/>
        <v>0</v>
      </c>
      <c r="L51" s="57">
        <f t="shared" si="43"/>
        <v>0</v>
      </c>
      <c r="M51" s="57"/>
      <c r="N51" s="57">
        <f>ROUND((N11+N12+N13-(N80+N81+N82+N84+N85+N86)-N87),0)</f>
        <v>0</v>
      </c>
      <c r="O51" s="57">
        <f>ROUND((O11+O12+O13-(O80+O81+O82+O84+O85+O86)-O87),0)</f>
        <v>0</v>
      </c>
      <c r="P51" s="57">
        <f>ROUND((P11+P12+P13-(P80+P81+P82+P84+P85+P86)-P87),0)</f>
        <v>0</v>
      </c>
      <c r="Q51" s="57">
        <f t="shared" ref="Q51:V51" si="44">ROUND((Q11+Q12+Q13-(Q80+Q81+Q82+Q84+Q85+Q86)-Q87),0)</f>
        <v>0</v>
      </c>
      <c r="R51" s="57"/>
      <c r="S51" s="57">
        <f t="shared" si="44"/>
        <v>0</v>
      </c>
      <c r="T51" s="57">
        <f t="shared" si="44"/>
        <v>0</v>
      </c>
      <c r="U51" s="57">
        <f t="shared" si="44"/>
        <v>0</v>
      </c>
      <c r="V51" s="57">
        <f t="shared" si="44"/>
        <v>0</v>
      </c>
      <c r="W51" s="57"/>
    </row>
    <row r="52" spans="2:25" ht="15.6" x14ac:dyDescent="0.3">
      <c r="B52" s="382" t="s">
        <v>18</v>
      </c>
      <c r="C52" s="383"/>
      <c r="D52" s="52" t="s">
        <v>4</v>
      </c>
      <c r="E52" s="52" t="s">
        <v>3</v>
      </c>
      <c r="F52" s="52" t="s">
        <v>2</v>
      </c>
      <c r="G52" s="52" t="s">
        <v>5</v>
      </c>
      <c r="H52" s="52" t="s">
        <v>5</v>
      </c>
      <c r="I52" s="52" t="s">
        <v>6</v>
      </c>
      <c r="J52" s="52" t="s">
        <v>7</v>
      </c>
      <c r="K52" s="52" t="s">
        <v>8</v>
      </c>
      <c r="L52" s="52" t="s">
        <v>10</v>
      </c>
      <c r="M52" s="52" t="s">
        <v>10</v>
      </c>
      <c r="N52" s="52" t="s">
        <v>11</v>
      </c>
      <c r="O52" s="52" t="s">
        <v>12</v>
      </c>
      <c r="P52" s="52" t="s">
        <v>13</v>
      </c>
      <c r="Q52" s="54" t="s">
        <v>9</v>
      </c>
      <c r="R52" s="54" t="s">
        <v>9</v>
      </c>
      <c r="S52" s="54" t="s">
        <v>14</v>
      </c>
      <c r="T52" s="54" t="s">
        <v>15</v>
      </c>
      <c r="U52" s="54" t="s">
        <v>16</v>
      </c>
      <c r="V52" s="54" t="s">
        <v>17</v>
      </c>
      <c r="W52" s="58" t="s">
        <v>17</v>
      </c>
    </row>
    <row r="53" spans="2:25" ht="16.2" x14ac:dyDescent="0.45">
      <c r="B53" s="380" t="s">
        <v>45</v>
      </c>
      <c r="C53" s="381"/>
      <c r="D53" s="53" t="s">
        <v>24</v>
      </c>
      <c r="E53" s="53" t="s">
        <v>25</v>
      </c>
      <c r="F53" s="53" t="s">
        <v>26</v>
      </c>
      <c r="G53" s="53" t="s">
        <v>27</v>
      </c>
      <c r="H53" s="53" t="s">
        <v>19</v>
      </c>
      <c r="I53" s="53" t="s">
        <v>28</v>
      </c>
      <c r="J53" s="53" t="s">
        <v>29</v>
      </c>
      <c r="K53" s="53" t="s">
        <v>38</v>
      </c>
      <c r="L53" s="53" t="s">
        <v>49</v>
      </c>
      <c r="M53" s="53" t="s">
        <v>50</v>
      </c>
      <c r="N53" s="53" t="s">
        <v>30</v>
      </c>
      <c r="O53" s="53" t="s">
        <v>31</v>
      </c>
      <c r="P53" s="53" t="s">
        <v>32</v>
      </c>
      <c r="Q53" s="55" t="s">
        <v>33</v>
      </c>
      <c r="R53" s="55" t="s">
        <v>20</v>
      </c>
      <c r="S53" s="55" t="s">
        <v>34</v>
      </c>
      <c r="T53" s="55" t="s">
        <v>35</v>
      </c>
      <c r="U53" s="55" t="s">
        <v>36</v>
      </c>
      <c r="V53" s="55" t="s">
        <v>37</v>
      </c>
      <c r="W53" s="59" t="s">
        <v>21</v>
      </c>
    </row>
    <row r="54" spans="2:25" s="222" customFormat="1" ht="17.7" customHeight="1" x14ac:dyDescent="0.3">
      <c r="B54" s="328" t="s">
        <v>185</v>
      </c>
      <c r="C54" s="223"/>
      <c r="D54" s="221"/>
      <c r="E54" s="221"/>
      <c r="F54" s="221"/>
      <c r="G54" s="221"/>
      <c r="H54" s="233"/>
      <c r="I54" s="221"/>
      <c r="J54" s="221"/>
      <c r="K54" s="221"/>
      <c r="L54" s="221"/>
      <c r="M54" s="233"/>
      <c r="N54" s="221"/>
      <c r="O54" s="221"/>
      <c r="P54" s="221"/>
      <c r="Q54" s="221"/>
      <c r="R54" s="233"/>
      <c r="S54" s="221"/>
      <c r="T54" s="221"/>
      <c r="U54" s="221"/>
      <c r="V54" s="221"/>
      <c r="W54" s="233"/>
      <c r="Y54" s="243"/>
    </row>
    <row r="55" spans="2:25" s="60" customFormat="1" ht="14.4" customHeight="1" outlineLevel="1" x14ac:dyDescent="0.3">
      <c r="B55" s="224" t="s">
        <v>184</v>
      </c>
      <c r="C55" s="220"/>
      <c r="D55" s="36"/>
      <c r="E55" s="25"/>
      <c r="F55" s="25"/>
      <c r="G55" s="25"/>
      <c r="H55" s="227"/>
      <c r="I55" s="25"/>
      <c r="J55" s="25"/>
      <c r="K55" s="25"/>
      <c r="L55" s="25"/>
      <c r="M55" s="34"/>
      <c r="N55" s="25"/>
      <c r="O55" s="25"/>
      <c r="P55" s="25"/>
      <c r="Q55" s="25"/>
      <c r="R55" s="34"/>
      <c r="S55" s="25"/>
      <c r="T55" s="25"/>
      <c r="U55" s="25"/>
      <c r="V55" s="25"/>
      <c r="W55" s="34"/>
    </row>
    <row r="56" spans="2:25" s="60" customFormat="1" ht="14.4" customHeight="1" outlineLevel="1" x14ac:dyDescent="0.3">
      <c r="B56" s="225" t="s">
        <v>186</v>
      </c>
      <c r="C56" s="327"/>
      <c r="D56" s="36">
        <v>16</v>
      </c>
      <c r="E56" s="36">
        <v>18</v>
      </c>
      <c r="F56" s="36">
        <v>20</v>
      </c>
      <c r="G56" s="36">
        <v>20</v>
      </c>
      <c r="H56" s="26">
        <v>74</v>
      </c>
      <c r="I56" s="36">
        <v>22</v>
      </c>
      <c r="J56" s="36">
        <v>21</v>
      </c>
      <c r="K56" s="36">
        <v>21</v>
      </c>
      <c r="L56" s="36">
        <v>21</v>
      </c>
      <c r="M56" s="26">
        <v>85</v>
      </c>
      <c r="N56" s="36">
        <v>21</v>
      </c>
      <c r="O56" s="36">
        <v>20</v>
      </c>
      <c r="P56" s="36">
        <v>22</v>
      </c>
      <c r="Q56" s="353">
        <v>20.399999999999999</v>
      </c>
      <c r="R56" s="26"/>
      <c r="S56" s="36">
        <f>Q56*(1+S57)</f>
        <v>23.459999999999997</v>
      </c>
      <c r="T56" s="36">
        <f>S56*(1+T57)</f>
        <v>24.632999999999999</v>
      </c>
      <c r="U56" s="36">
        <f>T56*(1+U57)</f>
        <v>25.864650000000001</v>
      </c>
      <c r="V56" s="36">
        <f>U56*(1+V57)</f>
        <v>27.157882500000003</v>
      </c>
      <c r="W56" s="26"/>
      <c r="Y56" s="268"/>
    </row>
    <row r="57" spans="2:25" s="60" customFormat="1" ht="14.4" customHeight="1" outlineLevel="1" x14ac:dyDescent="0.3">
      <c r="B57" s="225" t="s">
        <v>192</v>
      </c>
      <c r="C57" s="327"/>
      <c r="D57" s="36"/>
      <c r="E57" s="124">
        <f>E56/D56-1</f>
        <v>0.125</v>
      </c>
      <c r="F57" s="124">
        <f>F56/E56-1</f>
        <v>0.11111111111111116</v>
      </c>
      <c r="G57" s="124">
        <f>G56/F56-1</f>
        <v>0</v>
      </c>
      <c r="H57" s="235"/>
      <c r="I57" s="124">
        <f>I56/G56-1</f>
        <v>0.10000000000000009</v>
      </c>
      <c r="J57" s="124">
        <f>J56/I56-1</f>
        <v>-4.5454545454545414E-2</v>
      </c>
      <c r="K57" s="124">
        <f t="shared" ref="K57:L57" si="45">K56/J56-1</f>
        <v>0</v>
      </c>
      <c r="L57" s="124">
        <f t="shared" si="45"/>
        <v>0</v>
      </c>
      <c r="M57" s="235"/>
      <c r="N57" s="124">
        <f>N56/L56-1</f>
        <v>0</v>
      </c>
      <c r="O57" s="124">
        <f>O56/N56-1</f>
        <v>-4.7619047619047672E-2</v>
      </c>
      <c r="P57" s="124">
        <f>P56/O56-1</f>
        <v>0.10000000000000009</v>
      </c>
      <c r="Q57" s="124">
        <f>Q56/P56-1</f>
        <v>-7.2727272727272751E-2</v>
      </c>
      <c r="R57" s="235"/>
      <c r="S57" s="240">
        <v>0.15</v>
      </c>
      <c r="T57" s="240">
        <v>0.05</v>
      </c>
      <c r="U57" s="240">
        <v>0.05</v>
      </c>
      <c r="V57" s="240">
        <v>0.05</v>
      </c>
      <c r="W57" s="235"/>
    </row>
    <row r="58" spans="2:25" s="60" customFormat="1" ht="14.4" customHeight="1" outlineLevel="1" x14ac:dyDescent="0.3">
      <c r="B58" s="225" t="s">
        <v>187</v>
      </c>
      <c r="C58" s="327"/>
      <c r="D58" s="36">
        <v>243</v>
      </c>
      <c r="E58" s="36">
        <v>238</v>
      </c>
      <c r="F58" s="36">
        <v>230</v>
      </c>
      <c r="G58" s="36">
        <v>234</v>
      </c>
      <c r="H58" s="26">
        <v>945</v>
      </c>
      <c r="I58" s="36">
        <v>246</v>
      </c>
      <c r="J58" s="36">
        <v>215</v>
      </c>
      <c r="K58" s="36">
        <v>201</v>
      </c>
      <c r="L58" s="36">
        <v>190</v>
      </c>
      <c r="M58" s="26">
        <v>852</v>
      </c>
      <c r="N58" s="36">
        <v>210</v>
      </c>
      <c r="O58" s="36">
        <v>199</v>
      </c>
      <c r="P58" s="36">
        <v>184</v>
      </c>
      <c r="Q58" s="353">
        <v>153</v>
      </c>
      <c r="R58" s="26"/>
      <c r="S58" s="36">
        <f>Q58*(1+S59)</f>
        <v>175.95</v>
      </c>
      <c r="T58" s="36">
        <f>S58*(1+T59)</f>
        <v>184.7475</v>
      </c>
      <c r="U58" s="36">
        <f>T58*(1+U59)</f>
        <v>193.98487500000002</v>
      </c>
      <c r="V58" s="36">
        <f>U58*(1+V59)</f>
        <v>203.68411875000004</v>
      </c>
      <c r="W58" s="26"/>
    </row>
    <row r="59" spans="2:25" s="60" customFormat="1" ht="14.4" customHeight="1" outlineLevel="1" x14ac:dyDescent="0.3">
      <c r="B59" s="225" t="s">
        <v>193</v>
      </c>
      <c r="C59" s="327"/>
      <c r="D59" s="62"/>
      <c r="E59" s="124">
        <f>E58/D58-1</f>
        <v>-2.0576131687242816E-2</v>
      </c>
      <c r="F59" s="124">
        <f>F58/E58-1</f>
        <v>-3.3613445378151252E-2</v>
      </c>
      <c r="G59" s="124">
        <f>G58/F58-1</f>
        <v>1.7391304347825987E-2</v>
      </c>
      <c r="H59" s="26"/>
      <c r="I59" s="124">
        <f>I58/G58-1</f>
        <v>5.1282051282051322E-2</v>
      </c>
      <c r="J59" s="124">
        <f>J58/I58-1</f>
        <v>-0.12601626016260159</v>
      </c>
      <c r="K59" s="124">
        <f>K58/J58-1</f>
        <v>-6.5116279069767469E-2</v>
      </c>
      <c r="L59" s="124">
        <f>L58/K58-1</f>
        <v>-5.4726368159203953E-2</v>
      </c>
      <c r="M59" s="26"/>
      <c r="N59" s="124">
        <f>N58/L58-1</f>
        <v>0.10526315789473695</v>
      </c>
      <c r="O59" s="124">
        <f>O58/N58-1</f>
        <v>-5.2380952380952417E-2</v>
      </c>
      <c r="P59" s="124">
        <f>P58/O58-1</f>
        <v>-7.5376884422110546E-2</v>
      </c>
      <c r="Q59" s="124">
        <f>Q58/P58-1</f>
        <v>-0.16847826086956519</v>
      </c>
      <c r="R59" s="63"/>
      <c r="S59" s="241">
        <v>0.15</v>
      </c>
      <c r="T59" s="241">
        <v>0.05</v>
      </c>
      <c r="U59" s="241">
        <v>0.05</v>
      </c>
      <c r="V59" s="241">
        <v>0.05</v>
      </c>
      <c r="W59" s="63"/>
    </row>
    <row r="60" spans="2:25" s="96" customFormat="1" ht="14.4" customHeight="1" outlineLevel="1" x14ac:dyDescent="0.3">
      <c r="B60" s="225" t="s">
        <v>188</v>
      </c>
      <c r="C60" s="218"/>
      <c r="D60" s="36">
        <v>9</v>
      </c>
      <c r="E60" s="36">
        <v>11</v>
      </c>
      <c r="F60" s="36">
        <v>11</v>
      </c>
      <c r="G60" s="36">
        <v>12</v>
      </c>
      <c r="H60" s="26">
        <v>43</v>
      </c>
      <c r="I60" s="36">
        <v>12</v>
      </c>
      <c r="J60" s="36">
        <v>12</v>
      </c>
      <c r="K60" s="36">
        <v>11</v>
      </c>
      <c r="L60" s="36">
        <v>10</v>
      </c>
      <c r="M60" s="26">
        <v>45</v>
      </c>
      <c r="N60" s="36">
        <v>11</v>
      </c>
      <c r="O60" s="36">
        <v>12</v>
      </c>
      <c r="P60" s="36">
        <v>11</v>
      </c>
      <c r="Q60" s="353">
        <v>9</v>
      </c>
      <c r="R60" s="26"/>
      <c r="S60" s="36">
        <f>Q60*(1+S61)</f>
        <v>9.9</v>
      </c>
      <c r="T60" s="36">
        <f>S60*(1+T61)</f>
        <v>10.395000000000001</v>
      </c>
      <c r="U60" s="36">
        <f>T60*(1+U61)</f>
        <v>10.914750000000002</v>
      </c>
      <c r="V60" s="36">
        <f>U60*(1+V61)</f>
        <v>11.460487500000003</v>
      </c>
      <c r="W60" s="26"/>
    </row>
    <row r="61" spans="2:25" s="96" customFormat="1" ht="14.4" customHeight="1" outlineLevel="1" x14ac:dyDescent="0.3">
      <c r="B61" s="225" t="s">
        <v>194</v>
      </c>
      <c r="C61" s="218"/>
      <c r="D61" s="36"/>
      <c r="E61" s="124">
        <f>E60/D60-1</f>
        <v>0.22222222222222232</v>
      </c>
      <c r="F61" s="124">
        <f>F60/E60-1</f>
        <v>0</v>
      </c>
      <c r="G61" s="124">
        <f>G60/F60-1</f>
        <v>9.0909090909090828E-2</v>
      </c>
      <c r="H61" s="26"/>
      <c r="I61" s="124">
        <f>I60/G60-1</f>
        <v>0</v>
      </c>
      <c r="J61" s="124">
        <f>J60/I60-1</f>
        <v>0</v>
      </c>
      <c r="K61" s="124">
        <f>K60/J60-1</f>
        <v>-8.333333333333337E-2</v>
      </c>
      <c r="L61" s="124">
        <f>L60/K60-1</f>
        <v>-9.0909090909090939E-2</v>
      </c>
      <c r="M61" s="26"/>
      <c r="N61" s="124">
        <f>N60/L60-1</f>
        <v>0.10000000000000009</v>
      </c>
      <c r="O61" s="124">
        <f>O60/N60-1</f>
        <v>9.0909090909090828E-2</v>
      </c>
      <c r="P61" s="124">
        <f>P60/O60-1</f>
        <v>-8.333333333333337E-2</v>
      </c>
      <c r="Q61" s="124">
        <f>Q60/P60-1</f>
        <v>-0.18181818181818177</v>
      </c>
      <c r="R61" s="235"/>
      <c r="S61" s="236">
        <v>0.1</v>
      </c>
      <c r="T61" s="236">
        <v>0.05</v>
      </c>
      <c r="U61" s="236">
        <v>0.05</v>
      </c>
      <c r="V61" s="236">
        <v>0.05</v>
      </c>
      <c r="W61" s="235"/>
    </row>
    <row r="62" spans="2:25" s="95" customFormat="1" ht="14.4" customHeight="1" outlineLevel="1" x14ac:dyDescent="0.3">
      <c r="B62" s="224" t="s">
        <v>183</v>
      </c>
      <c r="C62" s="218"/>
      <c r="D62" s="25"/>
      <c r="E62" s="25"/>
      <c r="F62" s="25"/>
      <c r="G62" s="25"/>
      <c r="H62" s="227"/>
      <c r="I62" s="25"/>
      <c r="J62" s="25"/>
      <c r="K62" s="25"/>
      <c r="L62" s="25"/>
      <c r="M62" s="26"/>
      <c r="N62" s="25"/>
      <c r="O62" s="25"/>
      <c r="P62" s="25"/>
      <c r="Q62" s="25"/>
      <c r="R62" s="34"/>
      <c r="S62" s="25"/>
      <c r="T62" s="25"/>
      <c r="U62" s="25"/>
      <c r="V62" s="25"/>
      <c r="W62" s="34"/>
    </row>
    <row r="63" spans="2:25" s="60" customFormat="1" ht="13.95" customHeight="1" outlineLevel="1" x14ac:dyDescent="0.3">
      <c r="B63" s="225" t="s">
        <v>186</v>
      </c>
      <c r="C63" s="327"/>
      <c r="D63" s="36">
        <v>8</v>
      </c>
      <c r="E63" s="36">
        <v>9</v>
      </c>
      <c r="F63" s="36">
        <v>8</v>
      </c>
      <c r="G63" s="36">
        <v>7</v>
      </c>
      <c r="H63" s="26">
        <v>32</v>
      </c>
      <c r="I63" s="36">
        <v>8</v>
      </c>
      <c r="J63" s="36">
        <v>8</v>
      </c>
      <c r="K63" s="36">
        <v>7</v>
      </c>
      <c r="L63" s="36">
        <v>8</v>
      </c>
      <c r="M63" s="26">
        <v>31</v>
      </c>
      <c r="N63" s="36">
        <v>8</v>
      </c>
      <c r="O63" s="36">
        <v>6</v>
      </c>
      <c r="P63" s="36">
        <v>8</v>
      </c>
      <c r="Q63" s="353">
        <f>7.65</f>
        <v>7.65</v>
      </c>
      <c r="R63" s="26"/>
      <c r="S63" s="36">
        <f>Q63*(1+S64)</f>
        <v>8.4150000000000009</v>
      </c>
      <c r="T63" s="36">
        <f>S63*(1+T64)</f>
        <v>9.2565000000000026</v>
      </c>
      <c r="U63" s="36">
        <f>T63*(1+U64)</f>
        <v>9.7193250000000031</v>
      </c>
      <c r="V63" s="36">
        <f>U63*(1+V64)</f>
        <v>10.205291250000004</v>
      </c>
      <c r="W63" s="26"/>
    </row>
    <row r="64" spans="2:25" s="60" customFormat="1" ht="13.95" customHeight="1" outlineLevel="1" x14ac:dyDescent="0.3">
      <c r="B64" s="225" t="s">
        <v>195</v>
      </c>
      <c r="C64" s="327"/>
      <c r="D64" s="36"/>
      <c r="E64" s="124">
        <f>E63/D63-1</f>
        <v>0.125</v>
      </c>
      <c r="F64" s="124">
        <f>F63/E63-1</f>
        <v>-0.11111111111111116</v>
      </c>
      <c r="G64" s="124">
        <f>G63/F63-1</f>
        <v>-0.125</v>
      </c>
      <c r="H64" s="26"/>
      <c r="I64" s="124">
        <f>I63/G63-1</f>
        <v>0.14285714285714279</v>
      </c>
      <c r="J64" s="124">
        <f>J63/I63-1</f>
        <v>0</v>
      </c>
      <c r="K64" s="124">
        <f>K63/J63-1</f>
        <v>-0.125</v>
      </c>
      <c r="L64" s="124">
        <f>L63/K63-1</f>
        <v>0.14285714285714279</v>
      </c>
      <c r="M64" s="26"/>
      <c r="N64" s="124">
        <f>N63/L63-1</f>
        <v>0</v>
      </c>
      <c r="O64" s="124">
        <f>O63/N63-1</f>
        <v>-0.25</v>
      </c>
      <c r="P64" s="124">
        <f>P63/O63-1</f>
        <v>0.33333333333333326</v>
      </c>
      <c r="Q64" s="124">
        <f>Q63/P63-1</f>
        <v>-4.3749999999999956E-2</v>
      </c>
      <c r="R64" s="26"/>
      <c r="S64" s="236">
        <v>0.1</v>
      </c>
      <c r="T64" s="236">
        <v>0.1</v>
      </c>
      <c r="U64" s="236">
        <v>0.05</v>
      </c>
      <c r="V64" s="236">
        <v>0.05</v>
      </c>
      <c r="W64" s="26"/>
    </row>
    <row r="65" spans="2:23" s="60" customFormat="1" outlineLevel="1" x14ac:dyDescent="0.3">
      <c r="B65" s="225" t="s">
        <v>187</v>
      </c>
      <c r="C65" s="327"/>
      <c r="D65" s="62">
        <v>0</v>
      </c>
      <c r="E65" s="62">
        <v>0</v>
      </c>
      <c r="F65" s="62">
        <v>0</v>
      </c>
      <c r="G65" s="62">
        <v>0</v>
      </c>
      <c r="H65" s="26">
        <v>0</v>
      </c>
      <c r="I65" s="62">
        <v>0</v>
      </c>
      <c r="J65" s="62">
        <v>0</v>
      </c>
      <c r="K65" s="62">
        <v>0</v>
      </c>
      <c r="L65" s="62">
        <v>0</v>
      </c>
      <c r="M65" s="26">
        <v>0</v>
      </c>
      <c r="N65" s="36">
        <v>0</v>
      </c>
      <c r="O65" s="62">
        <v>0</v>
      </c>
      <c r="P65" s="62">
        <v>0</v>
      </c>
      <c r="Q65" s="62">
        <v>0</v>
      </c>
      <c r="R65" s="63"/>
      <c r="S65" s="62"/>
      <c r="T65" s="62"/>
      <c r="U65" s="62"/>
      <c r="V65" s="62"/>
      <c r="W65" s="63"/>
    </row>
    <row r="66" spans="2:23" s="60" customFormat="1" outlineLevel="1" x14ac:dyDescent="0.3">
      <c r="B66" s="225" t="s">
        <v>196</v>
      </c>
      <c r="C66" s="327"/>
      <c r="D66" s="62"/>
      <c r="E66" s="124"/>
      <c r="F66" s="124"/>
      <c r="G66" s="124"/>
      <c r="H66" s="26"/>
      <c r="I66" s="124"/>
      <c r="J66" s="124"/>
      <c r="K66" s="124"/>
      <c r="L66" s="124"/>
      <c r="M66" s="26"/>
      <c r="N66" s="36">
        <v>0</v>
      </c>
      <c r="O66" s="36">
        <v>0</v>
      </c>
      <c r="P66" s="36">
        <v>0</v>
      </c>
      <c r="Q66" s="36">
        <v>0</v>
      </c>
      <c r="R66" s="63"/>
      <c r="S66" s="237"/>
      <c r="T66" s="237"/>
      <c r="U66" s="237"/>
      <c r="V66" s="237"/>
      <c r="W66" s="63"/>
    </row>
    <row r="67" spans="2:23" s="60" customFormat="1" outlineLevel="1" x14ac:dyDescent="0.3">
      <c r="B67" s="225" t="s">
        <v>188</v>
      </c>
      <c r="C67" s="327"/>
      <c r="D67" s="36">
        <v>0</v>
      </c>
      <c r="E67" s="36">
        <v>0</v>
      </c>
      <c r="F67" s="36">
        <v>0</v>
      </c>
      <c r="G67" s="36">
        <v>1</v>
      </c>
      <c r="H67" s="26">
        <v>1</v>
      </c>
      <c r="I67" s="36">
        <v>1</v>
      </c>
      <c r="J67" s="36">
        <v>0</v>
      </c>
      <c r="K67" s="36">
        <v>1</v>
      </c>
      <c r="L67" s="36">
        <v>0</v>
      </c>
      <c r="M67" s="26">
        <v>2</v>
      </c>
      <c r="N67" s="36">
        <v>0</v>
      </c>
      <c r="O67" s="36">
        <v>1</v>
      </c>
      <c r="P67" s="278">
        <v>0</v>
      </c>
      <c r="Q67" s="353">
        <v>1</v>
      </c>
      <c r="R67" s="26"/>
      <c r="S67" s="36">
        <f>Q67*(1+S68)</f>
        <v>1</v>
      </c>
      <c r="T67" s="36">
        <f>S67*(1+T68)</f>
        <v>1</v>
      </c>
      <c r="U67" s="36">
        <f>T67*(1+U68)</f>
        <v>1</v>
      </c>
      <c r="V67" s="36">
        <f>U67*(1+V68)</f>
        <v>1</v>
      </c>
      <c r="W67" s="26"/>
    </row>
    <row r="68" spans="2:23" s="60" customFormat="1" outlineLevel="1" x14ac:dyDescent="0.3">
      <c r="B68" s="225" t="s">
        <v>240</v>
      </c>
      <c r="C68" s="327"/>
      <c r="D68" s="36"/>
      <c r="E68" s="124"/>
      <c r="F68" s="124"/>
      <c r="G68" s="124"/>
      <c r="H68" s="26"/>
      <c r="I68" s="124"/>
      <c r="J68" s="124"/>
      <c r="K68" s="124"/>
      <c r="L68" s="124"/>
      <c r="M68" s="238"/>
      <c r="N68" s="36">
        <v>0</v>
      </c>
      <c r="O68" s="36">
        <v>0</v>
      </c>
      <c r="P68" s="36">
        <v>0</v>
      </c>
      <c r="Q68" s="36">
        <v>0</v>
      </c>
      <c r="R68" s="235"/>
      <c r="S68" s="236">
        <v>0</v>
      </c>
      <c r="T68" s="236">
        <v>0</v>
      </c>
      <c r="U68" s="236">
        <v>0</v>
      </c>
      <c r="V68" s="236">
        <v>0</v>
      </c>
      <c r="W68" s="71"/>
    </row>
    <row r="69" spans="2:23" s="226" customFormat="1" x14ac:dyDescent="0.3">
      <c r="B69" s="219" t="s">
        <v>197</v>
      </c>
      <c r="C69" s="218"/>
      <c r="D69" s="70"/>
      <c r="E69" s="70"/>
      <c r="F69" s="70"/>
      <c r="G69" s="70"/>
      <c r="H69" s="227"/>
      <c r="I69" s="70"/>
      <c r="J69" s="70"/>
      <c r="K69" s="70"/>
      <c r="L69" s="70"/>
      <c r="M69" s="234"/>
      <c r="N69" s="70"/>
      <c r="O69" s="70"/>
      <c r="P69" s="70"/>
      <c r="Q69" s="70"/>
      <c r="R69" s="71"/>
      <c r="S69" s="70"/>
      <c r="T69" s="70"/>
      <c r="U69" s="70"/>
      <c r="V69" s="70"/>
      <c r="W69" s="71"/>
    </row>
    <row r="70" spans="2:23" s="95" customFormat="1" ht="15" customHeight="1" outlineLevel="1" x14ac:dyDescent="0.3">
      <c r="B70" s="224" t="s">
        <v>184</v>
      </c>
      <c r="C70" s="218"/>
      <c r="D70" s="70"/>
      <c r="E70" s="70"/>
      <c r="F70" s="70"/>
      <c r="G70" s="70"/>
      <c r="H70" s="227"/>
      <c r="I70" s="70"/>
      <c r="J70" s="70"/>
      <c r="K70" s="70"/>
      <c r="L70" s="70"/>
      <c r="M70" s="71"/>
      <c r="N70" s="70"/>
      <c r="O70" s="70"/>
      <c r="P70" s="277"/>
      <c r="Q70" s="70"/>
      <c r="R70" s="71"/>
      <c r="S70" s="70"/>
      <c r="T70" s="70"/>
      <c r="U70" s="70"/>
      <c r="V70" s="70"/>
      <c r="W70" s="71"/>
    </row>
    <row r="71" spans="2:23" s="95" customFormat="1" ht="15" customHeight="1" outlineLevel="1" x14ac:dyDescent="0.3">
      <c r="B71" s="225" t="s">
        <v>190</v>
      </c>
      <c r="C71" s="218"/>
      <c r="D71" s="62">
        <v>94.84</v>
      </c>
      <c r="E71" s="62">
        <v>98.69</v>
      </c>
      <c r="F71" s="62">
        <v>92.59</v>
      </c>
      <c r="G71" s="62">
        <v>68.66</v>
      </c>
      <c r="H71" s="63">
        <v>87.99</v>
      </c>
      <c r="I71" s="62">
        <v>44.19</v>
      </c>
      <c r="J71" s="62">
        <v>54.14</v>
      </c>
      <c r="K71" s="62">
        <v>43.48</v>
      </c>
      <c r="L71" s="62">
        <v>37.83</v>
      </c>
      <c r="M71" s="229">
        <v>45</v>
      </c>
      <c r="N71" s="230">
        <v>28.04</v>
      </c>
      <c r="O71" s="230">
        <v>40.25</v>
      </c>
      <c r="P71" s="230">
        <v>41.29</v>
      </c>
      <c r="Q71" s="239">
        <v>46.5</v>
      </c>
      <c r="R71" s="231"/>
      <c r="S71" s="239">
        <v>48.38</v>
      </c>
      <c r="T71" s="239">
        <v>50.49</v>
      </c>
      <c r="U71" s="239">
        <v>50.92</v>
      </c>
      <c r="V71" s="239">
        <v>51.24</v>
      </c>
      <c r="W71" s="228"/>
    </row>
    <row r="72" spans="2:23" s="95" customFormat="1" ht="15" customHeight="1" outlineLevel="1" x14ac:dyDescent="0.3">
      <c r="B72" s="225" t="s">
        <v>189</v>
      </c>
      <c r="C72" s="218"/>
      <c r="D72" s="62">
        <v>5.01</v>
      </c>
      <c r="E72" s="62">
        <v>4.16</v>
      </c>
      <c r="F72" s="62">
        <v>3.62</v>
      </c>
      <c r="G72" s="62">
        <v>3.46</v>
      </c>
      <c r="H72" s="63">
        <v>4.07</v>
      </c>
      <c r="I72" s="62">
        <v>2.6</v>
      </c>
      <c r="J72" s="62">
        <v>2.2799999999999998</v>
      </c>
      <c r="K72" s="62">
        <v>2.41</v>
      </c>
      <c r="L72" s="62">
        <v>2.08</v>
      </c>
      <c r="M72" s="63">
        <v>2.36</v>
      </c>
      <c r="N72" s="230">
        <v>1.75</v>
      </c>
      <c r="O72" s="230">
        <v>1.61</v>
      </c>
      <c r="P72" s="230">
        <v>2.36</v>
      </c>
      <c r="Q72" s="239">
        <v>3.2869999999999999</v>
      </c>
      <c r="R72" s="231"/>
      <c r="S72" s="239">
        <v>3.294</v>
      </c>
      <c r="T72" s="239">
        <v>3.2610000000000001</v>
      </c>
      <c r="U72" s="239">
        <v>3.2690000000000001</v>
      </c>
      <c r="V72" s="239">
        <v>3.45</v>
      </c>
      <c r="W72" s="228"/>
    </row>
    <row r="73" spans="2:23" s="95" customFormat="1" ht="15" customHeight="1" outlineLevel="1" x14ac:dyDescent="0.3">
      <c r="B73" s="225" t="s">
        <v>191</v>
      </c>
      <c r="C73" s="218"/>
      <c r="D73" s="62">
        <v>43.35</v>
      </c>
      <c r="E73" s="62">
        <v>37.39</v>
      </c>
      <c r="F73" s="62">
        <v>35.11</v>
      </c>
      <c r="G73" s="62">
        <v>27.57</v>
      </c>
      <c r="H73" s="63">
        <v>35.479999999999997</v>
      </c>
      <c r="I73" s="62">
        <v>17.29</v>
      </c>
      <c r="J73" s="62">
        <v>17.98</v>
      </c>
      <c r="K73" s="62">
        <v>15.83</v>
      </c>
      <c r="L73" s="62">
        <v>16.86</v>
      </c>
      <c r="M73" s="63">
        <v>17.03</v>
      </c>
      <c r="N73" s="230">
        <v>14.98</v>
      </c>
      <c r="O73" s="230">
        <v>19.420000000000002</v>
      </c>
      <c r="P73" s="230">
        <v>18.87</v>
      </c>
      <c r="Q73" s="239">
        <v>19</v>
      </c>
      <c r="R73" s="231"/>
      <c r="S73" s="239">
        <v>20</v>
      </c>
      <c r="T73" s="239">
        <v>20</v>
      </c>
      <c r="U73" s="239">
        <v>20</v>
      </c>
      <c r="V73" s="239">
        <v>20</v>
      </c>
      <c r="W73" s="228"/>
    </row>
    <row r="74" spans="2:23" s="95" customFormat="1" ht="15" customHeight="1" outlineLevel="1" x14ac:dyDescent="0.3">
      <c r="B74" s="224" t="s">
        <v>183</v>
      </c>
      <c r="C74" s="218"/>
      <c r="D74" s="70"/>
      <c r="E74" s="70"/>
      <c r="F74" s="70"/>
      <c r="G74" s="70"/>
      <c r="H74" s="228"/>
      <c r="I74" s="70"/>
      <c r="J74" s="70"/>
      <c r="K74" s="70"/>
      <c r="L74" s="70"/>
      <c r="M74" s="63"/>
      <c r="N74" s="232"/>
      <c r="O74" s="232"/>
      <c r="P74" s="232"/>
      <c r="Q74" s="232"/>
      <c r="R74" s="228"/>
      <c r="S74" s="232"/>
      <c r="T74" s="232"/>
      <c r="U74" s="232"/>
      <c r="V74" s="232"/>
      <c r="W74" s="228"/>
    </row>
    <row r="75" spans="2:23" s="95" customFormat="1" ht="15" customHeight="1" outlineLevel="1" x14ac:dyDescent="0.3">
      <c r="B75" s="225" t="s">
        <v>190</v>
      </c>
      <c r="C75" s="218"/>
      <c r="D75" s="62">
        <v>108.14</v>
      </c>
      <c r="E75" s="62">
        <v>110.16</v>
      </c>
      <c r="F75" s="62">
        <f>(6/8*98.69)+(2/8*100.48)</f>
        <v>99.137500000000003</v>
      </c>
      <c r="G75" s="62">
        <v>81.64</v>
      </c>
      <c r="H75" s="63">
        <v>99.79</v>
      </c>
      <c r="I75" s="62">
        <f>(6/8*56.02)+(2/8*49.55)</f>
        <v>54.402500000000003</v>
      </c>
      <c r="J75" s="62">
        <f>(5/8*60.24)+(3/8*61.82)</f>
        <v>60.832499999999996</v>
      </c>
      <c r="K75" s="62">
        <f>(4/7*47.86)+(3/7*46.3)</f>
        <v>47.191428571428567</v>
      </c>
      <c r="L75" s="62">
        <f>(7/8*44.69)+(1/8*44.42)</f>
        <v>44.65625</v>
      </c>
      <c r="M75" s="63">
        <v>51.68</v>
      </c>
      <c r="N75" s="230">
        <f>(6/8*34.62)+(2/8*32.27)</f>
        <v>34.032499999999999</v>
      </c>
      <c r="O75" s="230">
        <f>(5/6*46.65)+(1/6*47.37)</f>
        <v>46.769999999999996</v>
      </c>
      <c r="P75" s="230">
        <v>45.88</v>
      </c>
      <c r="Q75" s="239">
        <v>55</v>
      </c>
      <c r="R75" s="231"/>
      <c r="S75" s="239">
        <v>57</v>
      </c>
      <c r="T75" s="239">
        <v>58</v>
      </c>
      <c r="U75" s="239">
        <v>60</v>
      </c>
      <c r="V75" s="239">
        <v>60</v>
      </c>
      <c r="W75" s="228"/>
    </row>
    <row r="76" spans="2:23" s="95" customFormat="1" ht="15" customHeight="1" outlineLevel="1" x14ac:dyDescent="0.3">
      <c r="B76" s="225" t="s">
        <v>189</v>
      </c>
      <c r="C76" s="218"/>
      <c r="D76" s="62">
        <v>0</v>
      </c>
      <c r="E76" s="62">
        <v>0</v>
      </c>
      <c r="F76" s="62">
        <v>0</v>
      </c>
      <c r="G76" s="62"/>
      <c r="H76" s="63">
        <v>0</v>
      </c>
      <c r="I76" s="62">
        <v>0</v>
      </c>
      <c r="J76" s="62">
        <v>0</v>
      </c>
      <c r="K76" s="62">
        <v>0</v>
      </c>
      <c r="L76" s="62">
        <v>0</v>
      </c>
      <c r="M76" s="63">
        <v>0</v>
      </c>
      <c r="N76" s="230">
        <v>0</v>
      </c>
      <c r="O76" s="230">
        <v>0</v>
      </c>
      <c r="P76" s="230"/>
      <c r="Q76" s="239"/>
      <c r="R76" s="231"/>
      <c r="S76" s="239"/>
      <c r="T76" s="239"/>
      <c r="U76" s="239"/>
      <c r="V76" s="239"/>
      <c r="W76" s="228"/>
    </row>
    <row r="77" spans="2:23" s="95" customFormat="1" ht="15" customHeight="1" outlineLevel="1" x14ac:dyDescent="0.3">
      <c r="B77" s="296" t="s">
        <v>191</v>
      </c>
      <c r="C77" s="358"/>
      <c r="D77" s="297">
        <v>0</v>
      </c>
      <c r="E77" s="297">
        <v>66.69</v>
      </c>
      <c r="F77" s="297">
        <v>65.55</v>
      </c>
      <c r="G77" s="297">
        <v>54.02</v>
      </c>
      <c r="H77" s="298">
        <v>56.16</v>
      </c>
      <c r="I77" s="297">
        <v>32.75</v>
      </c>
      <c r="J77" s="297">
        <v>31.11</v>
      </c>
      <c r="K77" s="297">
        <v>25.18</v>
      </c>
      <c r="L77" s="297">
        <v>30.04</v>
      </c>
      <c r="M77" s="298">
        <v>29.85</v>
      </c>
      <c r="N77" s="299">
        <v>22.78</v>
      </c>
      <c r="O77" s="299">
        <v>24.13</v>
      </c>
      <c r="P77" s="299">
        <v>23.74</v>
      </c>
      <c r="Q77" s="300">
        <v>24</v>
      </c>
      <c r="R77" s="301"/>
      <c r="S77" s="300">
        <v>25</v>
      </c>
      <c r="T77" s="300">
        <v>25</v>
      </c>
      <c r="U77" s="300">
        <v>25</v>
      </c>
      <c r="V77" s="300">
        <v>25</v>
      </c>
      <c r="W77" s="302"/>
    </row>
    <row r="78" spans="2:23" s="226" customFormat="1" x14ac:dyDescent="0.3">
      <c r="B78" s="219" t="s">
        <v>241</v>
      </c>
      <c r="C78" s="218"/>
      <c r="D78" s="70"/>
      <c r="E78" s="70"/>
      <c r="F78" s="70"/>
      <c r="G78" s="70"/>
      <c r="H78" s="227"/>
      <c r="I78" s="70"/>
      <c r="J78" s="70"/>
      <c r="K78" s="70"/>
      <c r="L78" s="70"/>
      <c r="M78" s="234"/>
      <c r="N78" s="70"/>
      <c r="O78" s="70"/>
      <c r="P78" s="70"/>
      <c r="Q78" s="70"/>
      <c r="R78" s="71"/>
      <c r="S78" s="70"/>
      <c r="T78" s="70"/>
      <c r="U78" s="70"/>
      <c r="V78" s="70"/>
      <c r="W78" s="71"/>
    </row>
    <row r="79" spans="2:23" s="95" customFormat="1" ht="15" customHeight="1" outlineLevel="1" x14ac:dyDescent="0.3">
      <c r="B79" s="224" t="s">
        <v>184</v>
      </c>
      <c r="C79" s="218"/>
      <c r="D79" s="70"/>
      <c r="E79" s="70"/>
      <c r="F79" s="70"/>
      <c r="G79" s="70"/>
      <c r="H79" s="227"/>
      <c r="I79" s="70"/>
      <c r="J79" s="70"/>
      <c r="K79" s="70"/>
      <c r="L79" s="70"/>
      <c r="M79" s="71"/>
      <c r="N79" s="70"/>
      <c r="O79" s="70"/>
      <c r="P79" s="277"/>
      <c r="Q79" s="70"/>
      <c r="R79" s="71"/>
      <c r="S79" s="70"/>
      <c r="T79" s="70"/>
      <c r="U79" s="70"/>
      <c r="V79" s="70"/>
      <c r="W79" s="71"/>
    </row>
    <row r="80" spans="2:23" s="95" customFormat="1" ht="15" customHeight="1" outlineLevel="1" x14ac:dyDescent="0.3">
      <c r="B80" s="225" t="s">
        <v>242</v>
      </c>
      <c r="C80" s="218"/>
      <c r="D80" s="36">
        <f>D56*D71</f>
        <v>1517.44</v>
      </c>
      <c r="E80" s="36">
        <f t="shared" ref="E80:G80" si="46">E56*E71</f>
        <v>1776.42</v>
      </c>
      <c r="F80" s="36">
        <f t="shared" si="46"/>
        <v>1851.8000000000002</v>
      </c>
      <c r="G80" s="36">
        <f t="shared" si="46"/>
        <v>1373.1999999999998</v>
      </c>
      <c r="H80" s="26"/>
      <c r="I80" s="36">
        <f>I56*I71</f>
        <v>972.18</v>
      </c>
      <c r="J80" s="36">
        <f t="shared" ref="J80:L80" si="47">J56*J71</f>
        <v>1136.94</v>
      </c>
      <c r="K80" s="36">
        <f t="shared" si="47"/>
        <v>913.07999999999993</v>
      </c>
      <c r="L80" s="36">
        <f t="shared" si="47"/>
        <v>794.43</v>
      </c>
      <c r="M80" s="307"/>
      <c r="N80" s="36">
        <f>N56*N71</f>
        <v>588.84</v>
      </c>
      <c r="O80" s="36">
        <f t="shared" ref="O80:Q80" si="48">O56*O71</f>
        <v>805</v>
      </c>
      <c r="P80" s="36">
        <f>P56*P71</f>
        <v>908.38</v>
      </c>
      <c r="Q80" s="36">
        <f t="shared" si="48"/>
        <v>948.59999999999991</v>
      </c>
      <c r="R80" s="26"/>
      <c r="S80" s="36">
        <f>S56*S71</f>
        <v>1134.9947999999999</v>
      </c>
      <c r="T80" s="36">
        <f>T56*T71</f>
        <v>1243.7201700000001</v>
      </c>
      <c r="U80" s="36">
        <f t="shared" ref="U80:V80" si="49">U56*U71</f>
        <v>1317.0279780000001</v>
      </c>
      <c r="V80" s="36">
        <f t="shared" si="49"/>
        <v>1391.5698993000003</v>
      </c>
      <c r="W80" s="228"/>
    </row>
    <row r="81" spans="2:25" s="95" customFormat="1" ht="15" customHeight="1" outlineLevel="1" x14ac:dyDescent="0.3">
      <c r="B81" s="225" t="s">
        <v>243</v>
      </c>
      <c r="C81" s="218"/>
      <c r="D81" s="36">
        <f>D58*D72</f>
        <v>1217.4299999999998</v>
      </c>
      <c r="E81" s="36">
        <f t="shared" ref="E81:G81" si="50">E58*E72</f>
        <v>990.08</v>
      </c>
      <c r="F81" s="36">
        <f t="shared" si="50"/>
        <v>832.6</v>
      </c>
      <c r="G81" s="36">
        <f t="shared" si="50"/>
        <v>809.64</v>
      </c>
      <c r="H81" s="26"/>
      <c r="I81" s="36">
        <f>I58*I72</f>
        <v>639.6</v>
      </c>
      <c r="J81" s="36">
        <f t="shared" ref="J81:L81" si="51">J58*J72</f>
        <v>490.19999999999993</v>
      </c>
      <c r="K81" s="36">
        <f t="shared" si="51"/>
        <v>484.41</v>
      </c>
      <c r="L81" s="36">
        <f t="shared" si="51"/>
        <v>395.2</v>
      </c>
      <c r="M81" s="26"/>
      <c r="N81" s="36">
        <f>N58*N72</f>
        <v>367.5</v>
      </c>
      <c r="O81" s="36">
        <f t="shared" ref="O81:Q81" si="52">O58*O72</f>
        <v>320.39000000000004</v>
      </c>
      <c r="P81" s="36">
        <f t="shared" si="52"/>
        <v>434.23999999999995</v>
      </c>
      <c r="Q81" s="36">
        <f t="shared" si="52"/>
        <v>502.911</v>
      </c>
      <c r="R81" s="26"/>
      <c r="S81" s="36">
        <f>S58*S72</f>
        <v>579.57929999999999</v>
      </c>
      <c r="T81" s="36">
        <f t="shared" ref="T81:V81" si="53">T58*T72</f>
        <v>602.46159750000004</v>
      </c>
      <c r="U81" s="36">
        <f t="shared" si="53"/>
        <v>634.13655637500005</v>
      </c>
      <c r="V81" s="36">
        <f t="shared" si="53"/>
        <v>702.7102096875002</v>
      </c>
      <c r="W81" s="228"/>
    </row>
    <row r="82" spans="2:25" s="95" customFormat="1" ht="15" customHeight="1" outlineLevel="1" x14ac:dyDescent="0.3">
      <c r="B82" s="225" t="s">
        <v>244</v>
      </c>
      <c r="C82" s="218"/>
      <c r="D82" s="36">
        <f>D60*D73</f>
        <v>390.15000000000003</v>
      </c>
      <c r="E82" s="36">
        <f t="shared" ref="E82:G82" si="54">E60*E73</f>
        <v>411.29</v>
      </c>
      <c r="F82" s="36">
        <f t="shared" si="54"/>
        <v>386.21</v>
      </c>
      <c r="G82" s="36">
        <f t="shared" si="54"/>
        <v>330.84000000000003</v>
      </c>
      <c r="H82" s="26"/>
      <c r="I82" s="36">
        <f>I60*I73</f>
        <v>207.48</v>
      </c>
      <c r="J82" s="36">
        <f t="shared" ref="J82:L82" si="55">J60*J73</f>
        <v>215.76</v>
      </c>
      <c r="K82" s="36">
        <f t="shared" si="55"/>
        <v>174.13</v>
      </c>
      <c r="L82" s="36">
        <f t="shared" si="55"/>
        <v>168.6</v>
      </c>
      <c r="M82" s="26"/>
      <c r="N82" s="36">
        <f>N60*N73</f>
        <v>164.78</v>
      </c>
      <c r="O82" s="36">
        <f t="shared" ref="O82:Q82" si="56">O60*O73</f>
        <v>233.04000000000002</v>
      </c>
      <c r="P82" s="36">
        <f t="shared" si="56"/>
        <v>207.57000000000002</v>
      </c>
      <c r="Q82" s="36">
        <f t="shared" si="56"/>
        <v>171</v>
      </c>
      <c r="R82" s="26"/>
      <c r="S82" s="36">
        <f>S60*S73</f>
        <v>198</v>
      </c>
      <c r="T82" s="36">
        <f t="shared" ref="T82:V82" si="57">T60*T73</f>
        <v>207.90000000000003</v>
      </c>
      <c r="U82" s="36">
        <f t="shared" si="57"/>
        <v>218.29500000000002</v>
      </c>
      <c r="V82" s="36">
        <f t="shared" si="57"/>
        <v>229.20975000000004</v>
      </c>
      <c r="W82" s="228"/>
    </row>
    <row r="83" spans="2:25" s="95" customFormat="1" ht="15" customHeight="1" outlineLevel="1" x14ac:dyDescent="0.3">
      <c r="B83" s="224" t="s">
        <v>183</v>
      </c>
      <c r="C83" s="218"/>
      <c r="D83" s="308"/>
      <c r="E83" s="308"/>
      <c r="F83" s="308"/>
      <c r="G83" s="308"/>
      <c r="H83" s="227"/>
      <c r="I83" s="308"/>
      <c r="J83" s="308"/>
      <c r="K83" s="308"/>
      <c r="L83" s="308"/>
      <c r="M83" s="26"/>
      <c r="N83" s="308"/>
      <c r="O83" s="308"/>
      <c r="P83" s="308"/>
      <c r="Q83" s="308"/>
      <c r="R83" s="227"/>
      <c r="S83" s="308"/>
      <c r="T83" s="308"/>
      <c r="U83" s="308"/>
      <c r="V83" s="308"/>
      <c r="W83" s="228"/>
    </row>
    <row r="84" spans="2:25" s="95" customFormat="1" ht="15" customHeight="1" outlineLevel="1" x14ac:dyDescent="0.3">
      <c r="B84" s="225" t="s">
        <v>242</v>
      </c>
      <c r="C84" s="218"/>
      <c r="D84" s="36">
        <f>D63*D75</f>
        <v>865.12</v>
      </c>
      <c r="E84" s="36">
        <f t="shared" ref="E84:G84" si="58">E63*E75</f>
        <v>991.43999999999994</v>
      </c>
      <c r="F84" s="36">
        <f t="shared" si="58"/>
        <v>793.1</v>
      </c>
      <c r="G84" s="36">
        <f t="shared" si="58"/>
        <v>571.48</v>
      </c>
      <c r="H84" s="26"/>
      <c r="I84" s="36">
        <f>I63*I75</f>
        <v>435.22</v>
      </c>
      <c r="J84" s="36">
        <f t="shared" ref="J84:L84" si="59">J63*J75</f>
        <v>486.65999999999997</v>
      </c>
      <c r="K84" s="36">
        <f t="shared" si="59"/>
        <v>330.34</v>
      </c>
      <c r="L84" s="36">
        <f t="shared" si="59"/>
        <v>357.25</v>
      </c>
      <c r="M84" s="26"/>
      <c r="N84" s="36">
        <f>N63*N75</f>
        <v>272.26</v>
      </c>
      <c r="O84" s="36">
        <f t="shared" ref="O84:Q84" si="60">O63*O75</f>
        <v>280.62</v>
      </c>
      <c r="P84" s="36">
        <f t="shared" si="60"/>
        <v>367.04</v>
      </c>
      <c r="Q84" s="36">
        <f t="shared" si="60"/>
        <v>420.75</v>
      </c>
      <c r="R84" s="26"/>
      <c r="S84" s="36">
        <f>S63*S75</f>
        <v>479.65500000000003</v>
      </c>
      <c r="T84" s="36">
        <f t="shared" ref="T84:V84" si="61">T63*T75</f>
        <v>536.87700000000018</v>
      </c>
      <c r="U84" s="36">
        <f t="shared" si="61"/>
        <v>583.15950000000021</v>
      </c>
      <c r="V84" s="36">
        <f t="shared" si="61"/>
        <v>612.31747500000017</v>
      </c>
      <c r="W84" s="228"/>
    </row>
    <row r="85" spans="2:25" s="95" customFormat="1" ht="15" customHeight="1" outlineLevel="1" x14ac:dyDescent="0.3">
      <c r="B85" s="225" t="s">
        <v>243</v>
      </c>
      <c r="C85" s="218"/>
      <c r="D85" s="36">
        <f>D65*D76</f>
        <v>0</v>
      </c>
      <c r="E85" s="36">
        <f t="shared" ref="E85:G85" si="62">E65*E76</f>
        <v>0</v>
      </c>
      <c r="F85" s="36">
        <f t="shared" si="62"/>
        <v>0</v>
      </c>
      <c r="G85" s="36">
        <f t="shared" si="62"/>
        <v>0</v>
      </c>
      <c r="H85" s="26"/>
      <c r="I85" s="36">
        <f>I65*I76</f>
        <v>0</v>
      </c>
      <c r="J85" s="36">
        <f t="shared" ref="J85:L85" si="63">J65*J76</f>
        <v>0</v>
      </c>
      <c r="K85" s="36">
        <f t="shared" si="63"/>
        <v>0</v>
      </c>
      <c r="L85" s="36">
        <f t="shared" si="63"/>
        <v>0</v>
      </c>
      <c r="M85" s="26"/>
      <c r="N85" s="36">
        <f>N65*N76</f>
        <v>0</v>
      </c>
      <c r="O85" s="36">
        <f t="shared" ref="O85:Q85" si="64">O65*O76</f>
        <v>0</v>
      </c>
      <c r="P85" s="36">
        <f t="shared" si="64"/>
        <v>0</v>
      </c>
      <c r="Q85" s="36">
        <f t="shared" si="64"/>
        <v>0</v>
      </c>
      <c r="R85" s="26"/>
      <c r="S85" s="36">
        <f>S65*S76</f>
        <v>0</v>
      </c>
      <c r="T85" s="36">
        <f t="shared" ref="T85:V85" si="65">T65*T76</f>
        <v>0</v>
      </c>
      <c r="U85" s="36">
        <f t="shared" si="65"/>
        <v>0</v>
      </c>
      <c r="V85" s="36">
        <f t="shared" si="65"/>
        <v>0</v>
      </c>
      <c r="W85" s="228"/>
    </row>
    <row r="86" spans="2:25" s="95" customFormat="1" ht="15" customHeight="1" outlineLevel="1" x14ac:dyDescent="0.3">
      <c r="B86" s="296" t="s">
        <v>244</v>
      </c>
      <c r="C86" s="358"/>
      <c r="D86" s="47">
        <f>D67*D77</f>
        <v>0</v>
      </c>
      <c r="E86" s="47">
        <f t="shared" ref="E86:G86" si="66">E67*E77</f>
        <v>0</v>
      </c>
      <c r="F86" s="47">
        <f t="shared" si="66"/>
        <v>0</v>
      </c>
      <c r="G86" s="47">
        <f t="shared" si="66"/>
        <v>54.02</v>
      </c>
      <c r="H86" s="39"/>
      <c r="I86" s="47">
        <f>I67*I77</f>
        <v>32.75</v>
      </c>
      <c r="J86" s="47">
        <f t="shared" ref="J86:L86" si="67">J67*J77</f>
        <v>0</v>
      </c>
      <c r="K86" s="47">
        <f t="shared" si="67"/>
        <v>25.18</v>
      </c>
      <c r="L86" s="47">
        <f t="shared" si="67"/>
        <v>0</v>
      </c>
      <c r="M86" s="39"/>
      <c r="N86" s="47">
        <f>N67*N77</f>
        <v>0</v>
      </c>
      <c r="O86" s="47">
        <f t="shared" ref="O86:Q86" si="68">O67*O77</f>
        <v>24.13</v>
      </c>
      <c r="P86" s="47">
        <f t="shared" si="68"/>
        <v>0</v>
      </c>
      <c r="Q86" s="47">
        <f t="shared" si="68"/>
        <v>24</v>
      </c>
      <c r="R86" s="39"/>
      <c r="S86" s="47">
        <f>S67*S77</f>
        <v>25</v>
      </c>
      <c r="T86" s="47">
        <f t="shared" ref="T86:V86" si="69">T67*T77</f>
        <v>25</v>
      </c>
      <c r="U86" s="47">
        <f t="shared" si="69"/>
        <v>25</v>
      </c>
      <c r="V86" s="47">
        <f t="shared" si="69"/>
        <v>25</v>
      </c>
      <c r="W86" s="302"/>
    </row>
    <row r="87" spans="2:25" s="95" customFormat="1" ht="15" customHeight="1" outlineLevel="1" x14ac:dyDescent="0.3">
      <c r="B87" s="310" t="s">
        <v>245</v>
      </c>
      <c r="C87" s="359"/>
      <c r="D87" s="311">
        <v>36.6</v>
      </c>
      <c r="E87" s="311">
        <v>-62.2</v>
      </c>
      <c r="F87" s="311">
        <v>26.8</v>
      </c>
      <c r="G87" s="311">
        <v>5</v>
      </c>
      <c r="H87" s="312"/>
      <c r="I87" s="311">
        <v>4.8000000000000007</v>
      </c>
      <c r="J87" s="311">
        <v>2</v>
      </c>
      <c r="K87" s="311">
        <v>-31.2</v>
      </c>
      <c r="L87" s="311">
        <v>24.825000000000024</v>
      </c>
      <c r="M87" s="312"/>
      <c r="N87" s="311">
        <v>1</v>
      </c>
      <c r="O87" s="311">
        <v>17</v>
      </c>
      <c r="P87" s="311">
        <v>-16</v>
      </c>
      <c r="Q87" s="313">
        <v>0</v>
      </c>
      <c r="R87" s="312"/>
      <c r="S87" s="313">
        <v>0</v>
      </c>
      <c r="T87" s="313">
        <v>0</v>
      </c>
      <c r="U87" s="313">
        <v>0</v>
      </c>
      <c r="V87" s="313">
        <v>0</v>
      </c>
      <c r="W87" s="314"/>
    </row>
    <row r="88" spans="2:25" s="50" customFormat="1" ht="17.399999999999999" customHeight="1" x14ac:dyDescent="0.3">
      <c r="B88" s="378" t="s">
        <v>46</v>
      </c>
      <c r="C88" s="379"/>
      <c r="D88" s="303"/>
      <c r="E88" s="303"/>
      <c r="F88" s="303"/>
      <c r="G88" s="303"/>
      <c r="H88" s="304"/>
      <c r="I88" s="305"/>
      <c r="J88" s="305"/>
      <c r="K88" s="305"/>
      <c r="L88" s="305"/>
      <c r="M88" s="304"/>
      <c r="N88" s="305"/>
      <c r="O88" s="305"/>
      <c r="P88" s="305"/>
      <c r="Q88" s="305"/>
      <c r="R88" s="304"/>
      <c r="S88" s="305"/>
      <c r="T88" s="305"/>
      <c r="U88" s="305"/>
      <c r="V88" s="305"/>
      <c r="W88" s="304"/>
      <c r="Y88" s="60"/>
    </row>
    <row r="89" spans="2:25" s="45" customFormat="1" outlineLevel="1" x14ac:dyDescent="0.3">
      <c r="B89" s="329" t="s">
        <v>246</v>
      </c>
      <c r="C89" s="330"/>
      <c r="D89" s="25">
        <f>D18/D11</f>
        <v>0.12912541254125412</v>
      </c>
      <c r="E89" s="25">
        <f t="shared" ref="E89:N89" si="70">E18/E11</f>
        <v>0.10092421441774492</v>
      </c>
      <c r="F89" s="25">
        <f t="shared" si="70"/>
        <v>0.10428517254455821</v>
      </c>
      <c r="G89" s="25">
        <f t="shared" si="70"/>
        <v>0.15640766902119072</v>
      </c>
      <c r="H89" s="34">
        <f t="shared" si="70"/>
        <v>0.12012720558063192</v>
      </c>
      <c r="I89" s="25">
        <f t="shared" si="70"/>
        <v>0.20859760394644117</v>
      </c>
      <c r="J89" s="25">
        <f t="shared" si="70"/>
        <v>0.13985148514851486</v>
      </c>
      <c r="K89" s="25">
        <f t="shared" si="70"/>
        <v>0.21318144833197722</v>
      </c>
      <c r="L89" s="25">
        <f t="shared" si="70"/>
        <v>0.19896193771626297</v>
      </c>
      <c r="M89" s="34">
        <f t="shared" si="70"/>
        <v>0.18708487084870848</v>
      </c>
      <c r="N89" s="25">
        <f t="shared" si="70"/>
        <v>0.24470588235294119</v>
      </c>
      <c r="O89" s="25">
        <f>O18/O11</f>
        <v>0.17955555555555555</v>
      </c>
      <c r="P89" s="25">
        <f>P18/P11</f>
        <v>0.15980629539951574</v>
      </c>
      <c r="Q89" s="27">
        <v>0.15</v>
      </c>
      <c r="R89" s="34"/>
      <c r="S89" s="27">
        <v>0.14000000000000001</v>
      </c>
      <c r="T89" s="27">
        <v>0.12</v>
      </c>
      <c r="U89" s="357">
        <v>0.1</v>
      </c>
      <c r="V89" s="27">
        <v>0.1</v>
      </c>
      <c r="W89" s="34"/>
      <c r="Y89" s="60"/>
    </row>
    <row r="90" spans="2:25" s="50" customFormat="1" outlineLevel="1" x14ac:dyDescent="0.3">
      <c r="B90" s="329" t="s">
        <v>247</v>
      </c>
      <c r="C90" s="330"/>
      <c r="D90" s="25">
        <f>D19/D11</f>
        <v>0.10973597359735973</v>
      </c>
      <c r="E90" s="25">
        <f t="shared" ref="E90:N90" si="71">E19/E11</f>
        <v>0.10388170055452865</v>
      </c>
      <c r="F90" s="25">
        <f t="shared" si="71"/>
        <v>0.12210845657944634</v>
      </c>
      <c r="G90" s="25">
        <f t="shared" si="71"/>
        <v>0.15893037336024218</v>
      </c>
      <c r="H90" s="34">
        <f t="shared" si="71"/>
        <v>0.12146081247435371</v>
      </c>
      <c r="I90" s="25">
        <f t="shared" si="71"/>
        <v>0.21494009866102889</v>
      </c>
      <c r="J90" s="25">
        <f t="shared" si="71"/>
        <v>0.17512376237623761</v>
      </c>
      <c r="K90" s="25">
        <f t="shared" si="71"/>
        <v>0.22050447518307567</v>
      </c>
      <c r="L90" s="25">
        <f t="shared" si="71"/>
        <v>0.22318339100346021</v>
      </c>
      <c r="M90" s="34">
        <f t="shared" si="71"/>
        <v>0.20608856088560887</v>
      </c>
      <c r="N90" s="25">
        <f t="shared" si="71"/>
        <v>0.2847058823529412</v>
      </c>
      <c r="O90" s="25">
        <f>O19/O11</f>
        <v>0.21866666666666668</v>
      </c>
      <c r="P90" s="25">
        <f>P19/P11</f>
        <v>0.20661824051654559</v>
      </c>
      <c r="Q90" s="27">
        <v>0.18</v>
      </c>
      <c r="R90" s="34"/>
      <c r="S90" s="27">
        <v>0.13</v>
      </c>
      <c r="T90" s="27">
        <v>0.13</v>
      </c>
      <c r="U90" s="27">
        <v>0.1</v>
      </c>
      <c r="V90" s="27">
        <v>0.1</v>
      </c>
      <c r="W90" s="34"/>
      <c r="Y90" s="60"/>
    </row>
    <row r="91" spans="2:25" s="50" customFormat="1" outlineLevel="1" x14ac:dyDescent="0.3">
      <c r="B91" s="329" t="s">
        <v>248</v>
      </c>
      <c r="C91" s="330"/>
      <c r="D91" s="25">
        <f>D20/D11</f>
        <v>0.12334983498349834</v>
      </c>
      <c r="E91" s="25">
        <f t="shared" ref="E91:N91" si="72">E20/E11</f>
        <v>0.1855822550831793</v>
      </c>
      <c r="F91" s="25">
        <f t="shared" si="72"/>
        <v>7.5464543041334847E-2</v>
      </c>
      <c r="G91" s="25">
        <f t="shared" si="72"/>
        <v>0.32240161453077698</v>
      </c>
      <c r="H91" s="34">
        <f t="shared" si="72"/>
        <v>0.16813705375461632</v>
      </c>
      <c r="I91" s="25">
        <f t="shared" si="72"/>
        <v>0.7632135306553911</v>
      </c>
      <c r="J91" s="25">
        <f t="shared" si="72"/>
        <v>6.3737623762376239E-2</v>
      </c>
      <c r="K91" s="25">
        <f t="shared" si="72"/>
        <v>0.87388120423108218</v>
      </c>
      <c r="L91" s="25">
        <f t="shared" si="72"/>
        <v>0.33217993079584773</v>
      </c>
      <c r="M91" s="34">
        <f t="shared" si="72"/>
        <v>0.48782287822878229</v>
      </c>
      <c r="N91" s="25">
        <f t="shared" si="72"/>
        <v>0.14823529411764705</v>
      </c>
      <c r="O91" s="25">
        <f>O20/O11</f>
        <v>6.7555555555555549E-2</v>
      </c>
      <c r="P91" s="25">
        <f>P20/P11</f>
        <v>0.24535916061339791</v>
      </c>
      <c r="Q91" s="27">
        <v>6.5000000000000002E-2</v>
      </c>
      <c r="R91" s="34"/>
      <c r="S91" s="27">
        <v>0.1</v>
      </c>
      <c r="T91" s="27">
        <v>0.1</v>
      </c>
      <c r="U91" s="27">
        <v>0.15</v>
      </c>
      <c r="V91" s="27">
        <v>0.15</v>
      </c>
      <c r="W91" s="34"/>
      <c r="Y91" s="60"/>
    </row>
    <row r="92" spans="2:25" s="50" customFormat="1" outlineLevel="1" x14ac:dyDescent="0.3">
      <c r="B92" s="329" t="s">
        <v>198</v>
      </c>
      <c r="C92" s="330"/>
      <c r="D92" s="25">
        <f t="shared" ref="D92:N92" si="73">D21/D16</f>
        <v>4.3121149897330596E-2</v>
      </c>
      <c r="E92" s="25">
        <f t="shared" si="73"/>
        <v>5.6318990763685517E-2</v>
      </c>
      <c r="F92" s="25">
        <f t="shared" si="73"/>
        <v>5.3692614770459085E-2</v>
      </c>
      <c r="G92" s="25">
        <f t="shared" si="73"/>
        <v>8.1523449795404476E-2</v>
      </c>
      <c r="H92" s="34">
        <f t="shared" si="73"/>
        <v>5.576610720086627E-2</v>
      </c>
      <c r="I92" s="25">
        <f t="shared" si="73"/>
        <v>0.10943558810857389</v>
      </c>
      <c r="J92" s="25">
        <f t="shared" si="73"/>
        <v>9.6737481031866468E-2</v>
      </c>
      <c r="K92" s="25">
        <f t="shared" si="73"/>
        <v>0.17120853080568721</v>
      </c>
      <c r="L92" s="25">
        <f t="shared" si="73"/>
        <v>0.12469556746225037</v>
      </c>
      <c r="M92" s="34">
        <f t="shared" si="73"/>
        <v>0.12117728213382387</v>
      </c>
      <c r="N92" s="25">
        <f t="shared" si="73"/>
        <v>0.12843488649940263</v>
      </c>
      <c r="O92" s="25">
        <f>O21/O16</f>
        <v>0.13159268929503917</v>
      </c>
      <c r="P92" s="25">
        <f>P21/P16</f>
        <v>0.15372424722662439</v>
      </c>
      <c r="Q92" s="27">
        <v>0.125</v>
      </c>
      <c r="R92" s="34"/>
      <c r="S92" s="27">
        <v>9.1999999999999998E-2</v>
      </c>
      <c r="T92" s="27">
        <v>8.2000000000000003E-2</v>
      </c>
      <c r="U92" s="27">
        <v>5.5E-2</v>
      </c>
      <c r="V92" s="27">
        <v>4.4999999999999998E-2</v>
      </c>
      <c r="W92" s="34"/>
      <c r="X92" s="73"/>
      <c r="Y92" s="244"/>
    </row>
    <row r="93" spans="2:25" s="45" customFormat="1" outlineLevel="1" x14ac:dyDescent="0.3">
      <c r="B93" s="329" t="s">
        <v>199</v>
      </c>
      <c r="C93" s="330"/>
      <c r="D93" s="25">
        <f t="shared" ref="D93:O93" si="74">D22/D16</f>
        <v>5.0992470910335388E-2</v>
      </c>
      <c r="E93" s="25">
        <f t="shared" si="74"/>
        <v>6.870916873169633E-2</v>
      </c>
      <c r="F93" s="25">
        <f t="shared" si="74"/>
        <v>7.6047904191616764E-2</v>
      </c>
      <c r="G93" s="25">
        <f t="shared" si="74"/>
        <v>0.10450110166824048</v>
      </c>
      <c r="H93" s="34">
        <f t="shared" si="74"/>
        <v>7.1250676773145644E-2</v>
      </c>
      <c r="I93" s="25">
        <f t="shared" si="74"/>
        <v>0.13227057302886686</v>
      </c>
      <c r="J93" s="25">
        <f t="shared" si="74"/>
        <v>0.1054628224582701</v>
      </c>
      <c r="K93" s="25">
        <f t="shared" si="74"/>
        <v>0.20438388625592416</v>
      </c>
      <c r="L93" s="25">
        <f t="shared" si="74"/>
        <v>0.11982464685825621</v>
      </c>
      <c r="M93" s="34">
        <f t="shared" si="74"/>
        <v>0.13520349505633478</v>
      </c>
      <c r="N93" s="25">
        <f t="shared" si="74"/>
        <v>0.26821983273596178</v>
      </c>
      <c r="O93" s="25">
        <f t="shared" si="74"/>
        <v>0.15926892950391644</v>
      </c>
      <c r="P93" s="25">
        <f t="shared" ref="P93" si="75">P22/P16</f>
        <v>0.1912308505018489</v>
      </c>
      <c r="Q93" s="27">
        <v>0.1009</v>
      </c>
      <c r="R93" s="34"/>
      <c r="S93" s="27">
        <v>0.1</v>
      </c>
      <c r="T93" s="27">
        <v>0.1</v>
      </c>
      <c r="U93" s="27">
        <v>0.1</v>
      </c>
      <c r="V93" s="27">
        <v>0.1</v>
      </c>
      <c r="W93" s="34"/>
      <c r="Y93" s="60"/>
    </row>
    <row r="94" spans="2:25" s="50" customFormat="1" outlineLevel="1" x14ac:dyDescent="0.3">
      <c r="B94" s="329" t="s">
        <v>200</v>
      </c>
      <c r="C94" s="360"/>
      <c r="D94" s="25">
        <f t="shared" ref="D94:O94" si="76">D23/D16</f>
        <v>0.19233401779603013</v>
      </c>
      <c r="E94" s="25">
        <f t="shared" si="76"/>
        <v>0.23608920928136967</v>
      </c>
      <c r="F94" s="25">
        <f t="shared" si="76"/>
        <v>0.23213572854291417</v>
      </c>
      <c r="G94" s="25">
        <f t="shared" si="76"/>
        <v>0.38243626062322944</v>
      </c>
      <c r="H94" s="34">
        <f t="shared" si="76"/>
        <v>0.24634542501353546</v>
      </c>
      <c r="I94" s="25">
        <f t="shared" si="76"/>
        <v>0.54114605773373547</v>
      </c>
      <c r="J94" s="25">
        <f t="shared" si="76"/>
        <v>0.460546282245827</v>
      </c>
      <c r="K94" s="25">
        <f t="shared" si="76"/>
        <v>0.65817535545023698</v>
      </c>
      <c r="L94" s="25">
        <f t="shared" si="76"/>
        <v>0.49780808572820262</v>
      </c>
      <c r="M94" s="34">
        <f t="shared" si="76"/>
        <v>0.52920211542883422</v>
      </c>
      <c r="N94" s="25">
        <f t="shared" si="76"/>
        <v>0.68637992831541217</v>
      </c>
      <c r="O94" s="25">
        <f t="shared" si="76"/>
        <v>0.51383812010443863</v>
      </c>
      <c r="P94" s="25">
        <f t="shared" ref="P94" si="77">P23/P16</f>
        <v>0.56471209720021132</v>
      </c>
      <c r="Q94" s="27">
        <v>0.45</v>
      </c>
      <c r="R94" s="34"/>
      <c r="S94" s="27">
        <v>0.45</v>
      </c>
      <c r="T94" s="27">
        <v>0.45</v>
      </c>
      <c r="U94" s="27">
        <v>0.44</v>
      </c>
      <c r="V94" s="27">
        <v>0.44</v>
      </c>
      <c r="W94" s="34"/>
      <c r="Y94" s="60"/>
    </row>
    <row r="95" spans="2:25" s="50" customFormat="1" outlineLevel="1" x14ac:dyDescent="0.3">
      <c r="B95" s="329" t="s">
        <v>202</v>
      </c>
      <c r="C95" s="330"/>
      <c r="D95" s="25">
        <f t="shared" ref="D95:O95" si="78">D24/D16</f>
        <v>5.3730321697467491E-2</v>
      </c>
      <c r="E95" s="25">
        <f t="shared" si="78"/>
        <v>8.1324622662761886E-2</v>
      </c>
      <c r="F95" s="25">
        <f t="shared" si="78"/>
        <v>6.1077844311377243E-2</v>
      </c>
      <c r="G95" s="25">
        <f t="shared" si="78"/>
        <v>8.2782499213094107E-2</v>
      </c>
      <c r="H95" s="34">
        <f t="shared" si="78"/>
        <v>6.7352463454250139E-2</v>
      </c>
      <c r="I95" s="25">
        <f t="shared" si="78"/>
        <v>7.8414476518741921E-2</v>
      </c>
      <c r="J95" s="25">
        <f t="shared" si="78"/>
        <v>5.7283763277693474E-2</v>
      </c>
      <c r="K95" s="25">
        <f t="shared" si="78"/>
        <v>7.5236966824644549E-2</v>
      </c>
      <c r="L95" s="25">
        <f t="shared" si="78"/>
        <v>4.5299561617145642E-2</v>
      </c>
      <c r="M95" s="34">
        <f t="shared" si="78"/>
        <v>6.3577833984824098E-2</v>
      </c>
      <c r="N95" s="25">
        <f t="shared" si="78"/>
        <v>6.9892473118279563E-2</v>
      </c>
      <c r="O95" s="25">
        <f t="shared" si="78"/>
        <v>8.1984334203655349E-2</v>
      </c>
      <c r="P95" s="25">
        <f t="shared" ref="P95" si="79">P24/P16</f>
        <v>7.8182778658214477E-2</v>
      </c>
      <c r="Q95" s="27">
        <v>7.4999999999999997E-2</v>
      </c>
      <c r="R95" s="34"/>
      <c r="S95" s="27">
        <v>7.4999999999999997E-2</v>
      </c>
      <c r="T95" s="27">
        <v>7.4999999999999997E-2</v>
      </c>
      <c r="U95" s="27">
        <v>7.4999999999999997E-2</v>
      </c>
      <c r="V95" s="27">
        <v>7.4999999999999997E-2</v>
      </c>
      <c r="W95" s="34"/>
      <c r="Y95" s="60"/>
    </row>
    <row r="96" spans="2:25" s="50" customFormat="1" outlineLevel="1" x14ac:dyDescent="0.3">
      <c r="B96" s="329" t="s">
        <v>203</v>
      </c>
      <c r="C96" s="330"/>
      <c r="D96" s="25">
        <f t="shared" ref="D96:O96" si="80">D25/D16</f>
        <v>5.1334702258726901E-4</v>
      </c>
      <c r="E96" s="25">
        <f t="shared" si="80"/>
        <v>2.635728767740482E-2</v>
      </c>
      <c r="F96" s="25">
        <f t="shared" si="80"/>
        <v>7.864271457085828E-2</v>
      </c>
      <c r="G96" s="25">
        <f t="shared" si="80"/>
        <v>0.10135347812401636</v>
      </c>
      <c r="H96" s="34">
        <f t="shared" si="80"/>
        <v>4.5262587980508931E-2</v>
      </c>
      <c r="I96" s="25">
        <f t="shared" si="80"/>
        <v>1.1990521327014219</v>
      </c>
      <c r="J96" s="25">
        <f t="shared" si="80"/>
        <v>1.1380880121396054E-2</v>
      </c>
      <c r="K96" s="25">
        <f t="shared" si="80"/>
        <v>0.4490521327014218</v>
      </c>
      <c r="L96" s="25">
        <f t="shared" si="80"/>
        <v>0.73258645884072093</v>
      </c>
      <c r="M96" s="34">
        <f t="shared" si="80"/>
        <v>0.5834674637847781</v>
      </c>
      <c r="N96" s="25">
        <f t="shared" si="80"/>
        <v>9.557945041816009E-3</v>
      </c>
      <c r="O96" s="25">
        <f t="shared" si="80"/>
        <v>9.3994778067885126E-3</v>
      </c>
      <c r="P96" s="25">
        <f t="shared" ref="P96" si="81">P25/P16</f>
        <v>1.4263074484944533E-2</v>
      </c>
      <c r="Q96" s="27">
        <f t="shared" ref="Q96:Q100" si="82">P96</f>
        <v>1.4263074484944533E-2</v>
      </c>
      <c r="R96" s="34"/>
      <c r="S96" s="27">
        <v>0.01</v>
      </c>
      <c r="T96" s="27">
        <v>0.01</v>
      </c>
      <c r="U96" s="27">
        <v>0.01</v>
      </c>
      <c r="V96" s="27">
        <v>0.01</v>
      </c>
      <c r="W96" s="34"/>
      <c r="Y96" s="60"/>
    </row>
    <row r="97" spans="2:25" s="50" customFormat="1" outlineLevel="1" x14ac:dyDescent="0.3">
      <c r="B97" s="329" t="s">
        <v>204</v>
      </c>
      <c r="C97" s="330"/>
      <c r="D97" s="25">
        <f t="shared" ref="D97:O97" si="83">D26/D16</f>
        <v>0</v>
      </c>
      <c r="E97" s="25">
        <f t="shared" si="83"/>
        <v>0</v>
      </c>
      <c r="F97" s="25">
        <f t="shared" si="83"/>
        <v>0</v>
      </c>
      <c r="G97" s="25">
        <f t="shared" si="83"/>
        <v>0</v>
      </c>
      <c r="H97" s="34">
        <f t="shared" si="83"/>
        <v>0</v>
      </c>
      <c r="I97" s="25">
        <f t="shared" si="83"/>
        <v>2.7143472641102971E-2</v>
      </c>
      <c r="J97" s="25">
        <f t="shared" si="83"/>
        <v>2.276176024279211E-3</v>
      </c>
      <c r="K97" s="25">
        <f t="shared" si="83"/>
        <v>0</v>
      </c>
      <c r="L97" s="25">
        <f t="shared" si="83"/>
        <v>9.8392596200681928E-2</v>
      </c>
      <c r="M97" s="34">
        <f t="shared" si="83"/>
        <v>3.1156587721315247E-2</v>
      </c>
      <c r="N97" s="25">
        <f t="shared" si="83"/>
        <v>9.557945041816009E-3</v>
      </c>
      <c r="O97" s="25">
        <f t="shared" si="83"/>
        <v>3.6553524804177544E-3</v>
      </c>
      <c r="P97" s="25">
        <f t="shared" ref="P97" si="84">P26/P16</f>
        <v>1.6376122556788168E-2</v>
      </c>
      <c r="Q97" s="27">
        <v>8.2000000000000007E-3</v>
      </c>
      <c r="R97" s="34"/>
      <c r="S97" s="27">
        <v>0.01</v>
      </c>
      <c r="T97" s="27">
        <v>0.01</v>
      </c>
      <c r="U97" s="27">
        <v>0.01</v>
      </c>
      <c r="V97" s="27">
        <v>0.01</v>
      </c>
      <c r="W97" s="34"/>
      <c r="Y97" s="60"/>
    </row>
    <row r="98" spans="2:25" s="50" customFormat="1" outlineLevel="1" x14ac:dyDescent="0.3">
      <c r="B98" s="329" t="s">
        <v>201</v>
      </c>
      <c r="C98" s="330"/>
      <c r="D98" s="25"/>
      <c r="E98" s="36">
        <f>AVERAGE(D30:E30)</f>
        <v>184.5</v>
      </c>
      <c r="F98" s="36">
        <f>AVERAGE(E30:F30)</f>
        <v>195</v>
      </c>
      <c r="G98" s="36">
        <f>AVERAGE(F30:G30)</f>
        <v>201.5</v>
      </c>
      <c r="H98" s="227"/>
      <c r="I98" s="36">
        <f>AVERAGE(G30:I30)</f>
        <v>395.66666666666669</v>
      </c>
      <c r="J98" s="36">
        <f>AVERAGE(I30:J30)</f>
        <v>208.5</v>
      </c>
      <c r="K98" s="36">
        <f>AVERAGE(J30:K30)</f>
        <v>200</v>
      </c>
      <c r="L98" s="36">
        <f>AVERAGE(K30:L30)</f>
        <v>204</v>
      </c>
      <c r="M98" s="227"/>
      <c r="N98" s="36">
        <f>AVERAGE(L30:N30)</f>
        <v>418</v>
      </c>
      <c r="O98" s="36">
        <f>AVERAGE(N30:O30)</f>
        <v>218.5</v>
      </c>
      <c r="P98" s="36">
        <v>220</v>
      </c>
      <c r="Q98" s="306">
        <v>210</v>
      </c>
      <c r="R98" s="227"/>
      <c r="S98" s="306">
        <v>215</v>
      </c>
      <c r="T98" s="306">
        <v>200</v>
      </c>
      <c r="U98" s="306">
        <v>200</v>
      </c>
      <c r="V98" s="306">
        <v>200</v>
      </c>
      <c r="W98" s="227"/>
      <c r="Y98" s="60"/>
    </row>
    <row r="99" spans="2:25" s="50" customFormat="1" outlineLevel="1" x14ac:dyDescent="0.3">
      <c r="B99" s="329" t="s">
        <v>205</v>
      </c>
      <c r="C99" s="330"/>
      <c r="D99" s="25">
        <f t="shared" ref="D99:O99" si="85">D32/D16</f>
        <v>7.7515400410677615E-2</v>
      </c>
      <c r="E99" s="25">
        <f t="shared" si="85"/>
        <v>7.2764136066681681E-2</v>
      </c>
      <c r="F99" s="25">
        <f t="shared" si="85"/>
        <v>-6.4471057884231533E-2</v>
      </c>
      <c r="G99" s="25">
        <f t="shared" si="85"/>
        <v>-8.0579162732137236E-2</v>
      </c>
      <c r="H99" s="34">
        <f t="shared" si="85"/>
        <v>1.0665944775311315E-2</v>
      </c>
      <c r="I99" s="25">
        <f t="shared" si="85"/>
        <v>6.5489013356311937E-2</v>
      </c>
      <c r="J99" s="25">
        <f t="shared" si="85"/>
        <v>-0.11798179059180576</v>
      </c>
      <c r="K99" s="25">
        <f t="shared" si="85"/>
        <v>0.16706161137440759</v>
      </c>
      <c r="L99" s="25">
        <f t="shared" si="85"/>
        <v>-0.10813443740867024</v>
      </c>
      <c r="M99" s="34">
        <f t="shared" si="85"/>
        <v>-1.138192687974247E-2</v>
      </c>
      <c r="N99" s="25">
        <f t="shared" si="85"/>
        <v>0.17741935483870969</v>
      </c>
      <c r="O99" s="25">
        <f t="shared" si="85"/>
        <v>0.16240208877284595</v>
      </c>
      <c r="P99" s="25">
        <f t="shared" ref="P99" si="86">P32/P16</f>
        <v>1.3206550449022716E-2</v>
      </c>
      <c r="Q99" s="27">
        <f t="shared" si="82"/>
        <v>1.3206550449022716E-2</v>
      </c>
      <c r="R99" s="34"/>
      <c r="S99" s="27">
        <v>0</v>
      </c>
      <c r="T99" s="27">
        <v>0</v>
      </c>
      <c r="U99" s="27">
        <v>0</v>
      </c>
      <c r="V99" s="27">
        <v>0</v>
      </c>
      <c r="W99" s="34"/>
      <c r="Y99" s="60"/>
    </row>
    <row r="100" spans="2:25" s="50" customFormat="1" outlineLevel="1" x14ac:dyDescent="0.3">
      <c r="B100" s="368" t="s">
        <v>206</v>
      </c>
      <c r="C100" s="369"/>
      <c r="D100" s="25">
        <f t="shared" ref="D100:O100" si="87">D33/D16</f>
        <v>1.7111567419575633E-4</v>
      </c>
      <c r="E100" s="25">
        <f t="shared" si="87"/>
        <v>-2.9285875197116468E-3</v>
      </c>
      <c r="F100" s="25">
        <f t="shared" si="87"/>
        <v>4.7904191616766467E-3</v>
      </c>
      <c r="G100" s="25">
        <f t="shared" si="87"/>
        <v>2.5180988353792886E-3</v>
      </c>
      <c r="H100" s="34">
        <f t="shared" si="87"/>
        <v>1.0828370330265296E-3</v>
      </c>
      <c r="I100" s="25">
        <f t="shared" si="87"/>
        <v>2.0249892287806978E-2</v>
      </c>
      <c r="J100" s="25">
        <f t="shared" si="87"/>
        <v>5.6904400606980271E-3</v>
      </c>
      <c r="K100" s="25">
        <f t="shared" si="87"/>
        <v>2.7843601895734597E-2</v>
      </c>
      <c r="L100" s="25">
        <f t="shared" si="87"/>
        <v>1.948368241597662E-2</v>
      </c>
      <c r="M100" s="34">
        <f t="shared" si="87"/>
        <v>1.7130374798804322E-2</v>
      </c>
      <c r="N100" s="25">
        <f t="shared" si="87"/>
        <v>0</v>
      </c>
      <c r="O100" s="25">
        <f t="shared" si="87"/>
        <v>-3.0809399477806951E-2</v>
      </c>
      <c r="P100" s="25">
        <f t="shared" ref="P100" si="88">P33/P16</f>
        <v>-1.6376122556788168E-2</v>
      </c>
      <c r="Q100" s="27">
        <f t="shared" si="82"/>
        <v>-1.6376122556788168E-2</v>
      </c>
      <c r="R100" s="34"/>
      <c r="S100" s="27">
        <f>R100</f>
        <v>0</v>
      </c>
      <c r="T100" s="27">
        <f>S100</f>
        <v>0</v>
      </c>
      <c r="U100" s="27">
        <v>-2.4E-2</v>
      </c>
      <c r="V100" s="27">
        <f>U100</f>
        <v>-2.4E-2</v>
      </c>
      <c r="W100" s="34"/>
      <c r="Y100" s="60"/>
    </row>
    <row r="101" spans="2:25" s="45" customFormat="1" outlineLevel="1" x14ac:dyDescent="0.3">
      <c r="B101" s="368" t="s">
        <v>40</v>
      </c>
      <c r="C101" s="369"/>
      <c r="D101" s="25">
        <f t="shared" ref="D101:O101" si="89">D38/D37</f>
        <v>-0.33843017329255859</v>
      </c>
      <c r="E101" s="25">
        <f t="shared" si="89"/>
        <v>0.61671469740634011</v>
      </c>
      <c r="F101" s="25">
        <f t="shared" si="89"/>
        <v>0.35343855693348364</v>
      </c>
      <c r="G101" s="25">
        <f t="shared" si="89"/>
        <v>0.22566371681415928</v>
      </c>
      <c r="H101" s="34">
        <f t="shared" si="89"/>
        <v>29.944444444444443</v>
      </c>
      <c r="I101" s="25">
        <f t="shared" si="89"/>
        <v>0.30077787381158166</v>
      </c>
      <c r="J101" s="25">
        <f t="shared" si="89"/>
        <v>0.41621621621621624</v>
      </c>
      <c r="K101" s="25">
        <f t="shared" si="89"/>
        <v>0.29801754956126097</v>
      </c>
      <c r="L101" s="25">
        <f t="shared" si="89"/>
        <v>0.29737206085753803</v>
      </c>
      <c r="M101" s="34">
        <f t="shared" si="89"/>
        <v>0.29693466818041075</v>
      </c>
      <c r="N101" s="25">
        <f t="shared" si="89"/>
        <v>0.27733526430123101</v>
      </c>
      <c r="O101" s="25">
        <f t="shared" si="89"/>
        <v>0.3394594594594596</v>
      </c>
      <c r="P101" s="25">
        <f t="shared" ref="P101" si="90">P38/P37</f>
        <v>0.25819265143992054</v>
      </c>
      <c r="Q101" s="27">
        <v>0.26</v>
      </c>
      <c r="R101" s="34"/>
      <c r="S101" s="27">
        <v>0.26</v>
      </c>
      <c r="T101" s="27">
        <v>0.26</v>
      </c>
      <c r="U101" s="27">
        <v>0.26</v>
      </c>
      <c r="V101" s="27">
        <v>0.26</v>
      </c>
      <c r="W101" s="34"/>
      <c r="Y101" s="60"/>
    </row>
    <row r="102" spans="2:25" s="45" customFormat="1" outlineLevel="1" x14ac:dyDescent="0.3">
      <c r="B102" s="368" t="s">
        <v>39</v>
      </c>
      <c r="C102" s="369"/>
      <c r="D102" s="25">
        <f t="shared" ref="D102:V102" si="91">(SUM(D11:D14)-SUM(D18,D19,D21))/SUM(D11:D14)</f>
        <v>0.80843706777316737</v>
      </c>
      <c r="E102" s="25">
        <f t="shared" si="91"/>
        <v>0.81664766248574683</v>
      </c>
      <c r="F102" s="25">
        <f t="shared" si="91"/>
        <v>0.79527186761229318</v>
      </c>
      <c r="G102" s="25">
        <f t="shared" si="91"/>
        <v>0.74167153711279954</v>
      </c>
      <c r="H102" s="34">
        <f t="shared" si="91"/>
        <v>0.79328244274809157</v>
      </c>
      <c r="I102" s="25">
        <f t="shared" si="91"/>
        <v>0.66924564796905217</v>
      </c>
      <c r="J102" s="25">
        <f t="shared" si="91"/>
        <v>0.71027682973075468</v>
      </c>
      <c r="K102" s="25">
        <f t="shared" si="91"/>
        <v>0.63139013452914794</v>
      </c>
      <c r="L102" s="25">
        <f t="shared" si="91"/>
        <v>0.63421828908554567</v>
      </c>
      <c r="M102" s="34">
        <f t="shared" si="91"/>
        <v>0.66424204090238248</v>
      </c>
      <c r="N102" s="25">
        <f t="shared" si="91"/>
        <v>0.59302325581395354</v>
      </c>
      <c r="O102" s="25">
        <f t="shared" si="91"/>
        <v>0.64735516372795965</v>
      </c>
      <c r="P102" s="25">
        <f>(SUM(P11:P14)-SUM(P18,P19,P21))/SUM(P11:P14)</f>
        <v>0.66903598400710795</v>
      </c>
      <c r="Q102" s="25">
        <f t="shared" si="91"/>
        <v>0.6870527583463274</v>
      </c>
      <c r="R102" s="34"/>
      <c r="S102" s="25">
        <f t="shared" si="91"/>
        <v>0.75149642110456794</v>
      </c>
      <c r="T102" s="25">
        <f t="shared" si="91"/>
        <v>0.76490877410465308</v>
      </c>
      <c r="U102" s="25">
        <f>(SUM(U11:U14)-SUM(U18,U19,U21))/SUM(U11:U14)</f>
        <v>0.81975881585173727</v>
      </c>
      <c r="V102" s="25">
        <f t="shared" si="91"/>
        <v>0.82863574137486384</v>
      </c>
      <c r="W102" s="34"/>
      <c r="X102" s="60"/>
      <c r="Y102" s="60"/>
    </row>
    <row r="103" spans="2:25" s="50" customFormat="1" outlineLevel="1" x14ac:dyDescent="0.3">
      <c r="B103" s="368" t="s">
        <v>47</v>
      </c>
      <c r="C103" s="369"/>
      <c r="D103" s="25">
        <f t="shared" ref="D103:V103" si="92">(SUM(D11:D14)-SUM(D18,D19,D21))/SUM(D11:D14)</f>
        <v>0.80843706777316737</v>
      </c>
      <c r="E103" s="25">
        <f t="shared" si="92"/>
        <v>0.81664766248574683</v>
      </c>
      <c r="F103" s="25">
        <f t="shared" si="92"/>
        <v>0.79527186761229318</v>
      </c>
      <c r="G103" s="25">
        <f t="shared" si="92"/>
        <v>0.74167153711279954</v>
      </c>
      <c r="H103" s="34">
        <f t="shared" si="92"/>
        <v>0.79328244274809157</v>
      </c>
      <c r="I103" s="25">
        <f t="shared" si="92"/>
        <v>0.66924564796905217</v>
      </c>
      <c r="J103" s="25">
        <f t="shared" si="92"/>
        <v>0.71027682973075468</v>
      </c>
      <c r="K103" s="25">
        <f t="shared" si="92"/>
        <v>0.63139013452914794</v>
      </c>
      <c r="L103" s="25">
        <f t="shared" si="92"/>
        <v>0.63421828908554567</v>
      </c>
      <c r="M103" s="34">
        <f t="shared" si="92"/>
        <v>0.66424204090238248</v>
      </c>
      <c r="N103" s="25">
        <f t="shared" si="92"/>
        <v>0.59302325581395354</v>
      </c>
      <c r="O103" s="25">
        <f t="shared" si="92"/>
        <v>0.64735516372795965</v>
      </c>
      <c r="P103" s="25">
        <f t="shared" ref="P103" si="93">(SUM(P11:P14)-SUM(P18,P19,P21))/SUM(P11:P14)</f>
        <v>0.66903598400710795</v>
      </c>
      <c r="Q103" s="25">
        <f t="shared" si="92"/>
        <v>0.6870527583463274</v>
      </c>
      <c r="R103" s="34"/>
      <c r="S103" s="25">
        <f t="shared" si="92"/>
        <v>0.75149642110456794</v>
      </c>
      <c r="T103" s="25">
        <f t="shared" si="92"/>
        <v>0.76490877410465308</v>
      </c>
      <c r="U103" s="25">
        <f t="shared" si="92"/>
        <v>0.81975881585173727</v>
      </c>
      <c r="V103" s="25">
        <f t="shared" si="92"/>
        <v>0.82863574137486384</v>
      </c>
      <c r="W103" s="34"/>
      <c r="Y103" s="60"/>
    </row>
    <row r="104" spans="2:25" s="50" customFormat="1" outlineLevel="1" x14ac:dyDescent="0.3">
      <c r="B104" s="329" t="s">
        <v>41</v>
      </c>
      <c r="C104" s="330"/>
      <c r="D104" s="25">
        <f t="shared" ref="D104:V104" si="94">D28/D16</f>
        <v>0.50906913073237503</v>
      </c>
      <c r="E104" s="25">
        <f t="shared" si="94"/>
        <v>0.29330930389727417</v>
      </c>
      <c r="F104" s="25">
        <f t="shared" si="94"/>
        <v>0.33952095808383231</v>
      </c>
      <c r="G104" s="25">
        <f t="shared" si="94"/>
        <v>-0.1504564054139125</v>
      </c>
      <c r="H104" s="34">
        <f t="shared" si="94"/>
        <v>0.29778018408229562</v>
      </c>
      <c r="I104" s="25">
        <f t="shared" si="94"/>
        <v>-1.8130116329168462</v>
      </c>
      <c r="J104" s="25">
        <f t="shared" si="94"/>
        <v>3.4142640364188161E-2</v>
      </c>
      <c r="K104" s="25">
        <f t="shared" si="94"/>
        <v>-1.5100710900473933</v>
      </c>
      <c r="L104" s="25">
        <f t="shared" si="94"/>
        <v>-1.0433511933755479</v>
      </c>
      <c r="M104" s="34">
        <f t="shared" si="94"/>
        <v>-1.0127615543803172</v>
      </c>
      <c r="N104" s="25">
        <f t="shared" si="94"/>
        <v>-0.5161290322580645</v>
      </c>
      <c r="O104" s="25">
        <f t="shared" si="94"/>
        <v>-0.17336814621409921</v>
      </c>
      <c r="P104" s="25">
        <f t="shared" ref="P104" si="95">P28/P16</f>
        <v>-0.41891178024300052</v>
      </c>
      <c r="Q104" s="25">
        <f t="shared" si="94"/>
        <v>1.6697726265683349E-3</v>
      </c>
      <c r="R104" s="34"/>
      <c r="S104" s="25">
        <f t="shared" si="94"/>
        <v>4.8532132624778623E-2</v>
      </c>
      <c r="T104" s="25">
        <f t="shared" si="94"/>
        <v>5.8672283746514481E-2</v>
      </c>
      <c r="U104" s="25">
        <f t="shared" si="94"/>
        <v>9.0827927740540063E-2</v>
      </c>
      <c r="V104" s="25">
        <f t="shared" si="94"/>
        <v>9.8862547406011914E-2</v>
      </c>
      <c r="W104" s="34"/>
      <c r="Y104" s="60"/>
    </row>
    <row r="105" spans="2:25" s="50" customFormat="1" outlineLevel="1" x14ac:dyDescent="0.3">
      <c r="B105" s="329" t="s">
        <v>42</v>
      </c>
      <c r="C105" s="330"/>
      <c r="D105" s="25">
        <f t="shared" ref="D105:V105" si="96">D28/D16</f>
        <v>0.50906913073237503</v>
      </c>
      <c r="E105" s="25">
        <f t="shared" si="96"/>
        <v>0.29330930389727417</v>
      </c>
      <c r="F105" s="25">
        <f t="shared" si="96"/>
        <v>0.33952095808383231</v>
      </c>
      <c r="G105" s="25">
        <f t="shared" si="96"/>
        <v>-0.1504564054139125</v>
      </c>
      <c r="H105" s="34">
        <f t="shared" si="96"/>
        <v>0.29778018408229562</v>
      </c>
      <c r="I105" s="25">
        <f t="shared" si="96"/>
        <v>-1.8130116329168462</v>
      </c>
      <c r="J105" s="25">
        <f t="shared" si="96"/>
        <v>3.4142640364188161E-2</v>
      </c>
      <c r="K105" s="25">
        <f t="shared" si="96"/>
        <v>-1.5100710900473933</v>
      </c>
      <c r="L105" s="25">
        <f t="shared" si="96"/>
        <v>-1.0433511933755479</v>
      </c>
      <c r="M105" s="34">
        <f t="shared" si="96"/>
        <v>-1.0127615543803172</v>
      </c>
      <c r="N105" s="25">
        <f t="shared" si="96"/>
        <v>-0.5161290322580645</v>
      </c>
      <c r="O105" s="25">
        <f t="shared" si="96"/>
        <v>-0.17336814621409921</v>
      </c>
      <c r="P105" s="25">
        <f t="shared" ref="P105" si="97">P28/P16</f>
        <v>-0.41891178024300052</v>
      </c>
      <c r="Q105" s="25">
        <f t="shared" si="96"/>
        <v>1.6697726265683349E-3</v>
      </c>
      <c r="R105" s="34"/>
      <c r="S105" s="25">
        <f t="shared" si="96"/>
        <v>4.8532132624778623E-2</v>
      </c>
      <c r="T105" s="25">
        <f t="shared" si="96"/>
        <v>5.8672283746514481E-2</v>
      </c>
      <c r="U105" s="25">
        <f t="shared" si="96"/>
        <v>9.0827927740540063E-2</v>
      </c>
      <c r="V105" s="25">
        <f t="shared" si="96"/>
        <v>9.8862547406011914E-2</v>
      </c>
      <c r="W105" s="34"/>
      <c r="Y105" s="60"/>
    </row>
    <row r="106" spans="2:25" s="23" customFormat="1" ht="15" customHeight="1" x14ac:dyDescent="0.3">
      <c r="B106" s="403" t="s">
        <v>48</v>
      </c>
      <c r="C106" s="404"/>
      <c r="D106" s="47"/>
      <c r="E106" s="47"/>
      <c r="F106" s="47"/>
      <c r="G106" s="46"/>
      <c r="H106" s="39"/>
      <c r="I106" s="38"/>
      <c r="J106" s="47"/>
      <c r="K106" s="47"/>
      <c r="L106" s="46"/>
      <c r="M106" s="39"/>
      <c r="N106" s="38"/>
      <c r="O106" s="47"/>
      <c r="P106" s="47"/>
      <c r="Q106" s="46"/>
      <c r="R106" s="39"/>
      <c r="S106" s="38"/>
      <c r="T106" s="47"/>
      <c r="U106" s="47"/>
      <c r="V106" s="46"/>
      <c r="W106" s="39"/>
      <c r="Y106" s="60"/>
    </row>
    <row r="107" spans="2:25" s="51" customFormat="1" ht="30" customHeight="1" outlineLevel="1" x14ac:dyDescent="0.3">
      <c r="B107" s="407" t="s">
        <v>207</v>
      </c>
      <c r="C107" s="408"/>
      <c r="D107" s="36">
        <v>-230</v>
      </c>
      <c r="E107" s="36">
        <v>-151</v>
      </c>
      <c r="F107" s="36">
        <v>175</v>
      </c>
      <c r="G107" s="36">
        <v>-162</v>
      </c>
      <c r="H107" s="26"/>
      <c r="I107" s="36">
        <v>-153</v>
      </c>
      <c r="J107" s="36">
        <v>145</v>
      </c>
      <c r="K107" s="36">
        <v>-227</v>
      </c>
      <c r="L107" s="36">
        <v>88</v>
      </c>
      <c r="M107" s="26"/>
      <c r="N107" s="36">
        <v>-255</v>
      </c>
      <c r="O107" s="36">
        <v>-234</v>
      </c>
      <c r="P107" s="36">
        <v>-56</v>
      </c>
      <c r="Q107" s="36"/>
      <c r="R107" s="26"/>
      <c r="S107" s="36"/>
      <c r="T107" s="36"/>
      <c r="U107" s="36"/>
      <c r="V107" s="36"/>
      <c r="W107" s="26"/>
      <c r="Y107" s="95"/>
    </row>
    <row r="108" spans="2:25" s="51" customFormat="1" ht="15" customHeight="1" outlineLevel="1" x14ac:dyDescent="0.3">
      <c r="B108" s="326" t="s">
        <v>208</v>
      </c>
      <c r="C108" s="327"/>
      <c r="D108" s="36">
        <v>942</v>
      </c>
      <c r="E108" s="36">
        <v>8</v>
      </c>
      <c r="F108" s="36">
        <v>647</v>
      </c>
      <c r="G108" s="36">
        <v>-192</v>
      </c>
      <c r="H108" s="26"/>
      <c r="I108" s="36">
        <v>-252</v>
      </c>
      <c r="J108" s="36">
        <v>-77</v>
      </c>
      <c r="K108" s="36">
        <v>-388</v>
      </c>
      <c r="L108" s="36">
        <v>-5</v>
      </c>
      <c r="M108" s="26"/>
      <c r="N108" s="36">
        <v>1</v>
      </c>
      <c r="O108" s="36">
        <v>-66</v>
      </c>
      <c r="P108" s="36">
        <v>-261</v>
      </c>
      <c r="Q108" s="36"/>
      <c r="R108" s="26"/>
      <c r="S108" s="36"/>
      <c r="T108" s="36"/>
      <c r="U108" s="36"/>
      <c r="V108" s="36"/>
      <c r="W108" s="26"/>
      <c r="Y108" s="95"/>
    </row>
    <row r="109" spans="2:25" s="51" customFormat="1" ht="15" customHeight="1" outlineLevel="1" x14ac:dyDescent="0.3">
      <c r="B109" s="326" t="s">
        <v>209</v>
      </c>
      <c r="C109" s="327"/>
      <c r="D109" s="36">
        <v>-2</v>
      </c>
      <c r="E109" s="36">
        <v>-75</v>
      </c>
      <c r="F109" s="36">
        <v>-249</v>
      </c>
      <c r="G109" s="36">
        <v>-346</v>
      </c>
      <c r="H109" s="26"/>
      <c r="I109" s="36">
        <v>-2353</v>
      </c>
      <c r="J109" s="36">
        <v>-20</v>
      </c>
      <c r="K109" s="36">
        <f>-479-698</f>
        <v>-1177</v>
      </c>
      <c r="L109" s="36">
        <f>-761-93</f>
        <v>-854</v>
      </c>
      <c r="M109" s="26"/>
      <c r="N109" s="36">
        <v>-10</v>
      </c>
      <c r="O109" s="36">
        <v>-11</v>
      </c>
      <c r="P109" s="36">
        <v>-17</v>
      </c>
      <c r="Q109" s="36"/>
      <c r="R109" s="26"/>
      <c r="S109" s="36"/>
      <c r="T109" s="36"/>
      <c r="U109" s="36"/>
      <c r="V109" s="36"/>
      <c r="W109" s="26"/>
      <c r="Y109" s="95"/>
    </row>
    <row r="110" spans="2:25" s="51" customFormat="1" ht="15" customHeight="1" outlineLevel="1" x14ac:dyDescent="0.3">
      <c r="B110" s="326" t="s">
        <v>210</v>
      </c>
      <c r="C110" s="327"/>
      <c r="D110" s="36">
        <v>0</v>
      </c>
      <c r="E110" s="36">
        <v>0</v>
      </c>
      <c r="F110" s="36">
        <v>0</v>
      </c>
      <c r="G110" s="36">
        <v>0</v>
      </c>
      <c r="H110" s="26"/>
      <c r="I110" s="36">
        <v>0</v>
      </c>
      <c r="J110" s="36">
        <v>0</v>
      </c>
      <c r="K110" s="36">
        <v>0</v>
      </c>
      <c r="L110" s="36">
        <v>0</v>
      </c>
      <c r="M110" s="26"/>
      <c r="N110" s="36">
        <v>-128</v>
      </c>
      <c r="O110" s="36">
        <v>-30</v>
      </c>
      <c r="P110" s="36">
        <v>-71</v>
      </c>
      <c r="Q110" s="36"/>
      <c r="R110" s="26"/>
      <c r="S110" s="36"/>
      <c r="T110" s="36"/>
      <c r="U110" s="36"/>
      <c r="V110" s="36"/>
      <c r="W110" s="26"/>
      <c r="Y110" s="95"/>
    </row>
    <row r="111" spans="2:25" s="51" customFormat="1" ht="15" customHeight="1" outlineLevel="1" x14ac:dyDescent="0.3">
      <c r="B111" s="326" t="s">
        <v>211</v>
      </c>
      <c r="C111" s="327"/>
      <c r="D111" s="36">
        <v>0</v>
      </c>
      <c r="E111" s="36">
        <v>0</v>
      </c>
      <c r="F111" s="36">
        <v>0</v>
      </c>
      <c r="G111" s="36">
        <v>0</v>
      </c>
      <c r="H111" s="26"/>
      <c r="I111" s="36">
        <v>0</v>
      </c>
      <c r="J111" s="36">
        <v>0</v>
      </c>
      <c r="K111" s="36">
        <v>0</v>
      </c>
      <c r="L111" s="36">
        <v>0</v>
      </c>
      <c r="M111" s="26"/>
      <c r="N111" s="36">
        <v>0</v>
      </c>
      <c r="O111" s="36">
        <v>-78</v>
      </c>
      <c r="P111" s="36"/>
      <c r="Q111" s="36"/>
      <c r="R111" s="26"/>
      <c r="S111" s="36"/>
      <c r="T111" s="36"/>
      <c r="U111" s="36"/>
      <c r="V111" s="36"/>
      <c r="W111" s="26"/>
      <c r="Y111" s="95"/>
    </row>
    <row r="112" spans="2:25" s="51" customFormat="1" ht="15" customHeight="1" outlineLevel="1" x14ac:dyDescent="0.3">
      <c r="B112" s="3" t="s">
        <v>223</v>
      </c>
      <c r="C112" s="327"/>
      <c r="D112" s="36">
        <v>0</v>
      </c>
      <c r="E112" s="36">
        <v>0</v>
      </c>
      <c r="F112" s="36">
        <v>0</v>
      </c>
      <c r="G112" s="36">
        <v>0</v>
      </c>
      <c r="H112" s="26"/>
      <c r="I112" s="36">
        <v>-50</v>
      </c>
      <c r="J112" s="36">
        <v>0</v>
      </c>
      <c r="K112" s="36">
        <v>0</v>
      </c>
      <c r="L112" s="36">
        <v>0</v>
      </c>
      <c r="M112" s="26"/>
      <c r="N112" s="36">
        <v>0</v>
      </c>
      <c r="O112" s="36">
        <v>0</v>
      </c>
      <c r="P112" s="36"/>
      <c r="Q112" s="36"/>
      <c r="R112" s="26"/>
      <c r="S112" s="36"/>
      <c r="T112" s="36"/>
      <c r="U112" s="36"/>
      <c r="V112" s="36"/>
      <c r="W112" s="26"/>
      <c r="Y112" s="95"/>
    </row>
    <row r="113" spans="2:25" s="51" customFormat="1" ht="15" customHeight="1" outlineLevel="1" x14ac:dyDescent="0.3">
      <c r="B113" s="326" t="s">
        <v>212</v>
      </c>
      <c r="C113" s="327"/>
      <c r="D113" s="36">
        <v>0</v>
      </c>
      <c r="E113" s="36">
        <v>0</v>
      </c>
      <c r="F113" s="36">
        <v>-14</v>
      </c>
      <c r="G113" s="36">
        <v>0</v>
      </c>
      <c r="H113" s="26"/>
      <c r="I113" s="36">
        <v>-14</v>
      </c>
      <c r="J113" s="36">
        <v>0</v>
      </c>
      <c r="K113" s="36">
        <v>0</v>
      </c>
      <c r="L113" s="36">
        <v>0</v>
      </c>
      <c r="M113" s="26"/>
      <c r="N113" s="36">
        <v>0</v>
      </c>
      <c r="O113" s="36">
        <v>35</v>
      </c>
      <c r="P113" s="36"/>
      <c r="Q113" s="36"/>
      <c r="R113" s="26"/>
      <c r="S113" s="36"/>
      <c r="T113" s="36"/>
      <c r="U113" s="36"/>
      <c r="V113" s="36"/>
      <c r="W113" s="26"/>
      <c r="Y113" s="95"/>
    </row>
    <row r="114" spans="2:25" s="51" customFormat="1" ht="15" customHeight="1" outlineLevel="1" x14ac:dyDescent="0.3">
      <c r="B114" s="326" t="s">
        <v>231</v>
      </c>
      <c r="C114" s="327"/>
      <c r="D114" s="36">
        <v>0</v>
      </c>
      <c r="E114" s="36">
        <v>-90</v>
      </c>
      <c r="F114" s="36">
        <v>0</v>
      </c>
      <c r="G114" s="36">
        <v>0</v>
      </c>
      <c r="H114" s="26"/>
      <c r="I114" s="36">
        <v>0</v>
      </c>
      <c r="J114" s="36">
        <v>0</v>
      </c>
      <c r="K114" s="36">
        <v>0</v>
      </c>
      <c r="L114" s="36">
        <v>-70</v>
      </c>
      <c r="M114" s="26"/>
      <c r="N114" s="36">
        <v>0</v>
      </c>
      <c r="O114" s="36">
        <v>0</v>
      </c>
      <c r="P114" s="36"/>
      <c r="Q114" s="36"/>
      <c r="R114" s="26"/>
      <c r="S114" s="36"/>
      <c r="T114" s="36"/>
      <c r="U114" s="36"/>
      <c r="V114" s="36"/>
      <c r="W114" s="26"/>
      <c r="Y114" s="95"/>
    </row>
    <row r="115" spans="2:25" s="51" customFormat="1" ht="15" customHeight="1" outlineLevel="1" x14ac:dyDescent="0.3">
      <c r="B115" s="326" t="s">
        <v>232</v>
      </c>
      <c r="C115" s="327"/>
      <c r="D115" s="36">
        <v>0</v>
      </c>
      <c r="E115" s="36">
        <v>0</v>
      </c>
      <c r="F115" s="36">
        <v>0</v>
      </c>
      <c r="G115" s="36">
        <v>0</v>
      </c>
      <c r="H115" s="26"/>
      <c r="I115" s="36">
        <v>0</v>
      </c>
      <c r="J115" s="36">
        <v>0</v>
      </c>
      <c r="K115" s="36">
        <v>0</v>
      </c>
      <c r="L115" s="36">
        <v>-47</v>
      </c>
      <c r="M115" s="26"/>
      <c r="N115" s="36">
        <v>0</v>
      </c>
      <c r="O115" s="36">
        <v>0</v>
      </c>
      <c r="P115" s="36"/>
      <c r="Q115" s="36"/>
      <c r="R115" s="26"/>
      <c r="S115" s="36"/>
      <c r="T115" s="36"/>
      <c r="U115" s="36"/>
      <c r="V115" s="36"/>
      <c r="W115" s="26"/>
      <c r="Y115" s="95"/>
    </row>
    <row r="116" spans="2:25" s="51" customFormat="1" ht="15" customHeight="1" outlineLevel="1" x14ac:dyDescent="0.3">
      <c r="B116" s="326" t="s">
        <v>233</v>
      </c>
      <c r="C116" s="327"/>
      <c r="D116" s="36">
        <v>0</v>
      </c>
      <c r="E116" s="36">
        <v>0</v>
      </c>
      <c r="F116" s="36">
        <v>0</v>
      </c>
      <c r="G116" s="36">
        <v>-38</v>
      </c>
      <c r="H116" s="26"/>
      <c r="I116" s="36">
        <v>0</v>
      </c>
      <c r="J116" s="36">
        <v>0</v>
      </c>
      <c r="K116" s="36">
        <v>-22</v>
      </c>
      <c r="L116" s="36">
        <v>-25</v>
      </c>
      <c r="M116" s="26"/>
      <c r="N116" s="36">
        <v>0</v>
      </c>
      <c r="O116" s="36">
        <v>0</v>
      </c>
      <c r="P116" s="36"/>
      <c r="Q116" s="36"/>
      <c r="R116" s="26"/>
      <c r="S116" s="36"/>
      <c r="T116" s="36"/>
      <c r="U116" s="36"/>
      <c r="V116" s="36"/>
      <c r="W116" s="26"/>
      <c r="Y116" s="95"/>
    </row>
    <row r="117" spans="2:25" s="51" customFormat="1" ht="15" customHeight="1" outlineLevel="1" x14ac:dyDescent="0.3">
      <c r="B117" s="326" t="s">
        <v>234</v>
      </c>
      <c r="C117" s="327"/>
      <c r="D117" s="36">
        <v>0</v>
      </c>
      <c r="E117" s="36">
        <v>0</v>
      </c>
      <c r="F117" s="36">
        <v>0</v>
      </c>
      <c r="G117" s="36">
        <v>0</v>
      </c>
      <c r="H117" s="26"/>
      <c r="I117" s="36">
        <v>0</v>
      </c>
      <c r="J117" s="36">
        <v>0</v>
      </c>
      <c r="K117" s="36">
        <v>0</v>
      </c>
      <c r="L117" s="36">
        <v>-18</v>
      </c>
      <c r="M117" s="26"/>
      <c r="N117" s="36">
        <v>0</v>
      </c>
      <c r="O117" s="36">
        <v>0</v>
      </c>
      <c r="P117" s="36"/>
      <c r="Q117" s="36"/>
      <c r="R117" s="26"/>
      <c r="S117" s="36"/>
      <c r="T117" s="36"/>
      <c r="U117" s="36"/>
      <c r="V117" s="36"/>
      <c r="W117" s="26"/>
      <c r="Y117" s="95"/>
    </row>
    <row r="118" spans="2:25" s="51" customFormat="1" ht="15" customHeight="1" outlineLevel="1" x14ac:dyDescent="0.3">
      <c r="B118" s="326" t="s">
        <v>237</v>
      </c>
      <c r="C118" s="327"/>
      <c r="D118" s="36">
        <v>0</v>
      </c>
      <c r="E118" s="36">
        <v>0</v>
      </c>
      <c r="F118" s="36">
        <v>0</v>
      </c>
      <c r="G118" s="36">
        <v>80</v>
      </c>
      <c r="H118" s="26"/>
      <c r="I118" s="36">
        <v>0</v>
      </c>
      <c r="J118" s="36">
        <v>0</v>
      </c>
      <c r="K118" s="36">
        <v>0</v>
      </c>
      <c r="L118" s="36">
        <v>0</v>
      </c>
      <c r="M118" s="26"/>
      <c r="N118" s="36">
        <v>0</v>
      </c>
      <c r="O118" s="36">
        <v>0</v>
      </c>
      <c r="P118" s="36"/>
      <c r="Q118" s="36"/>
      <c r="R118" s="26"/>
      <c r="S118" s="36"/>
      <c r="T118" s="36"/>
      <c r="U118" s="36"/>
      <c r="V118" s="36"/>
      <c r="W118" s="26"/>
      <c r="Y118" s="95"/>
    </row>
    <row r="119" spans="2:25" s="51" customFormat="1" ht="15" customHeight="1" outlineLevel="1" x14ac:dyDescent="0.3">
      <c r="B119" s="326" t="s">
        <v>236</v>
      </c>
      <c r="C119" s="327"/>
      <c r="D119" s="36">
        <v>0</v>
      </c>
      <c r="E119" s="36">
        <v>0</v>
      </c>
      <c r="F119" s="36">
        <v>0</v>
      </c>
      <c r="G119" s="36">
        <v>32</v>
      </c>
      <c r="H119" s="26"/>
      <c r="I119" s="36">
        <v>0</v>
      </c>
      <c r="J119" s="36">
        <v>0</v>
      </c>
      <c r="K119" s="36">
        <v>0</v>
      </c>
      <c r="L119" s="36">
        <v>0</v>
      </c>
      <c r="M119" s="26"/>
      <c r="N119" s="36">
        <v>0</v>
      </c>
      <c r="O119" s="36">
        <v>0</v>
      </c>
      <c r="P119" s="36"/>
      <c r="Q119" s="36"/>
      <c r="R119" s="26"/>
      <c r="S119" s="36"/>
      <c r="T119" s="36"/>
      <c r="U119" s="36"/>
      <c r="V119" s="36"/>
      <c r="W119" s="26"/>
      <c r="Y119" s="95"/>
    </row>
    <row r="120" spans="2:25" s="51" customFormat="1" ht="15" customHeight="1" outlineLevel="1" x14ac:dyDescent="0.3">
      <c r="B120" s="326" t="s">
        <v>235</v>
      </c>
      <c r="C120" s="327"/>
      <c r="D120" s="36">
        <v>0</v>
      </c>
      <c r="E120" s="36">
        <v>0</v>
      </c>
      <c r="F120" s="36">
        <v>0</v>
      </c>
      <c r="G120" s="36">
        <v>0</v>
      </c>
      <c r="H120" s="26"/>
      <c r="I120" s="36">
        <v>0</v>
      </c>
      <c r="J120" s="36">
        <v>0</v>
      </c>
      <c r="K120" s="36">
        <v>-35</v>
      </c>
      <c r="L120" s="36">
        <v>-10</v>
      </c>
      <c r="M120" s="26"/>
      <c r="N120" s="36">
        <v>0</v>
      </c>
      <c r="O120" s="36">
        <v>0</v>
      </c>
      <c r="P120" s="36"/>
      <c r="Q120" s="36"/>
      <c r="R120" s="26"/>
      <c r="S120" s="36"/>
      <c r="T120" s="36"/>
      <c r="U120" s="36"/>
      <c r="V120" s="36"/>
      <c r="W120" s="26"/>
      <c r="Y120" s="95"/>
    </row>
    <row r="121" spans="2:25" s="51" customFormat="1" ht="15" customHeight="1" outlineLevel="1" x14ac:dyDescent="0.3">
      <c r="B121" s="3" t="s">
        <v>224</v>
      </c>
      <c r="C121" s="327"/>
      <c r="D121" s="36">
        <v>-4018</v>
      </c>
      <c r="E121" s="36">
        <v>-19</v>
      </c>
      <c r="F121" s="36">
        <v>-12</v>
      </c>
      <c r="G121" s="36">
        <v>-14</v>
      </c>
      <c r="H121" s="26"/>
      <c r="I121" s="36">
        <v>-3</v>
      </c>
      <c r="J121" s="36">
        <v>0</v>
      </c>
      <c r="K121" s="36">
        <v>0</v>
      </c>
      <c r="L121" s="36">
        <v>0</v>
      </c>
      <c r="M121" s="26"/>
      <c r="N121" s="36">
        <v>0</v>
      </c>
      <c r="O121" s="36">
        <v>0</v>
      </c>
      <c r="P121" s="36"/>
      <c r="Q121" s="36"/>
      <c r="R121" s="26"/>
      <c r="S121" s="36"/>
      <c r="T121" s="36"/>
      <c r="U121" s="36"/>
      <c r="V121" s="36"/>
      <c r="W121" s="26"/>
      <c r="Y121" s="95"/>
    </row>
    <row r="122" spans="2:25" s="51" customFormat="1" ht="15" customHeight="1" outlineLevel="1" x14ac:dyDescent="0.3">
      <c r="B122" s="3" t="s">
        <v>256</v>
      </c>
      <c r="C122" s="327"/>
      <c r="D122" s="36"/>
      <c r="E122" s="36"/>
      <c r="F122" s="36"/>
      <c r="G122" s="36"/>
      <c r="H122" s="26"/>
      <c r="I122" s="36"/>
      <c r="J122" s="36"/>
      <c r="K122" s="36"/>
      <c r="L122" s="36"/>
      <c r="M122" s="26"/>
      <c r="N122" s="36"/>
      <c r="O122" s="36"/>
      <c r="P122" s="36">
        <v>25</v>
      </c>
      <c r="Q122" s="36"/>
      <c r="R122" s="26"/>
      <c r="S122" s="36"/>
      <c r="T122" s="36"/>
      <c r="U122" s="36"/>
      <c r="V122" s="36"/>
      <c r="W122" s="26"/>
      <c r="Y122" s="95"/>
    </row>
    <row r="123" spans="2:25" s="51" customFormat="1" ht="15" customHeight="1" outlineLevel="1" x14ac:dyDescent="0.45">
      <c r="B123" s="326" t="s">
        <v>213</v>
      </c>
      <c r="C123" s="327"/>
      <c r="D123" s="256">
        <v>0</v>
      </c>
      <c r="E123" s="256">
        <v>-115</v>
      </c>
      <c r="F123" s="256">
        <v>-60</v>
      </c>
      <c r="G123" s="256">
        <v>58</v>
      </c>
      <c r="H123" s="257"/>
      <c r="I123" s="256">
        <v>-78</v>
      </c>
      <c r="J123" s="256">
        <v>9</v>
      </c>
      <c r="K123" s="256">
        <v>-28</v>
      </c>
      <c r="L123" s="256">
        <v>-13</v>
      </c>
      <c r="M123" s="257"/>
      <c r="N123" s="256">
        <v>-73</v>
      </c>
      <c r="O123" s="256">
        <v>-4</v>
      </c>
      <c r="P123" s="256">
        <v>9</v>
      </c>
      <c r="Q123" s="256">
        <v>0</v>
      </c>
      <c r="R123" s="257"/>
      <c r="S123" s="256">
        <v>0</v>
      </c>
      <c r="T123" s="256">
        <v>0</v>
      </c>
      <c r="U123" s="256">
        <v>0</v>
      </c>
      <c r="V123" s="256">
        <v>0</v>
      </c>
      <c r="W123" s="257"/>
      <c r="Y123" s="95"/>
    </row>
    <row r="124" spans="2:25" s="50" customFormat="1" ht="15" customHeight="1" outlineLevel="1" x14ac:dyDescent="0.45">
      <c r="B124" s="332" t="s">
        <v>225</v>
      </c>
      <c r="C124" s="333"/>
      <c r="D124" s="260">
        <f>SUM(D107:D123)</f>
        <v>-3308</v>
      </c>
      <c r="E124" s="260">
        <f>SUM(E107:E123)</f>
        <v>-442</v>
      </c>
      <c r="F124" s="260">
        <f>SUM(F107:F123)</f>
        <v>487</v>
      </c>
      <c r="G124" s="260">
        <f>SUM(G107:G123)</f>
        <v>-582</v>
      </c>
      <c r="H124" s="33"/>
      <c r="I124" s="260">
        <f>SUM(I107:I123)</f>
        <v>-2903</v>
      </c>
      <c r="J124" s="260">
        <f>SUM(J107:J123)</f>
        <v>57</v>
      </c>
      <c r="K124" s="260">
        <f>SUM(K107:K123)</f>
        <v>-1877</v>
      </c>
      <c r="L124" s="260">
        <f>SUM(L107:L123)</f>
        <v>-954</v>
      </c>
      <c r="M124" s="33"/>
      <c r="N124" s="260">
        <f>SUM(N107:N123)</f>
        <v>-465</v>
      </c>
      <c r="O124" s="260">
        <f>SUM(O107:O123)</f>
        <v>-388</v>
      </c>
      <c r="P124" s="260">
        <f>SUM(P107:P123)</f>
        <v>-371</v>
      </c>
      <c r="Q124" s="318">
        <v>45</v>
      </c>
      <c r="R124" s="33"/>
      <c r="S124" s="318">
        <v>5</v>
      </c>
      <c r="T124" s="318">
        <v>0</v>
      </c>
      <c r="U124" s="318">
        <v>-10</v>
      </c>
      <c r="V124" s="318">
        <v>5</v>
      </c>
      <c r="W124" s="33"/>
      <c r="Y124" s="60"/>
    </row>
    <row r="125" spans="2:25" s="50" customFormat="1" ht="15" customHeight="1" outlineLevel="1" x14ac:dyDescent="0.3">
      <c r="B125" s="224" t="s">
        <v>230</v>
      </c>
      <c r="C125" s="333"/>
      <c r="D125" s="258"/>
      <c r="E125" s="258"/>
      <c r="F125" s="258"/>
      <c r="G125" s="258"/>
      <c r="H125" s="259"/>
      <c r="I125" s="258"/>
      <c r="J125" s="258"/>
      <c r="K125" s="258"/>
      <c r="L125" s="258"/>
      <c r="M125" s="259"/>
      <c r="N125" s="258"/>
      <c r="O125" s="258"/>
      <c r="P125" s="258"/>
      <c r="Q125" s="258"/>
      <c r="R125" s="259"/>
      <c r="S125" s="258"/>
      <c r="T125" s="258"/>
      <c r="U125" s="258"/>
      <c r="V125" s="258"/>
      <c r="W125" s="259"/>
      <c r="Y125" s="60"/>
    </row>
    <row r="126" spans="2:25" s="50" customFormat="1" ht="15" customHeight="1" outlineLevel="1" x14ac:dyDescent="0.3">
      <c r="B126" s="326" t="s">
        <v>226</v>
      </c>
      <c r="C126" s="333"/>
      <c r="D126" s="36">
        <f>D162+D158</f>
        <v>13569</v>
      </c>
      <c r="E126" s="36">
        <f>E162+E158</f>
        <v>13414</v>
      </c>
      <c r="F126" s="36">
        <f t="shared" ref="F126:G126" si="98">F162+F158</f>
        <v>14728</v>
      </c>
      <c r="G126" s="36">
        <f t="shared" si="98"/>
        <v>15092</v>
      </c>
      <c r="H126" s="26"/>
      <c r="I126" s="36">
        <f>I162+I158</f>
        <v>16865</v>
      </c>
      <c r="J126" s="36">
        <f>J162+J158</f>
        <v>16058</v>
      </c>
      <c r="K126" s="36">
        <f t="shared" ref="K126:L126" si="99">K162+K158</f>
        <v>15925</v>
      </c>
      <c r="L126" s="36">
        <f t="shared" si="99"/>
        <v>15668</v>
      </c>
      <c r="M126" s="26"/>
      <c r="N126" s="36">
        <f>N162+N158</f>
        <v>18751</v>
      </c>
      <c r="O126" s="36">
        <f>O162+O158</f>
        <v>15673</v>
      </c>
      <c r="P126" s="36">
        <v>15878</v>
      </c>
      <c r="Q126" s="36"/>
      <c r="R126" s="26"/>
      <c r="S126" s="36"/>
      <c r="T126" s="36"/>
      <c r="U126" s="36"/>
      <c r="V126" s="36"/>
      <c r="W126" s="26"/>
      <c r="Y126" s="60"/>
    </row>
    <row r="127" spans="2:25" s="50" customFormat="1" ht="15" customHeight="1" outlineLevel="1" x14ac:dyDescent="0.3">
      <c r="B127" s="326" t="s">
        <v>227</v>
      </c>
      <c r="C127" s="333"/>
      <c r="D127" s="36">
        <f>D139</f>
        <v>5924</v>
      </c>
      <c r="E127" s="36">
        <f>E139</f>
        <v>5365</v>
      </c>
      <c r="F127" s="36">
        <f t="shared" ref="F127:G127" si="100">F139</f>
        <v>8335</v>
      </c>
      <c r="G127" s="36">
        <f t="shared" si="100"/>
        <v>7369</v>
      </c>
      <c r="H127" s="26"/>
      <c r="I127" s="36">
        <f>I139</f>
        <v>2308</v>
      </c>
      <c r="J127" s="36">
        <f>J139</f>
        <v>2173</v>
      </c>
      <c r="K127" s="36">
        <f t="shared" ref="K127:L127" si="101">K139</f>
        <v>2072</v>
      </c>
      <c r="L127" s="36">
        <f t="shared" si="101"/>
        <v>939</v>
      </c>
      <c r="M127" s="26"/>
      <c r="N127" s="36">
        <f>N139</f>
        <v>2947</v>
      </c>
      <c r="O127" s="36">
        <f>O139</f>
        <v>1394</v>
      </c>
      <c r="P127" s="36">
        <v>3980</v>
      </c>
      <c r="Q127" s="36"/>
      <c r="R127" s="26"/>
      <c r="S127" s="36"/>
      <c r="T127" s="36"/>
      <c r="U127" s="36"/>
      <c r="V127" s="36"/>
      <c r="W127" s="26"/>
      <c r="Y127" s="60"/>
    </row>
    <row r="128" spans="2:25" s="50" customFormat="1" ht="15" customHeight="1" outlineLevel="1" x14ac:dyDescent="0.3">
      <c r="B128" s="326" t="s">
        <v>228</v>
      </c>
      <c r="C128" s="333"/>
      <c r="D128" s="36">
        <f>D126-D127</f>
        <v>7645</v>
      </c>
      <c r="E128" s="36">
        <f>E126-E127</f>
        <v>8049</v>
      </c>
      <c r="F128" s="36">
        <f t="shared" ref="F128" si="102">F126-F127</f>
        <v>6393</v>
      </c>
      <c r="G128" s="36">
        <f t="shared" ref="G128" si="103">G126-G127</f>
        <v>7723</v>
      </c>
      <c r="H128" s="26"/>
      <c r="I128" s="36">
        <f>I126-I127</f>
        <v>14557</v>
      </c>
      <c r="J128" s="36">
        <f>J126-J127</f>
        <v>13885</v>
      </c>
      <c r="K128" s="36">
        <f t="shared" ref="K128:L128" si="104">K126-K127</f>
        <v>13853</v>
      </c>
      <c r="L128" s="36">
        <f t="shared" si="104"/>
        <v>14729</v>
      </c>
      <c r="M128" s="26"/>
      <c r="N128" s="36">
        <f>N126-N127</f>
        <v>15804</v>
      </c>
      <c r="O128" s="36">
        <f>O126-O127</f>
        <v>14279</v>
      </c>
      <c r="P128" s="36">
        <f>P126-P127</f>
        <v>11898</v>
      </c>
      <c r="Q128" s="36"/>
      <c r="R128" s="26"/>
      <c r="S128" s="36"/>
      <c r="T128" s="36"/>
      <c r="U128" s="36"/>
      <c r="V128" s="36"/>
      <c r="W128" s="26"/>
      <c r="Y128" s="60"/>
    </row>
    <row r="129" spans="2:38" s="50" customFormat="1" ht="15" customHeight="1" outlineLevel="1" x14ac:dyDescent="0.45">
      <c r="B129" s="326" t="s">
        <v>141</v>
      </c>
      <c r="C129" s="333"/>
      <c r="D129" s="256">
        <f>D176</f>
        <v>20917</v>
      </c>
      <c r="E129" s="256">
        <f>E176</f>
        <v>21172</v>
      </c>
      <c r="F129" s="256">
        <f t="shared" ref="F129:G129" si="105">F176</f>
        <v>22563</v>
      </c>
      <c r="G129" s="256">
        <f t="shared" si="105"/>
        <v>22318</v>
      </c>
      <c r="H129" s="257"/>
      <c r="I129" s="256">
        <f>I176</f>
        <v>18934</v>
      </c>
      <c r="J129" s="256">
        <f>J176</f>
        <v>19359</v>
      </c>
      <c r="K129" s="256">
        <f t="shared" ref="K129:L129" si="106">K176</f>
        <v>17052</v>
      </c>
      <c r="L129" s="256">
        <f t="shared" si="106"/>
        <v>15457</v>
      </c>
      <c r="M129" s="257"/>
      <c r="N129" s="256">
        <f>N176</f>
        <v>14701</v>
      </c>
      <c r="O129" s="256">
        <f>O176</f>
        <v>14600</v>
      </c>
      <c r="P129" s="256">
        <f>15912</f>
        <v>15912</v>
      </c>
      <c r="Q129" s="256"/>
      <c r="R129" s="257"/>
      <c r="S129" s="256"/>
      <c r="T129" s="256"/>
      <c r="U129" s="256"/>
      <c r="V129" s="256"/>
      <c r="W129" s="257"/>
      <c r="Y129" s="60"/>
    </row>
    <row r="130" spans="2:38" s="50" customFormat="1" ht="15" customHeight="1" outlineLevel="1" x14ac:dyDescent="0.45">
      <c r="B130" s="261" t="s">
        <v>229</v>
      </c>
      <c r="C130" s="262"/>
      <c r="D130" s="264">
        <f>D128+D129</f>
        <v>28562</v>
      </c>
      <c r="E130" s="264">
        <f>E128+E129</f>
        <v>29221</v>
      </c>
      <c r="F130" s="264">
        <f t="shared" ref="F130" si="107">F128+F129</f>
        <v>28956</v>
      </c>
      <c r="G130" s="265">
        <f t="shared" ref="G130" si="108">G128+G129</f>
        <v>30041</v>
      </c>
      <c r="H130" s="269"/>
      <c r="I130" s="272">
        <f>I128+I129</f>
        <v>33491</v>
      </c>
      <c r="J130" s="271">
        <f>J128+J129</f>
        <v>33244</v>
      </c>
      <c r="K130" s="271">
        <f t="shared" ref="K130:L130" si="109">K128+K129</f>
        <v>30905</v>
      </c>
      <c r="L130" s="270">
        <f t="shared" si="109"/>
        <v>30186</v>
      </c>
      <c r="M130" s="269"/>
      <c r="N130" s="260">
        <f>N128+N129</f>
        <v>30505</v>
      </c>
      <c r="O130" s="264">
        <f>O128+O129</f>
        <v>28879</v>
      </c>
      <c r="P130" s="264">
        <f>P128+P129</f>
        <v>27810</v>
      </c>
      <c r="Q130" s="264"/>
      <c r="R130" s="266"/>
      <c r="S130" s="263"/>
      <c r="T130" s="264"/>
      <c r="U130" s="271"/>
      <c r="V130" s="265"/>
      <c r="W130" s="269"/>
      <c r="Y130" s="60"/>
    </row>
    <row r="131" spans="2:38" s="50" customFormat="1" ht="15" customHeight="1" outlineLevel="1" x14ac:dyDescent="0.45">
      <c r="B131" s="251"/>
      <c r="C131" s="254"/>
      <c r="D131" s="260"/>
      <c r="E131" s="260"/>
      <c r="F131" s="260"/>
      <c r="G131" s="260"/>
      <c r="H131" s="33"/>
      <c r="I131" s="260"/>
      <c r="J131" s="260"/>
      <c r="K131" s="260"/>
      <c r="L131" s="260"/>
      <c r="M131" s="33"/>
      <c r="N131" s="260"/>
      <c r="O131" s="260"/>
      <c r="P131" s="260"/>
      <c r="Q131" s="260"/>
      <c r="R131" s="33"/>
      <c r="S131" s="260"/>
      <c r="T131" s="260"/>
      <c r="U131" s="260"/>
      <c r="V131" s="260"/>
      <c r="W131" s="33"/>
      <c r="Y131" s="60"/>
    </row>
    <row r="132" spans="2:38" s="50" customFormat="1" ht="15" customHeight="1" outlineLevel="1" x14ac:dyDescent="0.45">
      <c r="B132" s="251" t="s">
        <v>238</v>
      </c>
      <c r="C132" s="254"/>
      <c r="D132" s="273">
        <f>D37+D20+D15+D23+D25+D30+D32+D31+D33+D40+D34</f>
        <v>5950</v>
      </c>
      <c r="E132" s="273">
        <f>E37+E20+E15+E23+E25+E30+E32+E31+E33+E40+E34</f>
        <v>2969</v>
      </c>
      <c r="F132" s="273">
        <f>F37+F20+F15+F23+F25+F30+F32+F31+F33+F40+F34</f>
        <v>4294</v>
      </c>
      <c r="G132" s="274">
        <f>G37+G20+G15+G23+G25+G30+G32+G31+G33+G40+G34</f>
        <v>1497</v>
      </c>
      <c r="H132" s="33"/>
      <c r="I132" s="273">
        <f>I37+I20+I15+I23+I25+I30+I32+I31+I33+I40+I34</f>
        <v>682</v>
      </c>
      <c r="J132" s="273">
        <f>J37+J20+J15+J23+J25+J30+J32+J31+J33+J40+J34</f>
        <v>1483</v>
      </c>
      <c r="K132" s="273">
        <f>K37+K20+K15+K23+K25+K30+K32+K31+K33+K40+K34</f>
        <v>-73</v>
      </c>
      <c r="L132" s="273">
        <f>L37+L20+L15+L23+L25+L30+L32+L31+L33+L40+L34</f>
        <v>513</v>
      </c>
      <c r="M132" s="33"/>
      <c r="N132" s="273">
        <f>N37+N20+N15+N23+N25+N30+N32+N31+N33+N40+N34</f>
        <v>503</v>
      </c>
      <c r="O132" s="273">
        <f>O37+O20+O15+O23+O25+O30+O32+O31+O33+O40+O34</f>
        <v>757</v>
      </c>
      <c r="P132" s="273">
        <f>P37+P20+P15+P23+P25+P30+P32+P31+P33+P40+P34</f>
        <v>332</v>
      </c>
      <c r="Q132" s="273">
        <f>Q37+Q20+Q15+Q23+Q25+Q30+Q32+Q31+Q33+Q40+Q34</f>
        <v>1274.2598788999996</v>
      </c>
      <c r="R132" s="33"/>
      <c r="S132" s="273">
        <f>S37+S20+S15+S23+S25+S30+S32+S31+S33+S40+S34</f>
        <v>1578.0290883000018</v>
      </c>
      <c r="T132" s="273">
        <f>T37+T20+T15+T23+T25+T30+T32+T31+T33+T40+T34</f>
        <v>1686.2232240775008</v>
      </c>
      <c r="U132" s="273">
        <f>U37+U20+U15+U23+U25+U30+U32+U31+U33+U40+U34</f>
        <v>1926.1407685250001</v>
      </c>
      <c r="V132" s="273">
        <f>V37+V20+V15+V23+V25+V30+V32+V31+V33+V40+V34</f>
        <v>2041.3581337353751</v>
      </c>
      <c r="W132" s="33"/>
      <c r="Y132" s="60"/>
    </row>
    <row r="133" spans="2:38" s="50" customFormat="1" ht="15" customHeight="1" outlineLevel="1" x14ac:dyDescent="0.3">
      <c r="B133" s="76" t="s">
        <v>239</v>
      </c>
      <c r="C133" s="77"/>
      <c r="D133" s="48">
        <f>D132/SUM(D11:D14)</f>
        <v>1.3715998155832181</v>
      </c>
      <c r="E133" s="48">
        <f>E132/SUM(E11:E14)</f>
        <v>0.67708095781071831</v>
      </c>
      <c r="F133" s="48">
        <f>F132/SUM(F11:F14)</f>
        <v>1.015130023640662</v>
      </c>
      <c r="G133" s="275">
        <f>G132/SUM(G11:G14)</f>
        <v>0.43746347165400351</v>
      </c>
      <c r="H133" s="276"/>
      <c r="I133" s="48">
        <f>I132/SUM(I11:I14)</f>
        <v>0.26382978723404255</v>
      </c>
      <c r="J133" s="48">
        <f>J132/SUM(J11:J14)</f>
        <v>0.56238149412210847</v>
      </c>
      <c r="K133" s="48">
        <f>K132/SUM(K11:K14)</f>
        <v>-3.2735426008968609E-2</v>
      </c>
      <c r="L133" s="48">
        <f>L132/SUM(L11:L14)</f>
        <v>0.25221238938053098</v>
      </c>
      <c r="M133" s="72"/>
      <c r="N133" s="48">
        <f>N132/SUM(N11:N14)</f>
        <v>0.30783353733170132</v>
      </c>
      <c r="O133" s="48">
        <f>O132/SUM(O11:O14)</f>
        <v>0.38136020151133504</v>
      </c>
      <c r="P133" s="48">
        <f>P132/SUM(P11:P14)</f>
        <v>0.14749000444247001</v>
      </c>
      <c r="Q133" s="48">
        <f>Q132/SUM(Q11:Q14)</f>
        <v>0.52998741802779237</v>
      </c>
      <c r="R133" s="72"/>
      <c r="S133" s="48">
        <f>S132/SUM(S11:S14)</f>
        <v>0.56649642110456822</v>
      </c>
      <c r="T133" s="48">
        <f>T132/SUM(T11:T14)</f>
        <v>0.57990877410465325</v>
      </c>
      <c r="U133" s="48">
        <f>U132/SUM(U11:U14)</f>
        <v>0.63475881585173721</v>
      </c>
      <c r="V133" s="48">
        <f>V132/SUM(V11:V14)</f>
        <v>0.6436357413748639</v>
      </c>
      <c r="W133" s="72"/>
      <c r="Y133" s="60"/>
    </row>
    <row r="134" spans="2:38" s="50" customFormat="1" ht="15" customHeight="1" x14ac:dyDescent="0.3">
      <c r="B134" s="20"/>
      <c r="C134" s="97"/>
      <c r="D134" s="36"/>
      <c r="E134" s="36"/>
      <c r="F134" s="36"/>
      <c r="G134" s="36"/>
      <c r="H134" s="36"/>
      <c r="I134" s="36"/>
      <c r="J134" s="36"/>
      <c r="K134" s="36"/>
      <c r="L134" s="36"/>
      <c r="M134" s="36"/>
      <c r="N134" s="36"/>
      <c r="O134" s="36"/>
      <c r="P134" s="36"/>
      <c r="Q134" s="36"/>
      <c r="R134" s="36"/>
      <c r="S134" s="36"/>
      <c r="T134" s="36"/>
      <c r="U134" s="36"/>
      <c r="V134" s="36"/>
      <c r="W134" s="36"/>
      <c r="X134" s="65"/>
    </row>
    <row r="135" spans="2:38" s="50" customFormat="1" ht="15.6" x14ac:dyDescent="0.3">
      <c r="B135" s="392" t="s">
        <v>60</v>
      </c>
      <c r="C135" s="393"/>
      <c r="D135" s="98"/>
      <c r="E135" s="98"/>
      <c r="F135" s="98"/>
      <c r="G135" s="98"/>
      <c r="H135" s="98"/>
      <c r="I135" s="98"/>
      <c r="J135" s="98"/>
      <c r="K135" s="98"/>
      <c r="L135" s="98"/>
      <c r="M135" s="98"/>
      <c r="N135" s="98"/>
      <c r="O135" s="98"/>
      <c r="P135" s="98"/>
      <c r="Q135" s="98"/>
      <c r="R135" s="98"/>
      <c r="S135" s="98"/>
      <c r="T135" s="98"/>
      <c r="U135" s="98"/>
      <c r="V135" s="98"/>
      <c r="W135" s="98"/>
      <c r="X135" s="98"/>
      <c r="Y135" s="98"/>
      <c r="Z135" s="98"/>
      <c r="AA135" s="98"/>
      <c r="AB135" s="98"/>
      <c r="AC135" s="98"/>
      <c r="AD135" s="98"/>
      <c r="AE135" s="98"/>
      <c r="AF135" s="98"/>
      <c r="AG135" s="98"/>
      <c r="AH135" s="98"/>
      <c r="AI135" s="98"/>
      <c r="AJ135" s="98"/>
      <c r="AK135" s="98"/>
      <c r="AL135" s="98"/>
    </row>
    <row r="136" spans="2:38" s="50" customFormat="1" hidden="1" outlineLevel="1" x14ac:dyDescent="0.3">
      <c r="B136" s="380" t="s">
        <v>0</v>
      </c>
      <c r="C136" s="381"/>
      <c r="D136" s="52" t="s">
        <v>4</v>
      </c>
      <c r="E136" s="52" t="s">
        <v>3</v>
      </c>
      <c r="F136" s="52" t="s">
        <v>2</v>
      </c>
      <c r="G136" s="52" t="s">
        <v>5</v>
      </c>
      <c r="H136" s="52" t="s">
        <v>5</v>
      </c>
      <c r="I136" s="52" t="s">
        <v>6</v>
      </c>
      <c r="J136" s="52" t="s">
        <v>7</v>
      </c>
      <c r="K136" s="52" t="s">
        <v>8</v>
      </c>
      <c r="L136" s="52" t="s">
        <v>10</v>
      </c>
      <c r="M136" s="52" t="s">
        <v>10</v>
      </c>
      <c r="N136" s="52" t="s">
        <v>11</v>
      </c>
      <c r="O136" s="164" t="s">
        <v>12</v>
      </c>
      <c r="P136" s="164" t="s">
        <v>13</v>
      </c>
    </row>
    <row r="137" spans="2:38" s="50" customFormat="1" ht="16.2" hidden="1" outlineLevel="1" x14ac:dyDescent="0.45">
      <c r="B137" s="380"/>
      <c r="C137" s="381"/>
      <c r="D137" s="53" t="s">
        <v>24</v>
      </c>
      <c r="E137" s="53" t="s">
        <v>25</v>
      </c>
      <c r="F137" s="53" t="s">
        <v>26</v>
      </c>
      <c r="G137" s="53" t="s">
        <v>27</v>
      </c>
      <c r="H137" s="53" t="s">
        <v>19</v>
      </c>
      <c r="I137" s="53" t="s">
        <v>28</v>
      </c>
      <c r="J137" s="53" t="s">
        <v>29</v>
      </c>
      <c r="K137" s="53" t="s">
        <v>38</v>
      </c>
      <c r="L137" s="53" t="s">
        <v>49</v>
      </c>
      <c r="M137" s="53" t="s">
        <v>50</v>
      </c>
      <c r="N137" s="53" t="s">
        <v>85</v>
      </c>
      <c r="O137" s="165" t="s">
        <v>86</v>
      </c>
      <c r="P137" s="165" t="s">
        <v>257</v>
      </c>
    </row>
    <row r="138" spans="2:38" s="50" customFormat="1" hidden="1" outlineLevel="1" x14ac:dyDescent="0.3">
      <c r="B138" s="372" t="s">
        <v>115</v>
      </c>
      <c r="C138" s="373"/>
      <c r="D138" s="99"/>
      <c r="E138" s="100"/>
      <c r="F138" s="100"/>
      <c r="G138" s="101"/>
      <c r="H138" s="102"/>
      <c r="I138" s="103"/>
      <c r="J138" s="104"/>
      <c r="K138" s="105"/>
      <c r="L138" s="105"/>
      <c r="M138" s="106"/>
      <c r="O138" s="338"/>
      <c r="P138" s="166"/>
    </row>
    <row r="139" spans="2:38" s="50" customFormat="1" hidden="1" outlineLevel="1" x14ac:dyDescent="0.3">
      <c r="B139" s="374" t="s">
        <v>116</v>
      </c>
      <c r="C139" s="375"/>
      <c r="D139" s="142">
        <v>5924</v>
      </c>
      <c r="E139" s="139">
        <v>5365</v>
      </c>
      <c r="F139" s="139">
        <v>8335</v>
      </c>
      <c r="G139" s="140">
        <v>7369</v>
      </c>
      <c r="H139" s="141">
        <f>G139</f>
        <v>7369</v>
      </c>
      <c r="I139" s="143">
        <v>2308</v>
      </c>
      <c r="J139" s="143">
        <v>2173</v>
      </c>
      <c r="K139" s="177">
        <v>2072</v>
      </c>
      <c r="L139" s="143">
        <v>939</v>
      </c>
      <c r="M139" s="180">
        <f>L139</f>
        <v>939</v>
      </c>
      <c r="N139" s="65">
        <v>2947</v>
      </c>
      <c r="O139" s="339">
        <v>1394</v>
      </c>
      <c r="P139" s="167">
        <v>3980</v>
      </c>
    </row>
    <row r="140" spans="2:38" s="50" customFormat="1" hidden="1" outlineLevel="1" x14ac:dyDescent="0.3">
      <c r="B140" s="390" t="s">
        <v>114</v>
      </c>
      <c r="C140" s="391"/>
      <c r="D140" s="142"/>
      <c r="E140" s="139"/>
      <c r="F140" s="139"/>
      <c r="G140" s="140"/>
      <c r="H140" s="141"/>
      <c r="I140" s="143"/>
      <c r="J140" s="143"/>
      <c r="K140" s="143"/>
      <c r="L140" s="143"/>
      <c r="M140" s="180"/>
      <c r="N140" s="65"/>
      <c r="O140" s="339"/>
      <c r="P140" s="167"/>
    </row>
    <row r="141" spans="2:38" s="50" customFormat="1" hidden="1" outlineLevel="1" x14ac:dyDescent="0.3">
      <c r="B141" s="133" t="s">
        <v>117</v>
      </c>
      <c r="C141" s="137"/>
      <c r="D141" s="142">
        <v>1674</v>
      </c>
      <c r="E141" s="139">
        <v>1484</v>
      </c>
      <c r="F141" s="139">
        <v>1350</v>
      </c>
      <c r="G141" s="140">
        <v>1118</v>
      </c>
      <c r="H141" s="141">
        <f>G141</f>
        <v>1118</v>
      </c>
      <c r="I141" s="143">
        <v>1025</v>
      </c>
      <c r="J141" s="143">
        <v>1028</v>
      </c>
      <c r="K141" s="143">
        <v>833</v>
      </c>
      <c r="L141" s="143">
        <v>652</v>
      </c>
      <c r="M141" s="180">
        <f>L141</f>
        <v>652</v>
      </c>
      <c r="N141" s="65">
        <v>633</v>
      </c>
      <c r="O141" s="339">
        <v>770</v>
      </c>
      <c r="P141" s="167">
        <v>848</v>
      </c>
      <c r="Q141" s="37"/>
    </row>
    <row r="142" spans="2:38" s="50" customFormat="1" hidden="1" outlineLevel="1" x14ac:dyDescent="0.3">
      <c r="B142" s="133" t="s">
        <v>142</v>
      </c>
      <c r="C142" s="137"/>
      <c r="D142" s="142">
        <v>1375</v>
      </c>
      <c r="E142" s="139">
        <v>1595</v>
      </c>
      <c r="F142" s="139">
        <v>1362</v>
      </c>
      <c r="G142" s="140">
        <v>1409</v>
      </c>
      <c r="H142" s="141">
        <f t="shared" ref="H142:H144" si="110">G142</f>
        <v>1409</v>
      </c>
      <c r="I142" s="143">
        <v>1149</v>
      </c>
      <c r="J142" s="143">
        <v>1574</v>
      </c>
      <c r="K142" s="143">
        <v>1636</v>
      </c>
      <c r="L142" s="143">
        <v>1817</v>
      </c>
      <c r="M142" s="180">
        <f t="shared" ref="M142" si="111">L142</f>
        <v>1817</v>
      </c>
      <c r="N142" s="65">
        <v>1759</v>
      </c>
      <c r="O142" s="339">
        <v>730</v>
      </c>
      <c r="P142" s="167">
        <v>743</v>
      </c>
      <c r="Q142" s="37"/>
    </row>
    <row r="143" spans="2:38" s="50" customFormat="1" hidden="1" outlineLevel="1" x14ac:dyDescent="0.3">
      <c r="B143" s="133" t="s">
        <v>118</v>
      </c>
      <c r="C143" s="137"/>
      <c r="D143" s="142">
        <v>691</v>
      </c>
      <c r="E143" s="139">
        <v>536</v>
      </c>
      <c r="F143" s="139">
        <v>692</v>
      </c>
      <c r="G143" s="140">
        <v>1325</v>
      </c>
      <c r="H143" s="141">
        <f t="shared" si="110"/>
        <v>1325</v>
      </c>
      <c r="I143" s="143">
        <v>683</v>
      </c>
      <c r="J143" s="143">
        <v>635</v>
      </c>
      <c r="K143" s="143">
        <v>646</v>
      </c>
      <c r="L143" s="143">
        <v>573</v>
      </c>
      <c r="M143" s="180">
        <f>L143</f>
        <v>573</v>
      </c>
      <c r="N143" s="65">
        <v>428</v>
      </c>
      <c r="O143" s="339">
        <v>318</v>
      </c>
      <c r="P143" s="167">
        <v>347</v>
      </c>
      <c r="Q143" s="37"/>
    </row>
    <row r="144" spans="2:38" s="50" customFormat="1" ht="16.2" hidden="1" outlineLevel="1" x14ac:dyDescent="0.45">
      <c r="B144" s="133" t="s">
        <v>84</v>
      </c>
      <c r="C144" s="137"/>
      <c r="D144" s="145">
        <f>SUM(D141:D143)+D139</f>
        <v>9664</v>
      </c>
      <c r="E144" s="145">
        <f>SUM(E141:E143)+E139</f>
        <v>8980</v>
      </c>
      <c r="F144" s="145">
        <f>SUM(F141:F143)+F139</f>
        <v>11739</v>
      </c>
      <c r="G144" s="146">
        <f>SUM(G141:G143)+G139</f>
        <v>11221</v>
      </c>
      <c r="H144" s="147">
        <f t="shared" si="110"/>
        <v>11221</v>
      </c>
      <c r="I144" s="149">
        <f>SUM(I141:I143)+I139</f>
        <v>5165</v>
      </c>
      <c r="J144" s="149">
        <f>SUM(J141:J143)+J139</f>
        <v>5410</v>
      </c>
      <c r="K144" s="149">
        <f>SUM(K141:K143)+K139</f>
        <v>5187</v>
      </c>
      <c r="L144" s="149">
        <f>SUM(L141:L143)+L139</f>
        <v>3981</v>
      </c>
      <c r="M144" s="181">
        <f t="shared" ref="M144" si="112">L144</f>
        <v>3981</v>
      </c>
      <c r="N144" s="168">
        <f>SUM(N141:N143)+N139</f>
        <v>5767</v>
      </c>
      <c r="O144" s="170">
        <f>SUM(O141:O143)+O139</f>
        <v>3212</v>
      </c>
      <c r="P144" s="169">
        <f>SUM(P141:P143)+P139</f>
        <v>5918</v>
      </c>
      <c r="Q144" s="37"/>
    </row>
    <row r="145" spans="2:17" s="50" customFormat="1" hidden="1" outlineLevel="1" x14ac:dyDescent="0.3">
      <c r="B145" s="136" t="s">
        <v>119</v>
      </c>
      <c r="C145" s="137"/>
      <c r="D145" s="142"/>
      <c r="E145" s="139"/>
      <c r="F145" s="139"/>
      <c r="G145" s="140"/>
      <c r="H145" s="141"/>
      <c r="I145" s="143"/>
      <c r="J145" s="143"/>
      <c r="K145" s="143"/>
      <c r="L145" s="143"/>
      <c r="M145" s="180"/>
      <c r="N145" s="168"/>
      <c r="O145" s="339"/>
      <c r="P145" s="167"/>
    </row>
    <row r="146" spans="2:17" s="50" customFormat="1" hidden="1" outlineLevel="1" x14ac:dyDescent="0.3">
      <c r="B146" s="133" t="s">
        <v>120</v>
      </c>
      <c r="C146" s="137"/>
      <c r="D146" s="142">
        <v>70573</v>
      </c>
      <c r="E146" s="139">
        <v>72529</v>
      </c>
      <c r="F146" s="139">
        <v>72677</v>
      </c>
      <c r="G146" s="140">
        <v>75107</v>
      </c>
      <c r="H146" s="141">
        <f>G146</f>
        <v>75107</v>
      </c>
      <c r="I146" s="143">
        <v>76040</v>
      </c>
      <c r="J146" s="143">
        <v>75608</v>
      </c>
      <c r="K146" s="143">
        <v>70387</v>
      </c>
      <c r="L146" s="143">
        <v>70683</v>
      </c>
      <c r="M146" s="180">
        <f>L146</f>
        <v>70683</v>
      </c>
      <c r="N146" s="65">
        <v>71541</v>
      </c>
      <c r="O146" s="339">
        <v>69610</v>
      </c>
      <c r="P146" s="167">
        <v>69089</v>
      </c>
    </row>
    <row r="147" spans="2:17" s="50" customFormat="1" hidden="1" outlineLevel="1" x14ac:dyDescent="0.3">
      <c r="B147" s="133" t="s">
        <v>121</v>
      </c>
      <c r="C147" s="137"/>
      <c r="D147" s="142">
        <v>30009</v>
      </c>
      <c r="E147" s="139">
        <v>31042</v>
      </c>
      <c r="F147" s="139">
        <v>31573</v>
      </c>
      <c r="G147" s="140">
        <v>33518</v>
      </c>
      <c r="H147" s="141">
        <f t="shared" ref="H147:H151" si="113">G147</f>
        <v>33518</v>
      </c>
      <c r="I147" s="143">
        <v>37770</v>
      </c>
      <c r="J147" s="143">
        <v>37788</v>
      </c>
      <c r="K147" s="143">
        <v>35006</v>
      </c>
      <c r="L147" s="143">
        <v>36932</v>
      </c>
      <c r="M147" s="180">
        <f t="shared" ref="M147:M148" si="114">L147</f>
        <v>36932</v>
      </c>
      <c r="N147" s="65">
        <v>38015</v>
      </c>
      <c r="O147" s="339">
        <v>37265</v>
      </c>
      <c r="P147" s="167">
        <v>37990</v>
      </c>
    </row>
    <row r="148" spans="2:17" s="50" customFormat="1" ht="16.2" hidden="1" outlineLevel="1" x14ac:dyDescent="0.45">
      <c r="B148" s="133" t="s">
        <v>122</v>
      </c>
      <c r="C148" s="137"/>
      <c r="D148" s="145">
        <f>D146-D147</f>
        <v>40564</v>
      </c>
      <c r="E148" s="145">
        <f>E146-E147</f>
        <v>41487</v>
      </c>
      <c r="F148" s="145">
        <f>F146-F147</f>
        <v>41104</v>
      </c>
      <c r="G148" s="146">
        <f>G146-G147</f>
        <v>41589</v>
      </c>
      <c r="H148" s="147">
        <f t="shared" si="113"/>
        <v>41589</v>
      </c>
      <c r="I148" s="149">
        <f>I146-I147</f>
        <v>38270</v>
      </c>
      <c r="J148" s="149">
        <f>J146-J147</f>
        <v>37820</v>
      </c>
      <c r="K148" s="149">
        <f>K146-K147</f>
        <v>35381</v>
      </c>
      <c r="L148" s="149">
        <f>L146-L147</f>
        <v>33751</v>
      </c>
      <c r="M148" s="181">
        <f t="shared" si="114"/>
        <v>33751</v>
      </c>
      <c r="N148" s="170">
        <f>SUM(N146-N147)</f>
        <v>33526</v>
      </c>
      <c r="O148" s="170">
        <f>SUM(O146-O147)</f>
        <v>32345</v>
      </c>
      <c r="P148" s="169">
        <f>SUM(P146-P147)</f>
        <v>31099</v>
      </c>
    </row>
    <row r="149" spans="2:17" s="50" customFormat="1" hidden="1" outlineLevel="1" x14ac:dyDescent="0.3">
      <c r="B149" s="133" t="s">
        <v>123</v>
      </c>
      <c r="C149" s="137"/>
      <c r="D149" s="139">
        <v>2278</v>
      </c>
      <c r="E149" s="139">
        <v>2352</v>
      </c>
      <c r="F149" s="139">
        <v>2321</v>
      </c>
      <c r="G149" s="140">
        <v>2310</v>
      </c>
      <c r="H149" s="141">
        <f t="shared" si="113"/>
        <v>2310</v>
      </c>
      <c r="I149" s="143">
        <v>2998</v>
      </c>
      <c r="J149" s="143">
        <v>2474</v>
      </c>
      <c r="K149" s="143">
        <v>2271</v>
      </c>
      <c r="L149" s="143">
        <v>2268</v>
      </c>
      <c r="M149" s="180">
        <f>L149</f>
        <v>2268</v>
      </c>
      <c r="N149" s="65">
        <v>2304</v>
      </c>
      <c r="O149" s="339">
        <v>2239</v>
      </c>
      <c r="P149" s="167">
        <v>2203</v>
      </c>
    </row>
    <row r="150" spans="2:17" s="50" customFormat="1" hidden="1" outlineLevel="1" x14ac:dyDescent="0.3">
      <c r="B150" s="133" t="s">
        <v>124</v>
      </c>
      <c r="C150" s="137"/>
      <c r="D150" s="139">
        <v>5597</v>
      </c>
      <c r="E150" s="139">
        <v>5595</v>
      </c>
      <c r="F150" s="139">
        <v>5501</v>
      </c>
      <c r="G150" s="140">
        <v>6569</v>
      </c>
      <c r="H150" s="141">
        <f t="shared" si="113"/>
        <v>6569</v>
      </c>
      <c r="I150" s="143">
        <v>6540</v>
      </c>
      <c r="J150" s="143">
        <v>6420</v>
      </c>
      <c r="K150" s="143">
        <v>6343</v>
      </c>
      <c r="L150" s="143">
        <v>6331</v>
      </c>
      <c r="M150" s="180">
        <f t="shared" ref="M150:M151" si="115">L150</f>
        <v>6331</v>
      </c>
      <c r="N150" s="65">
        <v>6325</v>
      </c>
      <c r="O150" s="339">
        <v>6237</v>
      </c>
      <c r="P150" s="167">
        <v>6197</v>
      </c>
    </row>
    <row r="151" spans="2:17" s="50" customFormat="1" ht="16.2" hidden="1" outlineLevel="1" x14ac:dyDescent="0.45">
      <c r="B151" s="366" t="s">
        <v>61</v>
      </c>
      <c r="C151" s="367"/>
      <c r="D151" s="155">
        <f>SUM(D149:D150,D148,D144)</f>
        <v>58103</v>
      </c>
      <c r="E151" s="155">
        <f>SUM(E149:E150,E148,E144)</f>
        <v>58414</v>
      </c>
      <c r="F151" s="155">
        <f>SUM(F149:F150,F148,F144)</f>
        <v>60665</v>
      </c>
      <c r="G151" s="156">
        <f>SUM(G149:G150,G148,G144)</f>
        <v>61689</v>
      </c>
      <c r="H151" s="160">
        <f t="shared" si="113"/>
        <v>61689</v>
      </c>
      <c r="I151" s="159">
        <f>SUM(I148:I150)+I144</f>
        <v>52973</v>
      </c>
      <c r="J151" s="159">
        <f>SUM(J148:J150)+J144</f>
        <v>52124</v>
      </c>
      <c r="K151" s="159">
        <f>SUM(K148:K150)+K144</f>
        <v>49182</v>
      </c>
      <c r="L151" s="159">
        <f>SUM(L148:L150)+L144</f>
        <v>46331</v>
      </c>
      <c r="M151" s="182">
        <f t="shared" si="115"/>
        <v>46331</v>
      </c>
      <c r="N151" s="171">
        <f>SUM(N148:N150)+N144</f>
        <v>47922</v>
      </c>
      <c r="O151" s="340">
        <f>SUM(O148:O150)+O144</f>
        <v>44033</v>
      </c>
      <c r="P151" s="172">
        <f>SUM(P148:P150)+P144</f>
        <v>45417</v>
      </c>
    </row>
    <row r="152" spans="2:17" s="50" customFormat="1" hidden="1" outlineLevel="1" x14ac:dyDescent="0.3">
      <c r="B152" s="372" t="s">
        <v>130</v>
      </c>
      <c r="C152" s="373"/>
      <c r="D152" s="142"/>
      <c r="E152" s="139"/>
      <c r="F152" s="139"/>
      <c r="G152" s="140"/>
      <c r="H152" s="141"/>
      <c r="I152" s="143"/>
      <c r="J152" s="143"/>
      <c r="K152" s="143"/>
      <c r="L152" s="143"/>
      <c r="M152" s="180"/>
      <c r="N152" s="65"/>
      <c r="O152" s="339"/>
      <c r="P152" s="167"/>
    </row>
    <row r="153" spans="2:17" s="50" customFormat="1" hidden="1" outlineLevel="1" x14ac:dyDescent="0.3">
      <c r="B153" s="374" t="s">
        <v>62</v>
      </c>
      <c r="C153" s="375"/>
      <c r="D153" s="142">
        <v>3940</v>
      </c>
      <c r="E153" s="139">
        <v>3979</v>
      </c>
      <c r="F153" s="139">
        <v>3653</v>
      </c>
      <c r="G153" s="140">
        <v>3683</v>
      </c>
      <c r="H153" s="141">
        <f>G153</f>
        <v>3683</v>
      </c>
      <c r="I153" s="143">
        <v>3252</v>
      </c>
      <c r="J153" s="143">
        <v>3034</v>
      </c>
      <c r="K153" s="143">
        <v>3074</v>
      </c>
      <c r="L153" s="143">
        <v>2850</v>
      </c>
      <c r="M153" s="180">
        <f t="shared" ref="M153:M154" si="116">L153</f>
        <v>2850</v>
      </c>
      <c r="N153" s="65">
        <v>2505</v>
      </c>
      <c r="O153" s="339">
        <v>2200</v>
      </c>
      <c r="P153" s="167">
        <v>1983</v>
      </c>
      <c r="Q153" s="37"/>
    </row>
    <row r="154" spans="2:17" s="50" customFormat="1" hidden="1" outlineLevel="1" x14ac:dyDescent="0.3">
      <c r="B154" s="368" t="s">
        <v>125</v>
      </c>
      <c r="C154" s="369"/>
      <c r="D154" s="142">
        <v>519</v>
      </c>
      <c r="E154" s="139">
        <v>511</v>
      </c>
      <c r="F154" s="139">
        <v>403</v>
      </c>
      <c r="G154" s="140">
        <v>257</v>
      </c>
      <c r="H154" s="141">
        <f t="shared" ref="H154:H162" si="117">G154</f>
        <v>257</v>
      </c>
      <c r="I154" s="143">
        <v>282</v>
      </c>
      <c r="J154" s="143">
        <v>267</v>
      </c>
      <c r="K154" s="143">
        <v>334</v>
      </c>
      <c r="L154" s="143">
        <v>309</v>
      </c>
      <c r="M154" s="180">
        <f t="shared" si="116"/>
        <v>309</v>
      </c>
      <c r="N154" s="65">
        <v>297</v>
      </c>
      <c r="O154" s="339">
        <v>221</v>
      </c>
      <c r="P154" s="167">
        <v>232</v>
      </c>
    </row>
    <row r="155" spans="2:17" s="50" customFormat="1" hidden="1" outlineLevel="1" x14ac:dyDescent="0.3">
      <c r="B155" s="368" t="s">
        <v>126</v>
      </c>
      <c r="C155" s="369"/>
      <c r="D155" s="142">
        <v>0</v>
      </c>
      <c r="E155" s="139">
        <v>0</v>
      </c>
      <c r="F155" s="139">
        <v>0</v>
      </c>
      <c r="G155" s="140">
        <v>247</v>
      </c>
      <c r="H155" s="141">
        <f t="shared" si="117"/>
        <v>247</v>
      </c>
      <c r="I155" s="143">
        <v>0</v>
      </c>
      <c r="J155" s="143">
        <v>0</v>
      </c>
      <c r="K155" s="143">
        <v>0</v>
      </c>
      <c r="L155" s="143">
        <v>247</v>
      </c>
      <c r="M155" s="180">
        <f>L155</f>
        <v>247</v>
      </c>
      <c r="N155" s="65">
        <v>158</v>
      </c>
      <c r="O155" s="339">
        <v>242</v>
      </c>
      <c r="P155" s="167">
        <v>145</v>
      </c>
    </row>
    <row r="156" spans="2:17" s="50" customFormat="1" hidden="1" outlineLevel="1" x14ac:dyDescent="0.3">
      <c r="B156" s="129" t="s">
        <v>127</v>
      </c>
      <c r="C156" s="130"/>
      <c r="D156" s="139">
        <v>0</v>
      </c>
      <c r="E156" s="139">
        <v>0</v>
      </c>
      <c r="F156" s="139">
        <v>0</v>
      </c>
      <c r="G156" s="140">
        <v>332</v>
      </c>
      <c r="H156" s="141">
        <f t="shared" si="117"/>
        <v>332</v>
      </c>
      <c r="I156" s="143">
        <v>0</v>
      </c>
      <c r="J156" s="143">
        <v>0</v>
      </c>
      <c r="K156" s="143">
        <v>0</v>
      </c>
      <c r="L156" s="143">
        <v>318</v>
      </c>
      <c r="M156" s="180">
        <f t="shared" ref="M156:M157" si="118">L156</f>
        <v>318</v>
      </c>
      <c r="N156" s="65">
        <v>339</v>
      </c>
      <c r="O156" s="339">
        <v>282</v>
      </c>
      <c r="P156" s="167">
        <v>313</v>
      </c>
    </row>
    <row r="157" spans="2:17" s="50" customFormat="1" hidden="1" outlineLevel="1" x14ac:dyDescent="0.3">
      <c r="B157" s="129" t="s">
        <v>128</v>
      </c>
      <c r="C157" s="130"/>
      <c r="D157" s="139">
        <v>1320</v>
      </c>
      <c r="E157" s="139">
        <v>1009</v>
      </c>
      <c r="F157" s="139">
        <v>1646</v>
      </c>
      <c r="G157" s="140">
        <v>505</v>
      </c>
      <c r="H157" s="141">
        <f t="shared" si="117"/>
        <v>505</v>
      </c>
      <c r="I157" s="143">
        <v>1100</v>
      </c>
      <c r="J157" s="143">
        <v>1244</v>
      </c>
      <c r="K157" s="143">
        <v>907</v>
      </c>
      <c r="L157" s="143">
        <v>424</v>
      </c>
      <c r="M157" s="180">
        <f t="shared" si="118"/>
        <v>424</v>
      </c>
      <c r="N157" s="65">
        <v>333</v>
      </c>
      <c r="O157" s="339">
        <v>267</v>
      </c>
      <c r="P157" s="167">
        <v>301</v>
      </c>
    </row>
    <row r="158" spans="2:17" s="50" customFormat="1" hidden="1" outlineLevel="1" x14ac:dyDescent="0.3">
      <c r="B158" s="129" t="s">
        <v>129</v>
      </c>
      <c r="C158" s="130"/>
      <c r="D158" s="139">
        <v>0</v>
      </c>
      <c r="E158" s="139">
        <v>0</v>
      </c>
      <c r="F158" s="139">
        <v>0</v>
      </c>
      <c r="G158" s="140">
        <v>0</v>
      </c>
      <c r="H158" s="141">
        <f t="shared" si="117"/>
        <v>0</v>
      </c>
      <c r="I158" s="143">
        <v>500</v>
      </c>
      <c r="J158" s="143">
        <v>33</v>
      </c>
      <c r="K158" s="143">
        <v>33</v>
      </c>
      <c r="L158" s="143">
        <v>32</v>
      </c>
      <c r="M158" s="180">
        <f>L158</f>
        <v>32</v>
      </c>
      <c r="N158" s="65">
        <v>3025</v>
      </c>
      <c r="O158" s="339">
        <v>32</v>
      </c>
      <c r="P158" s="167">
        <v>788</v>
      </c>
    </row>
    <row r="159" spans="2:17" s="50" customFormat="1" hidden="1" outlineLevel="1" x14ac:dyDescent="0.3">
      <c r="B159" s="129" t="s">
        <v>143</v>
      </c>
      <c r="C159" s="130"/>
      <c r="D159" s="139">
        <v>0</v>
      </c>
      <c r="E159" s="139">
        <v>92</v>
      </c>
      <c r="F159" s="139">
        <v>93</v>
      </c>
      <c r="G159" s="140">
        <v>5210</v>
      </c>
      <c r="H159" s="141">
        <f t="shared" si="117"/>
        <v>5210</v>
      </c>
      <c r="I159" s="143">
        <v>94</v>
      </c>
      <c r="J159" s="143">
        <v>91</v>
      </c>
      <c r="K159" s="143">
        <v>90</v>
      </c>
      <c r="L159" s="143">
        <v>0</v>
      </c>
      <c r="M159" s="180">
        <f t="shared" ref="M159:M160" si="119">L159</f>
        <v>0</v>
      </c>
      <c r="N159" s="143">
        <v>0</v>
      </c>
      <c r="O159" s="339">
        <v>0</v>
      </c>
      <c r="P159" s="167"/>
    </row>
    <row r="160" spans="2:17" s="50" customFormat="1" hidden="1" outlineLevel="1" x14ac:dyDescent="0.3">
      <c r="B160" s="129" t="s">
        <v>144</v>
      </c>
      <c r="C160" s="130"/>
      <c r="D160" s="139">
        <v>5150</v>
      </c>
      <c r="E160" s="139">
        <v>5169</v>
      </c>
      <c r="F160" s="139">
        <v>5188</v>
      </c>
      <c r="G160" s="140">
        <v>0</v>
      </c>
      <c r="H160" s="141">
        <f t="shared" si="117"/>
        <v>0</v>
      </c>
      <c r="I160" s="143">
        <v>0</v>
      </c>
      <c r="J160" s="143">
        <v>0</v>
      </c>
      <c r="K160" s="143">
        <v>0</v>
      </c>
      <c r="L160" s="143">
        <v>0</v>
      </c>
      <c r="M160" s="180">
        <f t="shared" si="119"/>
        <v>0</v>
      </c>
      <c r="N160" s="143">
        <v>0</v>
      </c>
      <c r="O160" s="339">
        <v>0</v>
      </c>
      <c r="P160" s="167"/>
    </row>
    <row r="161" spans="2:16" s="50" customFormat="1" ht="16.2" hidden="1" outlineLevel="1" x14ac:dyDescent="0.45">
      <c r="B161" s="368" t="s">
        <v>84</v>
      </c>
      <c r="C161" s="367"/>
      <c r="D161" s="145">
        <f>SUM(D153:D160)</f>
        <v>10929</v>
      </c>
      <c r="E161" s="145">
        <f>SUM(E153:E160)</f>
        <v>10760</v>
      </c>
      <c r="F161" s="145">
        <f>SUM(F153:F160)</f>
        <v>10983</v>
      </c>
      <c r="G161" s="146">
        <f>SUM(G153:G160)</f>
        <v>10234</v>
      </c>
      <c r="H161" s="147">
        <f t="shared" si="117"/>
        <v>10234</v>
      </c>
      <c r="I161" s="149">
        <f>SUM(I153:I160)</f>
        <v>5228</v>
      </c>
      <c r="J161" s="149">
        <f>SUM(J153:J160)</f>
        <v>4669</v>
      </c>
      <c r="K161" s="149">
        <f>SUM(K153:K160)</f>
        <v>4438</v>
      </c>
      <c r="L161" s="149">
        <f>SUM(L153:L160)</f>
        <v>4180</v>
      </c>
      <c r="M161" s="181">
        <f>L161</f>
        <v>4180</v>
      </c>
      <c r="N161" s="168">
        <f>SUM(N153:N160)</f>
        <v>6657</v>
      </c>
      <c r="O161" s="170">
        <f>SUM(O153:O160)</f>
        <v>3244</v>
      </c>
      <c r="P161" s="169">
        <f>SUM(P153:P160)</f>
        <v>3762</v>
      </c>
    </row>
    <row r="162" spans="2:16" s="51" customFormat="1" hidden="1" outlineLevel="1" x14ac:dyDescent="0.3">
      <c r="B162" s="93" t="s">
        <v>131</v>
      </c>
      <c r="C162" s="94"/>
      <c r="D162" s="142">
        <v>13569</v>
      </c>
      <c r="E162" s="139">
        <v>13414</v>
      </c>
      <c r="F162" s="139">
        <v>14728</v>
      </c>
      <c r="G162" s="140">
        <v>15092</v>
      </c>
      <c r="H162" s="141">
        <f t="shared" si="117"/>
        <v>15092</v>
      </c>
      <c r="I162" s="143">
        <v>16365</v>
      </c>
      <c r="J162" s="143">
        <v>16025</v>
      </c>
      <c r="K162" s="143">
        <v>15892</v>
      </c>
      <c r="L162" s="143">
        <v>15636</v>
      </c>
      <c r="M162" s="180">
        <f t="shared" ref="M162" si="120">L162</f>
        <v>15636</v>
      </c>
      <c r="N162" s="65">
        <v>15726</v>
      </c>
      <c r="O162" s="339">
        <v>15641</v>
      </c>
      <c r="P162" s="167">
        <v>15090</v>
      </c>
    </row>
    <row r="163" spans="2:16" s="51" customFormat="1" hidden="1" outlineLevel="1" x14ac:dyDescent="0.3">
      <c r="B163" s="131" t="s">
        <v>63</v>
      </c>
      <c r="C163" s="123"/>
      <c r="D163" s="142"/>
      <c r="E163" s="139"/>
      <c r="F163" s="139"/>
      <c r="G163" s="140"/>
      <c r="H163" s="141"/>
      <c r="I163" s="143"/>
      <c r="J163" s="143"/>
      <c r="K163" s="143"/>
      <c r="L163" s="143"/>
      <c r="M163" s="180"/>
      <c r="N163" s="65"/>
      <c r="O163" s="339"/>
      <c r="P163" s="167"/>
    </row>
    <row r="164" spans="2:16" s="51" customFormat="1" hidden="1" outlineLevel="1" x14ac:dyDescent="0.3">
      <c r="B164" s="122" t="s">
        <v>132</v>
      </c>
      <c r="C164" s="123"/>
      <c r="D164" s="142">
        <v>9343</v>
      </c>
      <c r="E164" s="139">
        <v>9186</v>
      </c>
      <c r="F164" s="139">
        <v>7512</v>
      </c>
      <c r="G164" s="140">
        <v>9249</v>
      </c>
      <c r="H164" s="141">
        <f>G164</f>
        <v>9249</v>
      </c>
      <c r="I164" s="143">
        <v>7521</v>
      </c>
      <c r="J164" s="143">
        <v>7594</v>
      </c>
      <c r="K164" s="143">
        <v>6090</v>
      </c>
      <c r="L164" s="143">
        <v>5400</v>
      </c>
      <c r="M164" s="180">
        <f>L164</f>
        <v>5400</v>
      </c>
      <c r="N164" s="65">
        <v>4940</v>
      </c>
      <c r="O164" s="339">
        <v>4686</v>
      </c>
      <c r="P164" s="167">
        <v>4343</v>
      </c>
    </row>
    <row r="165" spans="2:16" s="50" customFormat="1" ht="15.75" hidden="1" customHeight="1" outlineLevel="1" x14ac:dyDescent="0.3">
      <c r="B165" s="374" t="s">
        <v>133</v>
      </c>
      <c r="C165" s="375"/>
      <c r="D165" s="142">
        <v>1573</v>
      </c>
      <c r="E165" s="175">
        <v>1499</v>
      </c>
      <c r="F165" s="139">
        <v>1464</v>
      </c>
      <c r="G165" s="140">
        <v>1796</v>
      </c>
      <c r="H165" s="141">
        <f t="shared" ref="H165:H167" si="121">G165</f>
        <v>1796</v>
      </c>
      <c r="I165" s="143">
        <v>1803</v>
      </c>
      <c r="J165" s="143">
        <v>1714</v>
      </c>
      <c r="K165" s="143">
        <v>1670</v>
      </c>
      <c r="L165" s="143">
        <v>1750</v>
      </c>
      <c r="M165" s="180">
        <f t="shared" ref="M165:M166" si="122">L165</f>
        <v>1750</v>
      </c>
      <c r="N165" s="65">
        <v>1760</v>
      </c>
      <c r="O165" s="339">
        <v>1726</v>
      </c>
      <c r="P165" s="167">
        <v>1744</v>
      </c>
    </row>
    <row r="166" spans="2:16" s="50" customFormat="1" hidden="1" outlineLevel="1" x14ac:dyDescent="0.3">
      <c r="B166" s="368" t="s">
        <v>134</v>
      </c>
      <c r="C166" s="369"/>
      <c r="D166" s="139">
        <v>1772</v>
      </c>
      <c r="E166" s="139">
        <v>2383</v>
      </c>
      <c r="F166" s="139">
        <v>3415</v>
      </c>
      <c r="G166" s="140">
        <v>3000</v>
      </c>
      <c r="H166" s="141">
        <f t="shared" si="121"/>
        <v>3000</v>
      </c>
      <c r="I166" s="143">
        <v>3122</v>
      </c>
      <c r="J166" s="143">
        <v>2763</v>
      </c>
      <c r="K166" s="177">
        <v>4040</v>
      </c>
      <c r="L166" s="143">
        <v>3908</v>
      </c>
      <c r="M166" s="180">
        <f t="shared" si="122"/>
        <v>3908</v>
      </c>
      <c r="N166" s="65">
        <v>4138</v>
      </c>
      <c r="O166" s="339">
        <v>4136</v>
      </c>
      <c r="P166" s="167">
        <v>4566</v>
      </c>
    </row>
    <row r="167" spans="2:16" s="50" customFormat="1" ht="16.2" hidden="1" outlineLevel="1" x14ac:dyDescent="0.45">
      <c r="B167" s="411" t="s">
        <v>84</v>
      </c>
      <c r="C167" s="412"/>
      <c r="D167" s="145">
        <f>SUM(D164:D166)</f>
        <v>12688</v>
      </c>
      <c r="E167" s="145">
        <f>SUM(E164:E166)</f>
        <v>13068</v>
      </c>
      <c r="F167" s="145">
        <f>SUM(F164:F166)</f>
        <v>12391</v>
      </c>
      <c r="G167" s="146">
        <f>SUM(G164:G166)</f>
        <v>14045</v>
      </c>
      <c r="H167" s="147">
        <f t="shared" si="121"/>
        <v>14045</v>
      </c>
      <c r="I167" s="149">
        <f>SUM(I164:I166)</f>
        <v>12446</v>
      </c>
      <c r="J167" s="149">
        <f>SUM(J164:J166)</f>
        <v>12071</v>
      </c>
      <c r="K167" s="149">
        <f>SUM(K164:K166)</f>
        <v>11800</v>
      </c>
      <c r="L167" s="149">
        <f>SUM(L164:L166)</f>
        <v>11058</v>
      </c>
      <c r="M167" s="181">
        <f>L167</f>
        <v>11058</v>
      </c>
      <c r="N167" s="168">
        <f>SUM(N164:N166)</f>
        <v>10838</v>
      </c>
      <c r="O167" s="170">
        <f>SUM(O164:O166)</f>
        <v>10548</v>
      </c>
      <c r="P167" s="169">
        <f>SUM(P164:P166)</f>
        <v>10653</v>
      </c>
    </row>
    <row r="168" spans="2:16" s="50" customFormat="1" hidden="1" outlineLevel="1" x14ac:dyDescent="0.3">
      <c r="B168" s="372" t="s">
        <v>135</v>
      </c>
      <c r="C168" s="373"/>
      <c r="D168" s="142"/>
      <c r="E168" s="139"/>
      <c r="F168" s="139"/>
      <c r="G168" s="140"/>
      <c r="H168" s="141"/>
      <c r="I168" s="143"/>
      <c r="J168" s="143"/>
      <c r="K168" s="177"/>
      <c r="L168" s="143"/>
      <c r="M168" s="180"/>
      <c r="N168" s="65"/>
      <c r="O168" s="339"/>
      <c r="P168" s="167"/>
    </row>
    <row r="169" spans="2:16" s="50" customFormat="1" hidden="1" outlineLevel="1" x14ac:dyDescent="0.3">
      <c r="B169" s="368" t="s">
        <v>76</v>
      </c>
      <c r="C169" s="369"/>
      <c r="D169" s="142">
        <v>52</v>
      </c>
      <c r="E169" s="175">
        <v>52</v>
      </c>
      <c r="F169" s="139">
        <v>52</v>
      </c>
      <c r="G169" s="140">
        <v>52</v>
      </c>
      <c r="H169" s="141">
        <f>G169</f>
        <v>52</v>
      </c>
      <c r="I169" s="143">
        <v>52</v>
      </c>
      <c r="J169" s="143">
        <v>52</v>
      </c>
      <c r="K169" s="177">
        <v>52</v>
      </c>
      <c r="L169" s="177">
        <v>52</v>
      </c>
      <c r="M169" s="180">
        <f t="shared" ref="M169" si="123">L169</f>
        <v>52</v>
      </c>
      <c r="N169" s="65">
        <v>53</v>
      </c>
      <c r="O169" s="339">
        <v>53</v>
      </c>
      <c r="P169" s="167">
        <v>57</v>
      </c>
    </row>
    <row r="170" spans="2:16" s="50" customFormat="1" hidden="1" outlineLevel="1" x14ac:dyDescent="0.3">
      <c r="B170" s="122" t="s">
        <v>136</v>
      </c>
      <c r="C170" s="123"/>
      <c r="D170" s="142">
        <v>8682</v>
      </c>
      <c r="E170" s="175">
        <v>8798</v>
      </c>
      <c r="F170" s="139">
        <v>9190</v>
      </c>
      <c r="G170" s="140">
        <v>9005</v>
      </c>
      <c r="H170" s="141">
        <f t="shared" ref="H170:H177" si="124">G170</f>
        <v>9005</v>
      </c>
      <c r="I170" s="143">
        <v>9045</v>
      </c>
      <c r="J170" s="143">
        <v>9169</v>
      </c>
      <c r="K170" s="177">
        <v>9224</v>
      </c>
      <c r="L170" s="177">
        <v>9265</v>
      </c>
      <c r="M170" s="180">
        <f>L170</f>
        <v>9265</v>
      </c>
      <c r="N170" s="65">
        <v>9328</v>
      </c>
      <c r="O170" s="339">
        <v>9638</v>
      </c>
      <c r="P170" s="167">
        <v>11842</v>
      </c>
    </row>
    <row r="171" spans="2:16" s="50" customFormat="1" hidden="1" outlineLevel="1" x14ac:dyDescent="0.3">
      <c r="B171" s="122" t="s">
        <v>137</v>
      </c>
      <c r="C171" s="123"/>
      <c r="D171" s="142">
        <v>11595</v>
      </c>
      <c r="E171" s="175">
        <v>11684</v>
      </c>
      <c r="F171" s="139">
        <v>12633</v>
      </c>
      <c r="G171" s="140">
        <v>12125</v>
      </c>
      <c r="H171" s="141">
        <f t="shared" si="124"/>
        <v>12125</v>
      </c>
      <c r="I171" s="143">
        <v>8718</v>
      </c>
      <c r="J171" s="143">
        <v>8641</v>
      </c>
      <c r="K171" s="177">
        <v>6268</v>
      </c>
      <c r="L171" s="177">
        <v>4880</v>
      </c>
      <c r="M171" s="180">
        <f t="shared" ref="M171:M172" si="125">L171</f>
        <v>4880</v>
      </c>
      <c r="N171" s="65">
        <v>3821</v>
      </c>
      <c r="O171" s="339">
        <v>3103</v>
      </c>
      <c r="P171" s="167">
        <v>2246</v>
      </c>
    </row>
    <row r="172" spans="2:16" s="50" customFormat="1" hidden="1" outlineLevel="1" x14ac:dyDescent="0.3">
      <c r="B172" s="415" t="s">
        <v>138</v>
      </c>
      <c r="C172" s="416"/>
      <c r="D172" s="142">
        <v>-930</v>
      </c>
      <c r="E172" s="175">
        <v>-930</v>
      </c>
      <c r="F172" s="139">
        <v>-931</v>
      </c>
      <c r="G172" s="140">
        <v>-940</v>
      </c>
      <c r="H172" s="141">
        <f t="shared" si="124"/>
        <v>-940</v>
      </c>
      <c r="I172" s="143">
        <v>-976</v>
      </c>
      <c r="J172" s="143">
        <v>-977</v>
      </c>
      <c r="K172" s="143">
        <v>-978</v>
      </c>
      <c r="L172" s="143">
        <v>-995</v>
      </c>
      <c r="M172" s="180">
        <f t="shared" si="125"/>
        <v>-995</v>
      </c>
      <c r="N172" s="65">
        <v>-1025</v>
      </c>
      <c r="O172" s="339">
        <v>-1026</v>
      </c>
      <c r="P172" s="167">
        <v>-1027</v>
      </c>
    </row>
    <row r="173" spans="2:16" s="50" customFormat="1" hidden="1" outlineLevel="1" x14ac:dyDescent="0.3">
      <c r="B173" s="134" t="s">
        <v>139</v>
      </c>
      <c r="C173" s="135"/>
      <c r="D173" s="139">
        <v>-279</v>
      </c>
      <c r="E173" s="175">
        <v>-273</v>
      </c>
      <c r="F173" s="139">
        <v>-267</v>
      </c>
      <c r="G173" s="140">
        <v>-517</v>
      </c>
      <c r="H173" s="141">
        <f t="shared" si="124"/>
        <v>-517</v>
      </c>
      <c r="I173" s="143">
        <v>-507</v>
      </c>
      <c r="J173" s="143">
        <v>-496</v>
      </c>
      <c r="K173" s="143">
        <v>-487</v>
      </c>
      <c r="L173" s="143">
        <v>-383</v>
      </c>
      <c r="M173" s="180">
        <f>L173</f>
        <v>-383</v>
      </c>
      <c r="N173" s="65">
        <v>-491</v>
      </c>
      <c r="O173" s="339">
        <v>-487</v>
      </c>
      <c r="P173" s="167">
        <v>-518</v>
      </c>
    </row>
    <row r="174" spans="2:16" s="50" customFormat="1" ht="16.2" hidden="1" outlineLevel="1" x14ac:dyDescent="0.45">
      <c r="B174" s="366" t="s">
        <v>64</v>
      </c>
      <c r="C174" s="367"/>
      <c r="D174" s="145">
        <f>SUM(D169:D173)</f>
        <v>19120</v>
      </c>
      <c r="E174" s="145">
        <f>SUM(E169:E173)</f>
        <v>19331</v>
      </c>
      <c r="F174" s="145">
        <f>SUM(F169:F173)</f>
        <v>20677</v>
      </c>
      <c r="G174" s="146">
        <f>SUM(G169:G173)</f>
        <v>19725</v>
      </c>
      <c r="H174" s="147">
        <f t="shared" si="124"/>
        <v>19725</v>
      </c>
      <c r="I174" s="178">
        <f>SUM(I169:I173)</f>
        <v>16332</v>
      </c>
      <c r="J174" s="178">
        <f>SUM(J169:J173)</f>
        <v>16389</v>
      </c>
      <c r="K174" s="178">
        <f>SUM(K169:K173)</f>
        <v>14079</v>
      </c>
      <c r="L174" s="178">
        <f>SUM(L169:L173)</f>
        <v>12819</v>
      </c>
      <c r="M174" s="181">
        <f t="shared" ref="M174:M175" si="126">L174</f>
        <v>12819</v>
      </c>
      <c r="N174" s="168">
        <f>SUM(N169:N173)</f>
        <v>11686</v>
      </c>
      <c r="O174" s="170">
        <f>SUM(O169:O173)</f>
        <v>11281</v>
      </c>
      <c r="P174" s="169">
        <f>SUM(P169:P173)</f>
        <v>12600</v>
      </c>
    </row>
    <row r="175" spans="2:16" s="50" customFormat="1" hidden="1" outlineLevel="1" x14ac:dyDescent="0.3">
      <c r="B175" s="129" t="s">
        <v>140</v>
      </c>
      <c r="C175" s="132"/>
      <c r="D175" s="139">
        <v>1797</v>
      </c>
      <c r="E175" s="139">
        <v>1841</v>
      </c>
      <c r="F175" s="139">
        <v>1886</v>
      </c>
      <c r="G175" s="140">
        <v>2593</v>
      </c>
      <c r="H175" s="141">
        <f t="shared" si="124"/>
        <v>2593</v>
      </c>
      <c r="I175" s="139">
        <v>2602</v>
      </c>
      <c r="J175" s="139">
        <v>2970</v>
      </c>
      <c r="K175" s="179">
        <v>2973</v>
      </c>
      <c r="L175" s="179">
        <v>2638</v>
      </c>
      <c r="M175" s="180">
        <f t="shared" si="126"/>
        <v>2638</v>
      </c>
      <c r="N175" s="65">
        <v>3015</v>
      </c>
      <c r="O175" s="339">
        <v>3319</v>
      </c>
      <c r="P175" s="167">
        <v>3312</v>
      </c>
    </row>
    <row r="176" spans="2:16" s="50" customFormat="1" hidden="1" outlineLevel="1" x14ac:dyDescent="0.3">
      <c r="B176" s="129" t="s">
        <v>141</v>
      </c>
      <c r="C176" s="132"/>
      <c r="D176" s="139">
        <f>D174+D175</f>
        <v>20917</v>
      </c>
      <c r="E176" s="139">
        <f>E174+E175</f>
        <v>21172</v>
      </c>
      <c r="F176" s="139">
        <f>F174+F175</f>
        <v>22563</v>
      </c>
      <c r="G176" s="140">
        <f>G174+G175</f>
        <v>22318</v>
      </c>
      <c r="H176" s="141">
        <f t="shared" si="124"/>
        <v>22318</v>
      </c>
      <c r="I176" s="139">
        <f>I174+I175</f>
        <v>18934</v>
      </c>
      <c r="J176" s="139">
        <f>J174+J175</f>
        <v>19359</v>
      </c>
      <c r="K176" s="139">
        <f>K174+K175</f>
        <v>17052</v>
      </c>
      <c r="L176" s="140">
        <f>L174+L175</f>
        <v>15457</v>
      </c>
      <c r="M176" s="180">
        <f>L176</f>
        <v>15457</v>
      </c>
      <c r="N176" s="185">
        <f>N175+N174</f>
        <v>14701</v>
      </c>
      <c r="O176" s="341">
        <f>O175+O174</f>
        <v>14600</v>
      </c>
      <c r="P176" s="186">
        <f>P175+P174</f>
        <v>15912</v>
      </c>
    </row>
    <row r="177" spans="2:17" s="50" customFormat="1" ht="16.2" hidden="1" outlineLevel="1" x14ac:dyDescent="0.45">
      <c r="B177" s="413" t="s">
        <v>65</v>
      </c>
      <c r="C177" s="414"/>
      <c r="D177" s="176">
        <f>+D161+D162+D167+D176</f>
        <v>58103</v>
      </c>
      <c r="E177" s="176">
        <f>+E161+E162+E167+E176</f>
        <v>58414</v>
      </c>
      <c r="F177" s="176">
        <f>+F161+F162+F167+F176</f>
        <v>60665</v>
      </c>
      <c r="G177" s="174">
        <f>+G161+G162+G167+G176</f>
        <v>61689</v>
      </c>
      <c r="H177" s="184">
        <f t="shared" si="124"/>
        <v>61689</v>
      </c>
      <c r="I177" s="176">
        <f>+I161+I162+I167+I176</f>
        <v>52973</v>
      </c>
      <c r="J177" s="176">
        <f>+J161+J162+J167+J176</f>
        <v>52124</v>
      </c>
      <c r="K177" s="176">
        <f>+K161+K162+K167+K176</f>
        <v>49182</v>
      </c>
      <c r="L177" s="174">
        <f>+L161+L162+L167+L176</f>
        <v>46331</v>
      </c>
      <c r="M177" s="183">
        <f t="shared" ref="M177" si="127">L177</f>
        <v>46331</v>
      </c>
      <c r="N177" s="173">
        <f>+N161+N162+N167+N176</f>
        <v>47922</v>
      </c>
      <c r="O177" s="176">
        <f>+O161+O162+O167+O176</f>
        <v>44033</v>
      </c>
      <c r="P177" s="174">
        <f>+P161+P162+P167+P176</f>
        <v>45417</v>
      </c>
    </row>
    <row r="178" spans="2:17" s="50" customFormat="1" collapsed="1" x14ac:dyDescent="0.3">
      <c r="B178" s="17"/>
      <c r="C178" s="112"/>
      <c r="D178" s="1">
        <f t="shared" ref="D178:M178" si="128">D177-D151</f>
        <v>0</v>
      </c>
      <c r="E178" s="1">
        <f t="shared" si="128"/>
        <v>0</v>
      </c>
      <c r="F178" s="1">
        <f t="shared" si="128"/>
        <v>0</v>
      </c>
      <c r="G178" s="1">
        <f t="shared" si="128"/>
        <v>0</v>
      </c>
      <c r="H178" s="1">
        <f t="shared" si="128"/>
        <v>0</v>
      </c>
      <c r="I178" s="1">
        <f t="shared" si="128"/>
        <v>0</v>
      </c>
      <c r="J178" s="1">
        <f t="shared" si="128"/>
        <v>0</v>
      </c>
      <c r="K178" s="1">
        <f t="shared" si="128"/>
        <v>0</v>
      </c>
      <c r="L178" s="1">
        <f t="shared" si="128"/>
        <v>0</v>
      </c>
      <c r="M178" s="1">
        <f t="shared" si="128"/>
        <v>0</v>
      </c>
      <c r="N178" s="1">
        <f t="shared" ref="N178:O178" si="129">N177-N151</f>
        <v>0</v>
      </c>
      <c r="O178" s="1">
        <f t="shared" si="129"/>
        <v>0</v>
      </c>
      <c r="P178" s="338"/>
    </row>
    <row r="179" spans="2:17" s="50" customFormat="1" ht="15.6" x14ac:dyDescent="0.3">
      <c r="B179" s="392" t="s">
        <v>66</v>
      </c>
      <c r="C179" s="393"/>
      <c r="D179" s="1"/>
      <c r="E179" s="1"/>
      <c r="F179" s="1"/>
      <c r="G179" s="1"/>
      <c r="H179" s="1"/>
      <c r="I179" s="8"/>
      <c r="J179" s="1"/>
      <c r="K179" s="2"/>
      <c r="L179" s="2"/>
      <c r="M179" s="113"/>
      <c r="P179" s="338"/>
    </row>
    <row r="180" spans="2:17" s="50" customFormat="1" hidden="1" outlineLevel="1" x14ac:dyDescent="0.3">
      <c r="B180" s="380" t="s">
        <v>0</v>
      </c>
      <c r="C180" s="381"/>
      <c r="D180" s="52" t="s">
        <v>4</v>
      </c>
      <c r="E180" s="52" t="s">
        <v>3</v>
      </c>
      <c r="F180" s="52" t="s">
        <v>2</v>
      </c>
      <c r="G180" s="52" t="s">
        <v>5</v>
      </c>
      <c r="H180" s="52" t="s">
        <v>5</v>
      </c>
      <c r="I180" s="52" t="s">
        <v>6</v>
      </c>
      <c r="J180" s="52" t="s">
        <v>7</v>
      </c>
      <c r="K180" s="52" t="s">
        <v>8</v>
      </c>
      <c r="L180" s="52" t="s">
        <v>10</v>
      </c>
      <c r="M180" s="52" t="s">
        <v>10</v>
      </c>
      <c r="N180" s="52" t="s">
        <v>11</v>
      </c>
      <c r="O180" s="52" t="s">
        <v>12</v>
      </c>
      <c r="P180" s="348" t="s">
        <v>13</v>
      </c>
    </row>
    <row r="181" spans="2:17" s="50" customFormat="1" ht="16.2" hidden="1" outlineLevel="1" x14ac:dyDescent="0.45">
      <c r="B181" s="380"/>
      <c r="C181" s="381"/>
      <c r="D181" s="53" t="s">
        <v>24</v>
      </c>
      <c r="E181" s="53" t="s">
        <v>25</v>
      </c>
      <c r="F181" s="53" t="s">
        <v>26</v>
      </c>
      <c r="G181" s="53" t="s">
        <v>27</v>
      </c>
      <c r="H181" s="53" t="s">
        <v>19</v>
      </c>
      <c r="I181" s="53" t="s">
        <v>28</v>
      </c>
      <c r="J181" s="53" t="s">
        <v>29</v>
      </c>
      <c r="K181" s="53" t="s">
        <v>38</v>
      </c>
      <c r="L181" s="53" t="s">
        <v>49</v>
      </c>
      <c r="M181" s="53" t="s">
        <v>50</v>
      </c>
      <c r="N181" s="53" t="s">
        <v>85</v>
      </c>
      <c r="O181" s="53" t="s">
        <v>86</v>
      </c>
      <c r="P181" s="165" t="s">
        <v>257</v>
      </c>
    </row>
    <row r="182" spans="2:17" s="50" customFormat="1" hidden="1" outlineLevel="1" x14ac:dyDescent="0.3">
      <c r="B182" s="372" t="s">
        <v>67</v>
      </c>
      <c r="C182" s="373"/>
      <c r="D182" s="114"/>
      <c r="E182" s="115"/>
      <c r="F182" s="115"/>
      <c r="G182" s="116"/>
      <c r="H182" s="117"/>
      <c r="I182" s="118"/>
      <c r="J182" s="107"/>
      <c r="K182" s="105"/>
      <c r="L182" s="105"/>
      <c r="M182" s="106"/>
      <c r="N182" s="37"/>
      <c r="O182" s="342"/>
      <c r="P182" s="166"/>
    </row>
    <row r="183" spans="2:17" s="50" customFormat="1" hidden="1" outlineLevel="1" x14ac:dyDescent="0.3">
      <c r="B183" s="374" t="s">
        <v>68</v>
      </c>
      <c r="C183" s="375"/>
      <c r="D183" s="114">
        <f>D39</f>
        <v>-2626</v>
      </c>
      <c r="E183" s="119">
        <f>E39</f>
        <v>266</v>
      </c>
      <c r="F183" s="119">
        <f>F39</f>
        <v>1147</v>
      </c>
      <c r="G183" s="197">
        <f>G39</f>
        <v>-350</v>
      </c>
      <c r="H183" s="117">
        <f>SUM(D183:G183)</f>
        <v>-1563</v>
      </c>
      <c r="I183" s="114">
        <f>I39</f>
        <v>-3236</v>
      </c>
      <c r="J183" s="119">
        <f>-3128-I183</f>
        <v>108</v>
      </c>
      <c r="K183" s="119">
        <f>K39</f>
        <v>-2160</v>
      </c>
      <c r="L183" s="197">
        <f>L39</f>
        <v>-1524</v>
      </c>
      <c r="M183" s="195">
        <f>M39</f>
        <v>-6812</v>
      </c>
      <c r="N183" s="114">
        <f>N39</f>
        <v>-998</v>
      </c>
      <c r="O183" s="119">
        <f>O39</f>
        <v>-610.99999999999966</v>
      </c>
      <c r="P183" s="197">
        <f>-2356-O183-N183</f>
        <v>-747.00000000000045</v>
      </c>
      <c r="Q183" s="37"/>
    </row>
    <row r="184" spans="2:17" s="50" customFormat="1" ht="29.7" hidden="1" customHeight="1" outlineLevel="1" x14ac:dyDescent="0.3">
      <c r="B184" s="409" t="s">
        <v>145</v>
      </c>
      <c r="C184" s="410"/>
      <c r="D184" s="114"/>
      <c r="E184" s="119"/>
      <c r="F184" s="119"/>
      <c r="G184" s="197"/>
      <c r="H184" s="117"/>
      <c r="I184" s="114"/>
      <c r="J184" s="119"/>
      <c r="K184" s="119"/>
      <c r="L184" s="119"/>
      <c r="M184" s="195"/>
      <c r="N184" s="37"/>
      <c r="O184" s="342"/>
      <c r="P184" s="166"/>
    </row>
    <row r="185" spans="2:17" s="50" customFormat="1" hidden="1" outlineLevel="1" x14ac:dyDescent="0.3">
      <c r="B185" s="374" t="s">
        <v>146</v>
      </c>
      <c r="C185" s="375"/>
      <c r="D185" s="114">
        <f>D23</f>
        <v>1124</v>
      </c>
      <c r="E185" s="119">
        <f>E23</f>
        <v>1048</v>
      </c>
      <c r="F185" s="119">
        <f>F23</f>
        <v>1163</v>
      </c>
      <c r="G185" s="119">
        <f>G23</f>
        <v>1215</v>
      </c>
      <c r="H185" s="117">
        <f t="shared" ref="H185" si="130">SUM(D185:G185)</f>
        <v>4550</v>
      </c>
      <c r="I185" s="114">
        <f>I23</f>
        <v>1256</v>
      </c>
      <c r="J185" s="119">
        <f>J23</f>
        <v>1214</v>
      </c>
      <c r="K185" s="119">
        <f>K23</f>
        <v>1111</v>
      </c>
      <c r="L185" s="119">
        <f>L23</f>
        <v>1022</v>
      </c>
      <c r="M185" s="195">
        <f>SUM(I185:L185)</f>
        <v>4603</v>
      </c>
      <c r="N185" s="114">
        <f>N23</f>
        <v>1149</v>
      </c>
      <c r="O185" s="119">
        <f>O23</f>
        <v>984</v>
      </c>
      <c r="P185" s="197">
        <f>3202-O185-N185</f>
        <v>1069</v>
      </c>
      <c r="Q185" s="37"/>
    </row>
    <row r="186" spans="2:17" s="50" customFormat="1" hidden="1" outlineLevel="1" x14ac:dyDescent="0.3">
      <c r="B186" s="187" t="s">
        <v>177</v>
      </c>
      <c r="C186" s="188"/>
      <c r="D186" s="114">
        <v>46</v>
      </c>
      <c r="E186" s="119">
        <f>188-D186</f>
        <v>142</v>
      </c>
      <c r="F186" s="119">
        <f>-210-E186-D186</f>
        <v>-398</v>
      </c>
      <c r="G186" s="119">
        <f>H186-(SUM(D186:F186))</f>
        <v>105</v>
      </c>
      <c r="H186" s="117">
        <v>-105</v>
      </c>
      <c r="I186" s="114">
        <f>-1198</f>
        <v>-1198</v>
      </c>
      <c r="J186" s="119">
        <f>-1187-I186</f>
        <v>11</v>
      </c>
      <c r="K186" s="119">
        <f>-2627-J186-I186</f>
        <v>-1440</v>
      </c>
      <c r="L186" s="119">
        <f>M186-(SUM(I186:K186))</f>
        <v>-525</v>
      </c>
      <c r="M186" s="195">
        <v>-3152</v>
      </c>
      <c r="N186" s="119">
        <f>N242</f>
        <v>-413</v>
      </c>
      <c r="O186" s="119">
        <f>-820-N186</f>
        <v>-407</v>
      </c>
      <c r="P186" s="198">
        <f>-1121-O186-N186</f>
        <v>-301</v>
      </c>
      <c r="Q186" s="37"/>
    </row>
    <row r="187" spans="2:17" s="50" customFormat="1" hidden="1" outlineLevel="1" x14ac:dyDescent="0.3">
      <c r="B187" s="91" t="s">
        <v>147</v>
      </c>
      <c r="C187" s="92"/>
      <c r="D187" s="114">
        <v>198</v>
      </c>
      <c r="E187" s="115">
        <f>609-D187</f>
        <v>411</v>
      </c>
      <c r="F187" s="115">
        <f>743-E187-D187</f>
        <v>134</v>
      </c>
      <c r="G187" s="119">
        <f>H187-(SUM(D187:F187))</f>
        <v>502</v>
      </c>
      <c r="H187" s="117">
        <v>1245</v>
      </c>
      <c r="I187" s="199">
        <v>1009</v>
      </c>
      <c r="J187" s="115">
        <f>1040-I187</f>
        <v>31</v>
      </c>
      <c r="K187" s="115">
        <f>1993-J187-I187</f>
        <v>953</v>
      </c>
      <c r="L187" s="119">
        <f>M187-(SUM(I187:K187))</f>
        <v>274</v>
      </c>
      <c r="M187" s="195">
        <v>2267</v>
      </c>
      <c r="N187" s="37">
        <v>35</v>
      </c>
      <c r="O187" s="342">
        <f>45-N187</f>
        <v>10</v>
      </c>
      <c r="P187" s="198">
        <f>300-O187-N187</f>
        <v>255</v>
      </c>
      <c r="Q187" s="37"/>
    </row>
    <row r="188" spans="2:17" s="50" customFormat="1" hidden="1" outlineLevel="1" x14ac:dyDescent="0.3">
      <c r="B188" s="120" t="s">
        <v>99</v>
      </c>
      <c r="C188" s="121"/>
      <c r="D188" s="114">
        <f>D25</f>
        <v>3</v>
      </c>
      <c r="E188" s="119">
        <f>E25</f>
        <v>117</v>
      </c>
      <c r="F188" s="119">
        <f>F25</f>
        <v>394</v>
      </c>
      <c r="G188" s="119">
        <f>G25</f>
        <v>322</v>
      </c>
      <c r="H188" s="117">
        <f t="shared" ref="H188:H190" si="131">SUM(D188:G188)</f>
        <v>836</v>
      </c>
      <c r="I188" s="114">
        <f>I25</f>
        <v>2783</v>
      </c>
      <c r="J188" s="119">
        <f>J25</f>
        <v>30</v>
      </c>
      <c r="K188" s="119">
        <f>K25</f>
        <v>758</v>
      </c>
      <c r="L188" s="119">
        <f>L25</f>
        <v>1504</v>
      </c>
      <c r="M188" s="195">
        <f t="shared" ref="M188:M191" si="132">SUM(I188:L188)</f>
        <v>5075</v>
      </c>
      <c r="N188" s="114">
        <f>N25</f>
        <v>16</v>
      </c>
      <c r="O188" s="119">
        <f>O25</f>
        <v>18</v>
      </c>
      <c r="P188" s="198">
        <f>61-O188-N188</f>
        <v>27</v>
      </c>
      <c r="Q188" s="37"/>
    </row>
    <row r="189" spans="2:17" s="50" customFormat="1" hidden="1" outlineLevel="1" x14ac:dyDescent="0.3">
      <c r="B189" s="120" t="s">
        <v>148</v>
      </c>
      <c r="C189" s="121"/>
      <c r="D189" s="114">
        <v>-1459</v>
      </c>
      <c r="E189" s="115">
        <f>-1468-D189</f>
        <v>-9</v>
      </c>
      <c r="F189" s="115">
        <f>-2194-E189-D189</f>
        <v>-726</v>
      </c>
      <c r="G189" s="119">
        <f>H189-(SUM(D189:F189))</f>
        <v>303</v>
      </c>
      <c r="H189" s="117">
        <v>-1891</v>
      </c>
      <c r="I189" s="199">
        <v>334</v>
      </c>
      <c r="J189" s="115">
        <f>425-I189</f>
        <v>91</v>
      </c>
      <c r="K189" s="115">
        <f>1003-J189-I189</f>
        <v>578</v>
      </c>
      <c r="L189" s="119">
        <f>M189-SUM(I189:K189)</f>
        <v>19</v>
      </c>
      <c r="M189" s="195">
        <v>1022</v>
      </c>
      <c r="N189" s="37">
        <v>-2</v>
      </c>
      <c r="O189" s="342">
        <f>102-N189</f>
        <v>104</v>
      </c>
      <c r="P189" s="198">
        <f>516-O189-N189</f>
        <v>414</v>
      </c>
      <c r="Q189" s="37"/>
    </row>
    <row r="190" spans="2:17" s="50" customFormat="1" hidden="1" outlineLevel="1" x14ac:dyDescent="0.3">
      <c r="B190" s="193" t="s">
        <v>178</v>
      </c>
      <c r="C190" s="194"/>
      <c r="D190" s="114">
        <v>0</v>
      </c>
      <c r="E190" s="115">
        <v>0</v>
      </c>
      <c r="F190" s="115"/>
      <c r="G190" s="115">
        <v>0</v>
      </c>
      <c r="H190" s="117">
        <f t="shared" si="131"/>
        <v>0</v>
      </c>
      <c r="I190" s="199">
        <v>0</v>
      </c>
      <c r="J190" s="115">
        <v>0</v>
      </c>
      <c r="K190" s="115">
        <v>0</v>
      </c>
      <c r="L190" s="119">
        <v>0</v>
      </c>
      <c r="M190" s="195">
        <v>0</v>
      </c>
      <c r="N190" s="37">
        <v>0</v>
      </c>
      <c r="O190" s="342">
        <f>124</f>
        <v>124</v>
      </c>
      <c r="P190" s="198">
        <f>124-O190</f>
        <v>0</v>
      </c>
      <c r="Q190" s="37"/>
    </row>
    <row r="191" spans="2:17" s="50" customFormat="1" hidden="1" outlineLevel="1" x14ac:dyDescent="0.3">
      <c r="B191" s="374" t="s">
        <v>149</v>
      </c>
      <c r="C191" s="375"/>
      <c r="D191" s="114">
        <v>461</v>
      </c>
      <c r="E191" s="119">
        <f>E32</f>
        <v>323</v>
      </c>
      <c r="F191" s="119">
        <f>F32</f>
        <v>-323</v>
      </c>
      <c r="G191" s="119">
        <f>H191-(SUM(D191:F191))</f>
        <v>-254</v>
      </c>
      <c r="H191" s="117">
        <v>207</v>
      </c>
      <c r="I191" s="114">
        <f>I32</f>
        <v>152</v>
      </c>
      <c r="J191" s="119">
        <f>-158-I191</f>
        <v>-310</v>
      </c>
      <c r="K191" s="119">
        <f>K32</f>
        <v>282</v>
      </c>
      <c r="L191" s="119">
        <f>L32</f>
        <v>-222</v>
      </c>
      <c r="M191" s="195">
        <f t="shared" si="132"/>
        <v>-98</v>
      </c>
      <c r="N191" s="114">
        <v>299</v>
      </c>
      <c r="O191" s="119">
        <f>610-N191</f>
        <v>311</v>
      </c>
      <c r="P191" s="198">
        <f>634-O191-N191</f>
        <v>24</v>
      </c>
      <c r="Q191" s="37"/>
    </row>
    <row r="192" spans="2:17" s="50" customFormat="1" ht="16.5" hidden="1" customHeight="1" outlineLevel="1" x14ac:dyDescent="0.3">
      <c r="B192" s="407" t="s">
        <v>150</v>
      </c>
      <c r="C192" s="408"/>
      <c r="D192" s="114">
        <v>-98</v>
      </c>
      <c r="E192" s="115">
        <f>-186-D192</f>
        <v>-88</v>
      </c>
      <c r="F192" s="115">
        <f>-138-E192-D192</f>
        <v>48</v>
      </c>
      <c r="G192" s="119">
        <f>H192-(SUM(D192:F192))</f>
        <v>509</v>
      </c>
      <c r="H192" s="117">
        <v>371</v>
      </c>
      <c r="I192" s="199">
        <v>91</v>
      </c>
      <c r="J192" s="115">
        <f>172-I192</f>
        <v>81</v>
      </c>
      <c r="K192" s="115">
        <f>251-J192-I192</f>
        <v>79</v>
      </c>
      <c r="L192" s="119">
        <f>M192-SUM(I192:K192)</f>
        <v>84</v>
      </c>
      <c r="M192" s="195">
        <v>335</v>
      </c>
      <c r="N192" s="37">
        <v>105</v>
      </c>
      <c r="O192" s="342">
        <f>165-N192</f>
        <v>60</v>
      </c>
      <c r="P192" s="198">
        <f>229-O192-N192</f>
        <v>64</v>
      </c>
      <c r="Q192" s="37"/>
    </row>
    <row r="193" spans="2:17" s="50" customFormat="1" ht="15.45" hidden="1" customHeight="1" outlineLevel="1" x14ac:dyDescent="0.3">
      <c r="B193" s="411" t="s">
        <v>134</v>
      </c>
      <c r="C193" s="412"/>
      <c r="D193" s="114">
        <v>54</v>
      </c>
      <c r="E193" s="115">
        <f>108-D193</f>
        <v>54</v>
      </c>
      <c r="F193" s="115">
        <f>195-E193-D193</f>
        <v>87</v>
      </c>
      <c r="G193" s="119">
        <f>H193-(SUM(D193:F193))</f>
        <v>132</v>
      </c>
      <c r="H193" s="117">
        <v>327</v>
      </c>
      <c r="I193" s="199">
        <v>45</v>
      </c>
      <c r="J193" s="115">
        <f>74-I193</f>
        <v>29</v>
      </c>
      <c r="K193" s="115">
        <f>219-J193-I193</f>
        <v>145</v>
      </c>
      <c r="L193" s="119">
        <f>M193-SUM(I193:K193)</f>
        <v>101</v>
      </c>
      <c r="M193" s="195">
        <v>320</v>
      </c>
      <c r="N193" s="114">
        <v>115</v>
      </c>
      <c r="O193" s="342">
        <f>203-N193</f>
        <v>88</v>
      </c>
      <c r="P193" s="198">
        <f>256-O193-N193</f>
        <v>53</v>
      </c>
      <c r="Q193" s="37"/>
    </row>
    <row r="194" spans="2:17" s="50" customFormat="1" hidden="1" outlineLevel="1" x14ac:dyDescent="0.3">
      <c r="B194" s="372" t="s">
        <v>151</v>
      </c>
      <c r="C194" s="373"/>
      <c r="D194" s="114"/>
      <c r="E194" s="115"/>
      <c r="F194" s="115"/>
      <c r="G194" s="116"/>
      <c r="H194" s="117"/>
      <c r="I194" s="199"/>
      <c r="J194" s="115"/>
      <c r="K194" s="115"/>
      <c r="L194" s="119"/>
      <c r="M194" s="195"/>
      <c r="N194" s="37"/>
      <c r="O194" s="342"/>
      <c r="P194" s="198"/>
      <c r="Q194" s="37"/>
    </row>
    <row r="195" spans="2:17" s="50" customFormat="1" hidden="1" outlineLevel="1" x14ac:dyDescent="0.3">
      <c r="B195" s="374" t="s">
        <v>214</v>
      </c>
      <c r="C195" s="375"/>
      <c r="D195" s="114">
        <v>-266</v>
      </c>
      <c r="E195" s="119">
        <f>-183-D195</f>
        <v>83</v>
      </c>
      <c r="F195" s="119">
        <f>104-E195-D195</f>
        <v>287</v>
      </c>
      <c r="G195" s="119">
        <f t="shared" ref="G195:G197" si="133">H195-(SUM(D195:F195))</f>
        <v>-1</v>
      </c>
      <c r="H195" s="117">
        <v>103</v>
      </c>
      <c r="I195" s="114">
        <v>357</v>
      </c>
      <c r="J195" s="119">
        <f>-105-I195</f>
        <v>-462</v>
      </c>
      <c r="K195" s="119">
        <f>23-J195-I195</f>
        <v>128</v>
      </c>
      <c r="L195" s="119">
        <f>M195-SUM(I195:K195)</f>
        <v>-25</v>
      </c>
      <c r="M195" s="117">
        <v>-2</v>
      </c>
      <c r="N195" s="114">
        <v>46</v>
      </c>
      <c r="O195" s="342">
        <f>922-N195</f>
        <v>876</v>
      </c>
      <c r="P195" s="198">
        <f>810-O195-N195</f>
        <v>-112</v>
      </c>
      <c r="Q195" s="37"/>
    </row>
    <row r="196" spans="2:17" s="50" customFormat="1" hidden="1" outlineLevel="1" x14ac:dyDescent="0.3">
      <c r="B196" s="368" t="s">
        <v>152</v>
      </c>
      <c r="C196" s="369"/>
      <c r="D196" s="114">
        <v>-63</v>
      </c>
      <c r="E196" s="119">
        <f>21-D196</f>
        <v>84</v>
      </c>
      <c r="F196" s="119">
        <f>710-E196-D196</f>
        <v>689</v>
      </c>
      <c r="G196" s="119">
        <f>H196-(SUM(D196:F196))</f>
        <v>-703</v>
      </c>
      <c r="H196" s="117">
        <v>7</v>
      </c>
      <c r="I196" s="114">
        <v>-279</v>
      </c>
      <c r="J196" s="119">
        <f>-199-I196</f>
        <v>80</v>
      </c>
      <c r="K196" s="119">
        <f>-573-J196-I196</f>
        <v>-374</v>
      </c>
      <c r="L196" s="119">
        <f>M196-SUM(I196:K196)</f>
        <v>-422</v>
      </c>
      <c r="M196" s="117">
        <v>-995</v>
      </c>
      <c r="N196" s="196">
        <v>-403</v>
      </c>
      <c r="O196" s="342">
        <f>-717-N196</f>
        <v>-314</v>
      </c>
      <c r="P196" s="198">
        <f>-833-O196-N196</f>
        <v>-116</v>
      </c>
      <c r="Q196" s="37"/>
    </row>
    <row r="197" spans="2:17" s="50" customFormat="1" ht="16.2" hidden="1" outlineLevel="1" x14ac:dyDescent="0.45">
      <c r="B197" s="368" t="s">
        <v>153</v>
      </c>
      <c r="C197" s="369"/>
      <c r="D197" s="148">
        <v>55</v>
      </c>
      <c r="E197" s="145">
        <f>-27-D197</f>
        <v>-82</v>
      </c>
      <c r="F197" s="145">
        <f>-225-E197-D197</f>
        <v>-198</v>
      </c>
      <c r="G197" s="145">
        <f t="shared" si="133"/>
        <v>154</v>
      </c>
      <c r="H197" s="147">
        <v>-71</v>
      </c>
      <c r="I197" s="148">
        <v>-608</v>
      </c>
      <c r="J197" s="145">
        <f>-269-I197</f>
        <v>339</v>
      </c>
      <c r="K197" s="145">
        <f>800-J197-I197</f>
        <v>1069</v>
      </c>
      <c r="L197" s="145">
        <f>M197-SUM(I197:K197)</f>
        <v>-28</v>
      </c>
      <c r="M197" s="147">
        <v>772</v>
      </c>
      <c r="N197" s="148">
        <v>-86</v>
      </c>
      <c r="O197" s="343">
        <f>-100-N197</f>
        <v>-14</v>
      </c>
      <c r="P197" s="205">
        <f>55-O197-N197</f>
        <v>155</v>
      </c>
      <c r="Q197" s="37"/>
    </row>
    <row r="198" spans="2:17" s="50" customFormat="1" hidden="1" outlineLevel="1" x14ac:dyDescent="0.3">
      <c r="B198" s="366" t="s">
        <v>154</v>
      </c>
      <c r="C198" s="367"/>
      <c r="D198" s="200">
        <f>SUM(D183:D197)+D238</f>
        <v>1729</v>
      </c>
      <c r="E198" s="144">
        <f>SUM(E183:E197)+E235+E238</f>
        <v>2460</v>
      </c>
      <c r="F198" s="144">
        <f>SUM(F183:F197)+F238+F235</f>
        <v>2324</v>
      </c>
      <c r="G198" s="201">
        <f>8466-SUM(D198:F198)</f>
        <v>1953</v>
      </c>
      <c r="H198" s="202">
        <f>SUM(D198:G198)</f>
        <v>8466</v>
      </c>
      <c r="I198" s="200">
        <f>SUM(I183:I197)+I238</f>
        <v>-4504</v>
      </c>
      <c r="J198" s="144">
        <f>SUM(J183:J197)+J235</f>
        <v>1239</v>
      </c>
      <c r="K198" s="144">
        <f>SUM(K183:K197)</f>
        <v>1129</v>
      </c>
      <c r="L198" s="144">
        <f>SUM(L183:L197)</f>
        <v>258</v>
      </c>
      <c r="M198" s="202">
        <f>SUM(I198:L198)</f>
        <v>-1878</v>
      </c>
      <c r="N198" s="200">
        <f>SUM(N183:N197)</f>
        <v>-137</v>
      </c>
      <c r="O198" s="144">
        <f>SUM(O183:O197)</f>
        <v>1229.0000000000005</v>
      </c>
      <c r="P198" s="201">
        <f>SUM(P183:P197)</f>
        <v>784.99999999999955</v>
      </c>
    </row>
    <row r="199" spans="2:17" s="50" customFormat="1" hidden="1" outlineLevel="1" x14ac:dyDescent="0.3">
      <c r="B199" s="249" t="s">
        <v>217</v>
      </c>
      <c r="C199" s="250"/>
      <c r="D199" s="142">
        <v>0</v>
      </c>
      <c r="E199" s="139">
        <v>1</v>
      </c>
      <c r="F199" s="139">
        <v>24</v>
      </c>
      <c r="G199" s="140">
        <v>1</v>
      </c>
      <c r="H199" s="141">
        <f t="shared" ref="H199:H203" si="134">SUM(D199:G199)</f>
        <v>26</v>
      </c>
      <c r="I199" s="142">
        <v>26</v>
      </c>
      <c r="J199" s="139">
        <v>3</v>
      </c>
      <c r="K199" s="139">
        <v>1</v>
      </c>
      <c r="L199" s="139">
        <v>70</v>
      </c>
      <c r="M199" s="141">
        <f t="shared" ref="M199:M203" si="135">SUM(I199:L199)</f>
        <v>100</v>
      </c>
      <c r="N199" s="139">
        <v>180</v>
      </c>
      <c r="O199" s="139">
        <v>-12</v>
      </c>
      <c r="P199" s="198"/>
      <c r="Q199" s="37"/>
    </row>
    <row r="200" spans="2:17" s="50" customFormat="1" hidden="1" outlineLevel="1" x14ac:dyDescent="0.3">
      <c r="B200" s="249" t="s">
        <v>216</v>
      </c>
      <c r="C200" s="250"/>
      <c r="D200" s="142">
        <v>520</v>
      </c>
      <c r="E200" s="139">
        <v>56</v>
      </c>
      <c r="F200" s="139">
        <v>207</v>
      </c>
      <c r="G200" s="140">
        <v>-95</v>
      </c>
      <c r="H200" s="141">
        <f t="shared" si="134"/>
        <v>688</v>
      </c>
      <c r="I200" s="142">
        <v>228</v>
      </c>
      <c r="J200" s="139">
        <v>88</v>
      </c>
      <c r="K200" s="139">
        <v>674</v>
      </c>
      <c r="L200" s="139">
        <v>8</v>
      </c>
      <c r="M200" s="141">
        <f t="shared" si="135"/>
        <v>998</v>
      </c>
      <c r="N200" s="139">
        <v>0</v>
      </c>
      <c r="O200" s="139"/>
      <c r="P200" s="198"/>
      <c r="Q200" s="37"/>
    </row>
    <row r="201" spans="2:17" s="50" customFormat="1" ht="16.2" hidden="1" outlineLevel="1" x14ac:dyDescent="0.45">
      <c r="B201" s="249" t="s">
        <v>215</v>
      </c>
      <c r="C201" s="250"/>
      <c r="D201" s="145">
        <f>D198-SUM(D195:D197)+D199+D200</f>
        <v>2523</v>
      </c>
      <c r="E201" s="145">
        <f>E198-SUM(E195:E197,E238)+E199+E200</f>
        <v>2413</v>
      </c>
      <c r="F201" s="145">
        <f>F198-SUM(F195:F197,F238)+F199+F200</f>
        <v>1758</v>
      </c>
      <c r="G201" s="145">
        <f>G198-SUM(G195:G197,G238)+G199+G200</f>
        <v>2387</v>
      </c>
      <c r="H201" s="147">
        <f t="shared" si="134"/>
        <v>9081</v>
      </c>
      <c r="I201" s="145">
        <f>I198-SUM(I195:I197,I238)+I199+I200</f>
        <v>1490</v>
      </c>
      <c r="J201" s="145">
        <f>J198-SUM(J195:J197,J238)+J199+J200</f>
        <v>1373</v>
      </c>
      <c r="K201" s="145">
        <f>K198-SUM(K195:K197,K238)+K199+K200</f>
        <v>981</v>
      </c>
      <c r="L201" s="145">
        <f>L198-SUM(L195:L197,L238)+L199+L200</f>
        <v>811</v>
      </c>
      <c r="M201" s="147">
        <f t="shared" si="135"/>
        <v>4655</v>
      </c>
      <c r="N201" s="145">
        <f>N198-SUM(N195:N197,N238)+N199+N200</f>
        <v>486</v>
      </c>
      <c r="O201" s="145">
        <f>O198-SUM(O195:O197,O238)+O199+O200</f>
        <v>669.00000000000045</v>
      </c>
      <c r="P201" s="198"/>
      <c r="Q201" s="37"/>
    </row>
    <row r="202" spans="2:17" s="50" customFormat="1" ht="16.2" hidden="1" outlineLevel="1" x14ac:dyDescent="0.45">
      <c r="B202" s="249" t="s">
        <v>221</v>
      </c>
      <c r="C202" s="250"/>
      <c r="D202" s="145">
        <v>2568</v>
      </c>
      <c r="E202" s="145">
        <v>2402</v>
      </c>
      <c r="F202" s="145">
        <v>2117</v>
      </c>
      <c r="G202" s="145">
        <v>2169</v>
      </c>
      <c r="H202" s="147">
        <f t="shared" si="134"/>
        <v>9256</v>
      </c>
      <c r="I202" s="145">
        <f>1822</f>
        <v>1822</v>
      </c>
      <c r="J202" s="145">
        <v>1401</v>
      </c>
      <c r="K202" s="145">
        <v>1352</v>
      </c>
      <c r="L202" s="145">
        <v>1313</v>
      </c>
      <c r="M202" s="147">
        <f t="shared" si="135"/>
        <v>5888</v>
      </c>
      <c r="N202" s="145">
        <v>896</v>
      </c>
      <c r="O202" s="145">
        <v>728</v>
      </c>
      <c r="P202" s="198"/>
      <c r="Q202" s="37"/>
    </row>
    <row r="203" spans="2:17" s="50" customFormat="1" hidden="1" outlineLevel="1" x14ac:dyDescent="0.3">
      <c r="B203" s="249" t="s">
        <v>222</v>
      </c>
      <c r="C203" s="250"/>
      <c r="D203" s="144">
        <f>D201-D202</f>
        <v>-45</v>
      </c>
      <c r="E203" s="144">
        <f>E201-E202</f>
        <v>11</v>
      </c>
      <c r="F203" s="144">
        <f>F201-F202</f>
        <v>-359</v>
      </c>
      <c r="G203" s="144">
        <f>G201-G202</f>
        <v>218</v>
      </c>
      <c r="H203" s="202">
        <f t="shared" si="134"/>
        <v>-175</v>
      </c>
      <c r="I203" s="144">
        <f>I201-I202</f>
        <v>-332</v>
      </c>
      <c r="J203" s="144">
        <f>J201-J202</f>
        <v>-28</v>
      </c>
      <c r="K203" s="144">
        <f>K201-K202</f>
        <v>-371</v>
      </c>
      <c r="L203" s="144">
        <f>L201-L202</f>
        <v>-502</v>
      </c>
      <c r="M203" s="202">
        <f t="shared" si="135"/>
        <v>-1233</v>
      </c>
      <c r="N203" s="144">
        <f>N201-N202</f>
        <v>-410</v>
      </c>
      <c r="O203" s="144">
        <f>O201-O202</f>
        <v>-58.999999999999545</v>
      </c>
      <c r="P203" s="198"/>
      <c r="Q203" s="37"/>
    </row>
    <row r="204" spans="2:17" s="50" customFormat="1" hidden="1" outlineLevel="1" x14ac:dyDescent="0.3">
      <c r="B204" s="372" t="s">
        <v>69</v>
      </c>
      <c r="C204" s="373"/>
      <c r="D204" s="108"/>
      <c r="E204" s="109"/>
      <c r="F204" s="109"/>
      <c r="G204" s="110"/>
      <c r="H204" s="111"/>
      <c r="I204" s="108"/>
      <c r="J204" s="109"/>
      <c r="K204" s="109"/>
      <c r="L204" s="119"/>
      <c r="M204" s="111">
        <f t="shared" ref="M204" si="136">SUM(I204:L204)</f>
        <v>0</v>
      </c>
      <c r="N204" s="37"/>
      <c r="O204" s="342"/>
      <c r="P204" s="198"/>
    </row>
    <row r="205" spans="2:17" s="50" customFormat="1" hidden="1" outlineLevel="1" x14ac:dyDescent="0.3">
      <c r="B205" s="368" t="s">
        <v>155</v>
      </c>
      <c r="C205" s="369"/>
      <c r="D205" s="114">
        <v>-2501</v>
      </c>
      <c r="E205" s="119">
        <f>-5100-D205</f>
        <v>-2599</v>
      </c>
      <c r="F205" s="119">
        <f>-7289-E205-D205</f>
        <v>-2189</v>
      </c>
      <c r="G205" s="119">
        <f t="shared" ref="G205:G207" si="137">H205-(SUM(D205:F205))</f>
        <v>-2219</v>
      </c>
      <c r="H205" s="195">
        <v>-9508</v>
      </c>
      <c r="I205" s="114">
        <v>-1957</v>
      </c>
      <c r="J205" s="119">
        <f>-3501-I205</f>
        <v>-1544</v>
      </c>
      <c r="K205" s="119">
        <f>-4861-J205-I205</f>
        <v>-1360</v>
      </c>
      <c r="L205" s="119">
        <f t="shared" ref="L205:L208" si="138">M205-SUM(I205:K205)</f>
        <v>-1206</v>
      </c>
      <c r="M205" s="195">
        <v>-6067</v>
      </c>
      <c r="N205" s="37">
        <v>-1022</v>
      </c>
      <c r="O205" s="342">
        <f>-1879-N205</f>
        <v>-857</v>
      </c>
      <c r="P205" s="198">
        <f>-2618-O205-N205</f>
        <v>-739</v>
      </c>
    </row>
    <row r="206" spans="2:17" s="50" customFormat="1" hidden="1" outlineLevel="1" x14ac:dyDescent="0.3">
      <c r="B206" s="189" t="s">
        <v>180</v>
      </c>
      <c r="C206" s="190"/>
      <c r="D206" s="114">
        <v>-4</v>
      </c>
      <c r="E206" s="119">
        <f>-3-D206</f>
        <v>1</v>
      </c>
      <c r="F206" s="119">
        <v>0</v>
      </c>
      <c r="G206" s="119">
        <f t="shared" si="137"/>
        <v>-1524</v>
      </c>
      <c r="H206" s="195">
        <v>-1527</v>
      </c>
      <c r="I206" s="114">
        <v>0</v>
      </c>
      <c r="J206" s="119">
        <f>-3</f>
        <v>-3</v>
      </c>
      <c r="K206" s="119">
        <v>0</v>
      </c>
      <c r="L206" s="119">
        <f t="shared" si="138"/>
        <v>0</v>
      </c>
      <c r="M206" s="195">
        <v>-3</v>
      </c>
      <c r="N206" s="37">
        <v>0</v>
      </c>
      <c r="O206" s="342">
        <v>0</v>
      </c>
      <c r="P206" s="198">
        <v>0</v>
      </c>
    </row>
    <row r="207" spans="2:17" s="50" customFormat="1" hidden="1" outlineLevel="1" x14ac:dyDescent="0.3">
      <c r="B207" s="368" t="s">
        <v>156</v>
      </c>
      <c r="C207" s="369"/>
      <c r="D207" s="114">
        <v>3257</v>
      </c>
      <c r="E207" s="119">
        <f>3286-D207</f>
        <v>29</v>
      </c>
      <c r="F207" s="119">
        <f>4770-E207-D207</f>
        <v>1484</v>
      </c>
      <c r="G207" s="119">
        <f t="shared" si="137"/>
        <v>198</v>
      </c>
      <c r="H207" s="195">
        <v>4968</v>
      </c>
      <c r="I207" s="114">
        <v>22</v>
      </c>
      <c r="J207" s="119">
        <f>700-I207</f>
        <v>678</v>
      </c>
      <c r="K207" s="119">
        <f>1248-J207-I207</f>
        <v>548</v>
      </c>
      <c r="L207" s="119">
        <f t="shared" si="138"/>
        <v>167</v>
      </c>
      <c r="M207" s="195">
        <v>1415</v>
      </c>
      <c r="N207" s="37">
        <v>35</v>
      </c>
      <c r="O207" s="342">
        <f>900-N207</f>
        <v>865</v>
      </c>
      <c r="P207" s="198">
        <f>1281-O207-N207</f>
        <v>381</v>
      </c>
    </row>
    <row r="208" spans="2:17" s="50" customFormat="1" ht="16.2" hidden="1" outlineLevel="1" x14ac:dyDescent="0.45">
      <c r="B208" s="122" t="s">
        <v>157</v>
      </c>
      <c r="C208" s="123"/>
      <c r="D208" s="148">
        <v>-170</v>
      </c>
      <c r="E208" s="145">
        <f>-282-D208</f>
        <v>-112</v>
      </c>
      <c r="F208" s="145">
        <f>-376-E208-D208</f>
        <v>-94</v>
      </c>
      <c r="G208" s="145">
        <f t="shared" ref="G208" si="139">H208-(SUM(D208:F208))</f>
        <v>-29</v>
      </c>
      <c r="H208" s="147">
        <v>-405</v>
      </c>
      <c r="I208" s="148">
        <v>10</v>
      </c>
      <c r="J208" s="145">
        <f>19-I208</f>
        <v>9</v>
      </c>
      <c r="K208" s="145">
        <f>-83-J208-I208</f>
        <v>-102</v>
      </c>
      <c r="L208" s="145">
        <f t="shared" si="138"/>
        <v>-33</v>
      </c>
      <c r="M208" s="147">
        <v>-116</v>
      </c>
      <c r="N208" s="204">
        <v>14</v>
      </c>
      <c r="O208" s="343">
        <f>14-N208</f>
        <v>0</v>
      </c>
      <c r="P208" s="205">
        <f>81-O208-N208</f>
        <v>67</v>
      </c>
    </row>
    <row r="209" spans="2:17" s="50" customFormat="1" hidden="1" outlineLevel="1" x14ac:dyDescent="0.3">
      <c r="B209" s="366" t="s">
        <v>167</v>
      </c>
      <c r="C209" s="367"/>
      <c r="D209" s="200">
        <f t="shared" ref="D209:P209" si="140">SUM(D205:D208)</f>
        <v>582</v>
      </c>
      <c r="E209" s="144">
        <f t="shared" si="140"/>
        <v>-2681</v>
      </c>
      <c r="F209" s="144">
        <f t="shared" si="140"/>
        <v>-799</v>
      </c>
      <c r="G209" s="201">
        <f t="shared" si="140"/>
        <v>-3574</v>
      </c>
      <c r="H209" s="202">
        <f t="shared" si="140"/>
        <v>-6472</v>
      </c>
      <c r="I209" s="200">
        <f t="shared" si="140"/>
        <v>-1925</v>
      </c>
      <c r="J209" s="144">
        <f t="shared" si="140"/>
        <v>-860</v>
      </c>
      <c r="K209" s="144">
        <f t="shared" si="140"/>
        <v>-914</v>
      </c>
      <c r="L209" s="144">
        <f t="shared" si="140"/>
        <v>-1072</v>
      </c>
      <c r="M209" s="202">
        <f t="shared" si="140"/>
        <v>-4771</v>
      </c>
      <c r="N209" s="200">
        <f t="shared" si="140"/>
        <v>-973</v>
      </c>
      <c r="O209" s="144">
        <f t="shared" si="140"/>
        <v>8</v>
      </c>
      <c r="P209" s="201">
        <f t="shared" si="140"/>
        <v>-291</v>
      </c>
    </row>
    <row r="210" spans="2:17" s="50" customFormat="1" hidden="1" outlineLevel="1" x14ac:dyDescent="0.3">
      <c r="B210" s="372" t="s">
        <v>70</v>
      </c>
      <c r="C210" s="373"/>
      <c r="D210" s="114"/>
      <c r="E210" s="119"/>
      <c r="F210" s="119"/>
      <c r="G210" s="197"/>
      <c r="H210" s="195"/>
      <c r="I210" s="114"/>
      <c r="J210" s="119"/>
      <c r="K210" s="119"/>
      <c r="L210" s="119"/>
      <c r="M210" s="195"/>
      <c r="N210" s="37"/>
      <c r="O210" s="342"/>
      <c r="P210" s="198"/>
    </row>
    <row r="211" spans="2:17" s="50" customFormat="1" hidden="1" outlineLevel="1" x14ac:dyDescent="0.3">
      <c r="B211" s="93" t="s">
        <v>158</v>
      </c>
      <c r="C211" s="94"/>
      <c r="D211" s="114">
        <v>918</v>
      </c>
      <c r="E211" s="119">
        <f>1077-D211</f>
        <v>159</v>
      </c>
      <c r="F211" s="119">
        <f>2370-E211-D211</f>
        <v>1293</v>
      </c>
      <c r="G211" s="119">
        <f t="shared" ref="G211:G219" si="141">H211-(SUM(D211:F211))</f>
        <v>509</v>
      </c>
      <c r="H211" s="195">
        <v>2879</v>
      </c>
      <c r="I211" s="114">
        <v>4583</v>
      </c>
      <c r="J211" s="119">
        <f>4787-I211</f>
        <v>204</v>
      </c>
      <c r="K211" s="119">
        <f>4810-J211-I211</f>
        <v>23</v>
      </c>
      <c r="L211" s="119">
        <f t="shared" ref="L211:L219" si="142">M211-SUM(I211:K211)</f>
        <v>-178</v>
      </c>
      <c r="M211" s="195">
        <v>4632</v>
      </c>
      <c r="N211" s="37">
        <v>4682</v>
      </c>
      <c r="O211" s="342">
        <f>5275-N211</f>
        <v>593</v>
      </c>
      <c r="P211" s="198">
        <f>5840-O211-N211</f>
        <v>565</v>
      </c>
    </row>
    <row r="212" spans="2:17" s="50" customFormat="1" hidden="1" outlineLevel="1" x14ac:dyDescent="0.3">
      <c r="B212" s="93" t="s">
        <v>159</v>
      </c>
      <c r="C212" s="94"/>
      <c r="D212" s="114">
        <v>-930</v>
      </c>
      <c r="E212" s="119">
        <f>-1255-D212</f>
        <v>-325</v>
      </c>
      <c r="F212" s="119">
        <f>-1255-E212-D212</f>
        <v>0</v>
      </c>
      <c r="G212" s="119">
        <f t="shared" si="141"/>
        <v>-170</v>
      </c>
      <c r="H212" s="195">
        <v>-1425</v>
      </c>
      <c r="I212" s="114">
        <v>-2830</v>
      </c>
      <c r="J212" s="119">
        <f>-3857-I212</f>
        <v>-1027</v>
      </c>
      <c r="K212" s="119">
        <f>-4024-J212-I212</f>
        <v>-167</v>
      </c>
      <c r="L212" s="119">
        <f t="shared" si="142"/>
        <v>-9</v>
      </c>
      <c r="M212" s="195">
        <v>-4033</v>
      </c>
      <c r="N212" s="37">
        <v>-1608</v>
      </c>
      <c r="O212" s="342">
        <f>-5425-N212</f>
        <v>-3817</v>
      </c>
      <c r="P212" s="198">
        <f>-6023-O212-N212</f>
        <v>-598</v>
      </c>
    </row>
    <row r="213" spans="2:17" s="50" customFormat="1" hidden="1" outlineLevel="1" x14ac:dyDescent="0.3">
      <c r="B213" s="368" t="s">
        <v>160</v>
      </c>
      <c r="C213" s="369"/>
      <c r="D213" s="114">
        <v>0</v>
      </c>
      <c r="E213" s="119">
        <f>-222</f>
        <v>-222</v>
      </c>
      <c r="F213" s="119">
        <f>-222-E213-D213</f>
        <v>0</v>
      </c>
      <c r="G213" s="119">
        <f t="shared" si="141"/>
        <v>0</v>
      </c>
      <c r="H213" s="195">
        <v>-222</v>
      </c>
      <c r="I213" s="114">
        <v>-146</v>
      </c>
      <c r="J213" s="119">
        <f>-77-I213</f>
        <v>69</v>
      </c>
      <c r="K213" s="119">
        <f>-44-J213-I213</f>
        <v>33</v>
      </c>
      <c r="L213" s="119">
        <f t="shared" si="142"/>
        <v>9</v>
      </c>
      <c r="M213" s="195">
        <v>-35</v>
      </c>
      <c r="N213" s="37">
        <v>-555</v>
      </c>
      <c r="O213" s="342">
        <f>-727-N213</f>
        <v>-172</v>
      </c>
      <c r="P213" s="198">
        <f>-639-O213-N213</f>
        <v>88</v>
      </c>
    </row>
    <row r="214" spans="2:17" s="50" customFormat="1" hidden="1" outlineLevel="1" x14ac:dyDescent="0.3">
      <c r="B214" s="368" t="s">
        <v>161</v>
      </c>
      <c r="C214" s="369"/>
      <c r="D214" s="114">
        <v>97</v>
      </c>
      <c r="E214" s="119">
        <f>178-D214</f>
        <v>81</v>
      </c>
      <c r="F214" s="119">
        <f>134-E214-D214</f>
        <v>-44</v>
      </c>
      <c r="G214" s="119">
        <f t="shared" si="141"/>
        <v>-72</v>
      </c>
      <c r="H214" s="195">
        <v>62</v>
      </c>
      <c r="I214" s="114">
        <v>-39</v>
      </c>
      <c r="J214" s="119">
        <f>-109-I214</f>
        <v>-70</v>
      </c>
      <c r="K214" s="119">
        <f>-103-J214-I214</f>
        <v>6</v>
      </c>
      <c r="L214" s="119">
        <f t="shared" si="142"/>
        <v>80</v>
      </c>
      <c r="M214" s="195">
        <v>-23</v>
      </c>
      <c r="N214" s="37">
        <v>-150</v>
      </c>
      <c r="O214" s="342">
        <f>-159-N214</f>
        <v>-9</v>
      </c>
      <c r="P214" s="198">
        <f>-126-O214-N214</f>
        <v>33</v>
      </c>
    </row>
    <row r="215" spans="2:17" s="50" customFormat="1" hidden="1" outlineLevel="1" x14ac:dyDescent="0.3">
      <c r="B215" s="368" t="s">
        <v>162</v>
      </c>
      <c r="C215" s="369"/>
      <c r="D215" s="114">
        <v>-92</v>
      </c>
      <c r="E215" s="119">
        <f>-230-D215</f>
        <v>-138</v>
      </c>
      <c r="F215" s="119">
        <f>-368-E215-D215</f>
        <v>-138</v>
      </c>
      <c r="G215" s="119">
        <f t="shared" si="141"/>
        <v>-137</v>
      </c>
      <c r="H215" s="195">
        <v>-505</v>
      </c>
      <c r="I215" s="114">
        <v>-139</v>
      </c>
      <c r="J215" s="119">
        <f>-277-I215</f>
        <v>-138</v>
      </c>
      <c r="K215" s="119">
        <f>-415-J215-I215</f>
        <v>-138</v>
      </c>
      <c r="L215" s="119">
        <f t="shared" si="142"/>
        <v>-138</v>
      </c>
      <c r="M215" s="195">
        <v>-553</v>
      </c>
      <c r="N215" s="37">
        <v>-25</v>
      </c>
      <c r="O215" s="342">
        <f>-51-N215</f>
        <v>-26</v>
      </c>
      <c r="P215" s="198">
        <f>-78-O215-N215</f>
        <v>-27</v>
      </c>
    </row>
    <row r="216" spans="2:17" s="50" customFormat="1" hidden="1" outlineLevel="1" x14ac:dyDescent="0.3">
      <c r="B216" s="122" t="s">
        <v>163</v>
      </c>
      <c r="C216" s="123"/>
      <c r="D216" s="114">
        <v>-35</v>
      </c>
      <c r="E216" s="119">
        <f>-35-D216</f>
        <v>0</v>
      </c>
      <c r="F216" s="119">
        <f>-36-E216-D216</f>
        <v>-1</v>
      </c>
      <c r="G216" s="119">
        <f t="shared" si="141"/>
        <v>-9</v>
      </c>
      <c r="H216" s="195">
        <v>-45</v>
      </c>
      <c r="I216" s="114">
        <v>-36</v>
      </c>
      <c r="J216" s="119">
        <f>-37-I216</f>
        <v>-1</v>
      </c>
      <c r="K216" s="119">
        <f>-38-J216-I216</f>
        <v>-1</v>
      </c>
      <c r="L216" s="119">
        <f t="shared" si="142"/>
        <v>-17</v>
      </c>
      <c r="M216" s="195">
        <v>-55</v>
      </c>
      <c r="N216" s="37">
        <v>-30</v>
      </c>
      <c r="O216" s="342">
        <f>-31-N216</f>
        <v>-1</v>
      </c>
      <c r="P216" s="198">
        <f>-32-O216-N216</f>
        <v>-1</v>
      </c>
    </row>
    <row r="217" spans="2:17" s="50" customFormat="1" ht="28.5" hidden="1" customHeight="1" outlineLevel="1" x14ac:dyDescent="0.3">
      <c r="B217" s="370" t="s">
        <v>164</v>
      </c>
      <c r="C217" s="371"/>
      <c r="D217" s="114">
        <v>13</v>
      </c>
      <c r="E217" s="119">
        <f>73-D217</f>
        <v>60</v>
      </c>
      <c r="F217" s="119">
        <f>117-E217-D217</f>
        <v>44</v>
      </c>
      <c r="G217" s="119">
        <f t="shared" si="141"/>
        <v>4</v>
      </c>
      <c r="H217" s="195">
        <v>121</v>
      </c>
      <c r="I217" s="114">
        <v>12</v>
      </c>
      <c r="J217" s="119">
        <f>19-I217</f>
        <v>7</v>
      </c>
      <c r="K217" s="119">
        <f>21-J217-I217</f>
        <v>2</v>
      </c>
      <c r="L217" s="119">
        <f t="shared" si="142"/>
        <v>13</v>
      </c>
      <c r="M217" s="195">
        <v>34</v>
      </c>
      <c r="N217" s="37">
        <v>30</v>
      </c>
      <c r="O217" s="342">
        <f>30-N217</f>
        <v>0</v>
      </c>
      <c r="P217" s="198">
        <f>2188-O217-N217</f>
        <v>2158</v>
      </c>
    </row>
    <row r="218" spans="2:17" s="50" customFormat="1" ht="14.7" hidden="1" customHeight="1" outlineLevel="1" x14ac:dyDescent="0.3">
      <c r="B218" s="191" t="s">
        <v>170</v>
      </c>
      <c r="C218" s="192"/>
      <c r="D218" s="114">
        <v>18</v>
      </c>
      <c r="E218" s="119">
        <f>92-D218</f>
        <v>74</v>
      </c>
      <c r="F218" s="119">
        <v>0</v>
      </c>
      <c r="G218" s="119">
        <f t="shared" si="141"/>
        <v>934</v>
      </c>
      <c r="H218" s="195">
        <v>1026</v>
      </c>
      <c r="I218" s="114">
        <v>31</v>
      </c>
      <c r="J218" s="119">
        <v>156</v>
      </c>
      <c r="K218" s="119">
        <v>0</v>
      </c>
      <c r="L218" s="119">
        <v>0</v>
      </c>
      <c r="M218" s="195">
        <f t="shared" ref="M218" si="143">SUM(I218:L218)</f>
        <v>187</v>
      </c>
      <c r="N218" s="119">
        <f>N228</f>
        <v>440</v>
      </c>
      <c r="O218" s="342">
        <f>O228</f>
        <v>723</v>
      </c>
      <c r="P218" s="198">
        <f>1163-O218-N218</f>
        <v>0</v>
      </c>
    </row>
    <row r="219" spans="2:17" s="50" customFormat="1" hidden="1" outlineLevel="1" x14ac:dyDescent="0.3">
      <c r="B219" s="122" t="s">
        <v>165</v>
      </c>
      <c r="C219" s="123"/>
      <c r="D219" s="114">
        <v>-51</v>
      </c>
      <c r="E219" s="119">
        <f>-102-D219</f>
        <v>-51</v>
      </c>
      <c r="F219" s="119">
        <f>-157-E219-D219</f>
        <v>-55</v>
      </c>
      <c r="G219" s="119">
        <f t="shared" si="141"/>
        <v>-59</v>
      </c>
      <c r="H219" s="195">
        <v>-216</v>
      </c>
      <c r="I219" s="114">
        <v>-67</v>
      </c>
      <c r="J219" s="119">
        <f>-135-I219</f>
        <v>-68</v>
      </c>
      <c r="K219" s="119">
        <f>-208-J219-I219</f>
        <v>-73</v>
      </c>
      <c r="L219" s="119">
        <f t="shared" si="142"/>
        <v>-74</v>
      </c>
      <c r="M219" s="195">
        <v>-282</v>
      </c>
      <c r="N219" s="37">
        <v>-78</v>
      </c>
      <c r="O219" s="342">
        <f>-159-N219</f>
        <v>-81</v>
      </c>
      <c r="P219" s="198">
        <f>-260-O219-N219</f>
        <v>-101</v>
      </c>
    </row>
    <row r="220" spans="2:17" s="50" customFormat="1" ht="30" hidden="1" customHeight="1" outlineLevel="1" x14ac:dyDescent="0.45">
      <c r="B220" s="370" t="s">
        <v>166</v>
      </c>
      <c r="C220" s="371"/>
      <c r="D220" s="148">
        <v>0</v>
      </c>
      <c r="E220" s="145">
        <v>0</v>
      </c>
      <c r="F220" s="145">
        <v>0</v>
      </c>
      <c r="G220" s="146">
        <v>0</v>
      </c>
      <c r="H220" s="147">
        <f t="shared" ref="H220" si="144">SUM(D220:G220)</f>
        <v>0</v>
      </c>
      <c r="I220" s="148">
        <v>0</v>
      </c>
      <c r="J220" s="145">
        <v>0</v>
      </c>
      <c r="K220" s="145">
        <v>0</v>
      </c>
      <c r="L220" s="145">
        <v>0</v>
      </c>
      <c r="M220" s="147">
        <f>SUM(I220:L220)</f>
        <v>0</v>
      </c>
      <c r="N220" s="145">
        <v>413</v>
      </c>
      <c r="O220" s="343">
        <f>413-N220</f>
        <v>0</v>
      </c>
      <c r="P220" s="205">
        <f>413-O220-N220</f>
        <v>0</v>
      </c>
    </row>
    <row r="221" spans="2:17" s="50" customFormat="1" hidden="1" outlineLevel="1" x14ac:dyDescent="0.3">
      <c r="B221" s="366" t="s">
        <v>168</v>
      </c>
      <c r="C221" s="367"/>
      <c r="D221" s="200">
        <f t="shared" ref="D221:P221" si="145">SUM(D211:D220)</f>
        <v>-62</v>
      </c>
      <c r="E221" s="144">
        <f>SUM(E211:E220)</f>
        <v>-362</v>
      </c>
      <c r="F221" s="144">
        <f>SUM(F211:F220)+F231</f>
        <v>1441</v>
      </c>
      <c r="G221" s="201">
        <f t="shared" si="145"/>
        <v>1000</v>
      </c>
      <c r="H221" s="201">
        <f t="shared" si="145"/>
        <v>1675</v>
      </c>
      <c r="I221" s="200">
        <f t="shared" si="145"/>
        <v>1369</v>
      </c>
      <c r="J221" s="144">
        <f>SUM(J211:J220)+348</f>
        <v>-520</v>
      </c>
      <c r="K221" s="144">
        <f t="shared" si="145"/>
        <v>-315</v>
      </c>
      <c r="L221" s="144">
        <f>SUM(L211:L220)</f>
        <v>-314</v>
      </c>
      <c r="M221" s="144">
        <f>SUM(M211:M220)+L232</f>
        <v>220</v>
      </c>
      <c r="N221" s="200">
        <f t="shared" si="145"/>
        <v>3119</v>
      </c>
      <c r="O221" s="144">
        <f t="shared" si="145"/>
        <v>-2790</v>
      </c>
      <c r="P221" s="201">
        <f t="shared" si="145"/>
        <v>2117</v>
      </c>
      <c r="Q221" s="37"/>
    </row>
    <row r="222" spans="2:17" s="51" customFormat="1" hidden="1" outlineLevel="1" x14ac:dyDescent="0.3">
      <c r="B222" s="93" t="s">
        <v>72</v>
      </c>
      <c r="C222" s="94"/>
      <c r="D222" s="142">
        <v>-23</v>
      </c>
      <c r="E222" s="179">
        <f>0-D222</f>
        <v>23</v>
      </c>
      <c r="F222" s="179">
        <f>1-E222-D222</f>
        <v>1</v>
      </c>
      <c r="G222" s="119">
        <f t="shared" ref="G222:G223" si="146">H222-(SUM(D222:F222))</f>
        <v>1</v>
      </c>
      <c r="H222" s="180">
        <v>2</v>
      </c>
      <c r="I222" s="208">
        <v>-1</v>
      </c>
      <c r="J222" s="179">
        <f>1-I222</f>
        <v>2</v>
      </c>
      <c r="K222" s="139">
        <f>-1-J222-I222</f>
        <v>-2</v>
      </c>
      <c r="L222" s="119">
        <f t="shared" ref="L222:L223" si="147">M222-SUM(I222:K222)</f>
        <v>-1</v>
      </c>
      <c r="M222" s="180">
        <v>-2</v>
      </c>
      <c r="N222" s="203">
        <v>-1</v>
      </c>
      <c r="O222" s="344">
        <f>-1-N222</f>
        <v>0</v>
      </c>
      <c r="P222" s="198">
        <f>-1-O222-N222</f>
        <v>0</v>
      </c>
    </row>
    <row r="223" spans="2:17" s="51" customFormat="1" ht="16.2" hidden="1" outlineLevel="1" x14ac:dyDescent="0.45">
      <c r="B223" s="368" t="s">
        <v>71</v>
      </c>
      <c r="C223" s="369"/>
      <c r="D223" s="148">
        <v>2226</v>
      </c>
      <c r="E223" s="178">
        <f>1667-D223</f>
        <v>-559</v>
      </c>
      <c r="F223" s="178">
        <f>4637-E223-D223</f>
        <v>2970</v>
      </c>
      <c r="G223" s="145">
        <f t="shared" si="146"/>
        <v>-966</v>
      </c>
      <c r="H223" s="181">
        <v>3671</v>
      </c>
      <c r="I223" s="209">
        <v>-5061</v>
      </c>
      <c r="J223" s="178">
        <f>-5196-I223</f>
        <v>-135</v>
      </c>
      <c r="K223" s="145">
        <f>-5297-J223-I223</f>
        <v>-101</v>
      </c>
      <c r="L223" s="145">
        <f t="shared" si="147"/>
        <v>-1133</v>
      </c>
      <c r="M223" s="181">
        <v>-6430</v>
      </c>
      <c r="N223" s="204">
        <f>2008</f>
        <v>2008</v>
      </c>
      <c r="O223" s="343">
        <f>455-N223</f>
        <v>-1553</v>
      </c>
      <c r="P223" s="350">
        <f>3041-O223-N223</f>
        <v>2586</v>
      </c>
    </row>
    <row r="224" spans="2:17" s="50" customFormat="1" hidden="1" outlineLevel="1" x14ac:dyDescent="0.3">
      <c r="B224" s="366" t="s">
        <v>73</v>
      </c>
      <c r="C224" s="367"/>
      <c r="D224" s="200">
        <v>3698</v>
      </c>
      <c r="E224" s="144">
        <v>5924</v>
      </c>
      <c r="F224" s="144">
        <v>5365</v>
      </c>
      <c r="G224" s="144">
        <v>8335</v>
      </c>
      <c r="H224" s="200">
        <f>D224</f>
        <v>3698</v>
      </c>
      <c r="I224" s="210">
        <v>7369</v>
      </c>
      <c r="J224" s="206">
        <f>I225</f>
        <v>2308</v>
      </c>
      <c r="K224" s="206">
        <f>J225</f>
        <v>2173</v>
      </c>
      <c r="L224" s="206">
        <f>K225</f>
        <v>2072</v>
      </c>
      <c r="M224" s="211">
        <f>I224</f>
        <v>7369</v>
      </c>
      <c r="N224" s="61">
        <v>939</v>
      </c>
      <c r="O224" s="345">
        <f>N225</f>
        <v>2947</v>
      </c>
      <c r="P224" s="207">
        <f>O225</f>
        <v>1394</v>
      </c>
    </row>
    <row r="225" spans="1:16" s="50" customFormat="1" hidden="1" outlineLevel="1" x14ac:dyDescent="0.3">
      <c r="B225" s="366" t="s">
        <v>74</v>
      </c>
      <c r="C225" s="367"/>
      <c r="D225" s="200">
        <f t="shared" ref="D225:P225" si="148">D223+D224</f>
        <v>5924</v>
      </c>
      <c r="E225" s="144">
        <f t="shared" si="148"/>
        <v>5365</v>
      </c>
      <c r="F225" s="144">
        <f t="shared" si="148"/>
        <v>8335</v>
      </c>
      <c r="G225" s="144">
        <f t="shared" si="148"/>
        <v>7369</v>
      </c>
      <c r="H225" s="202">
        <f t="shared" si="148"/>
        <v>7369</v>
      </c>
      <c r="I225" s="200">
        <f t="shared" si="148"/>
        <v>2308</v>
      </c>
      <c r="J225" s="144">
        <f t="shared" si="148"/>
        <v>2173</v>
      </c>
      <c r="K225" s="144">
        <f t="shared" si="148"/>
        <v>2072</v>
      </c>
      <c r="L225" s="144">
        <f t="shared" si="148"/>
        <v>939</v>
      </c>
      <c r="M225" s="202">
        <f t="shared" si="148"/>
        <v>939</v>
      </c>
      <c r="N225" s="200">
        <f t="shared" si="148"/>
        <v>2947</v>
      </c>
      <c r="O225" s="144">
        <f t="shared" si="148"/>
        <v>1394</v>
      </c>
      <c r="P225" s="201">
        <f t="shared" si="148"/>
        <v>3980</v>
      </c>
    </row>
    <row r="226" spans="1:16" s="60" customFormat="1" hidden="1" outlineLevel="1" x14ac:dyDescent="0.3">
      <c r="B226" s="291" t="s">
        <v>169</v>
      </c>
      <c r="C226" s="292"/>
      <c r="D226" s="200"/>
      <c r="E226" s="144"/>
      <c r="F226" s="144"/>
      <c r="G226" s="201"/>
      <c r="H226" s="202"/>
      <c r="I226" s="200"/>
      <c r="J226" s="144"/>
      <c r="K226" s="144"/>
      <c r="L226" s="144"/>
      <c r="M226" s="202"/>
      <c r="N226" s="14"/>
      <c r="O226" s="196"/>
      <c r="P226" s="349"/>
    </row>
    <row r="227" spans="1:16" s="60" customFormat="1" hidden="1" outlineLevel="1" x14ac:dyDescent="0.3">
      <c r="B227" s="291" t="s">
        <v>70</v>
      </c>
      <c r="C227" s="292"/>
      <c r="D227" s="200"/>
      <c r="E227" s="144"/>
      <c r="F227" s="144"/>
      <c r="G227" s="201"/>
      <c r="H227" s="202"/>
      <c r="I227" s="200"/>
      <c r="J227" s="144"/>
      <c r="K227" s="144"/>
      <c r="L227" s="144"/>
      <c r="M227" s="202"/>
      <c r="N227" s="14"/>
      <c r="O227" s="196"/>
      <c r="P227" s="349"/>
    </row>
    <row r="228" spans="1:16" s="60" customFormat="1" hidden="1" outlineLevel="1" x14ac:dyDescent="0.3">
      <c r="B228" s="290" t="s">
        <v>170</v>
      </c>
      <c r="C228" s="292"/>
      <c r="D228" s="142"/>
      <c r="E228" s="139"/>
      <c r="F228" s="139"/>
      <c r="G228" s="140">
        <v>1026</v>
      </c>
      <c r="H228" s="141"/>
      <c r="I228" s="142">
        <v>31</v>
      </c>
      <c r="J228" s="139">
        <f>187-I228</f>
        <v>156</v>
      </c>
      <c r="K228" s="139"/>
      <c r="L228" s="139">
        <f>187-K228-J228-I228</f>
        <v>0</v>
      </c>
      <c r="M228" s="141"/>
      <c r="N228" s="213">
        <v>440</v>
      </c>
      <c r="O228" s="346">
        <f>1163-N228</f>
        <v>723</v>
      </c>
      <c r="P228" s="212"/>
    </row>
    <row r="229" spans="1:16" s="60" customFormat="1" hidden="1" outlineLevel="1" x14ac:dyDescent="0.3">
      <c r="B229" s="291" t="s">
        <v>181</v>
      </c>
      <c r="C229" s="292"/>
      <c r="D229" s="200"/>
      <c r="E229" s="144"/>
      <c r="F229" s="144"/>
      <c r="G229" s="201"/>
      <c r="H229" s="202"/>
      <c r="I229" s="200"/>
      <c r="J229" s="144"/>
      <c r="K229" s="144"/>
      <c r="L229" s="144"/>
      <c r="M229" s="202"/>
      <c r="N229" s="14"/>
      <c r="O229" s="196"/>
      <c r="P229" s="349"/>
    </row>
    <row r="230" spans="1:16" s="60" customFormat="1" hidden="1" outlineLevel="1" x14ac:dyDescent="0.3">
      <c r="B230" s="291" t="s">
        <v>70</v>
      </c>
      <c r="C230" s="292"/>
      <c r="D230" s="200"/>
      <c r="E230" s="144"/>
      <c r="F230" s="144"/>
      <c r="G230" s="201"/>
      <c r="H230" s="202"/>
      <c r="I230" s="200"/>
      <c r="J230" s="144"/>
      <c r="K230" s="144"/>
      <c r="L230" s="144"/>
      <c r="M230" s="202"/>
      <c r="N230" s="14"/>
      <c r="O230" s="196"/>
      <c r="P230" s="349"/>
    </row>
    <row r="231" spans="1:16" s="60" customFormat="1" hidden="1" outlineLevel="1" x14ac:dyDescent="0.3">
      <c r="B231" s="290" t="s">
        <v>182</v>
      </c>
      <c r="C231" s="292"/>
      <c r="D231" s="142"/>
      <c r="E231" s="139">
        <v>92</v>
      </c>
      <c r="F231" s="139">
        <f>434-E231</f>
        <v>342</v>
      </c>
      <c r="G231" s="140"/>
      <c r="H231" s="141"/>
      <c r="I231" s="142">
        <v>0</v>
      </c>
      <c r="J231" s="139">
        <v>348</v>
      </c>
      <c r="K231" s="139">
        <f>187-J231</f>
        <v>-161</v>
      </c>
      <c r="L231" s="139"/>
      <c r="M231" s="141"/>
      <c r="N231" s="213"/>
      <c r="O231" s="346"/>
      <c r="P231" s="349"/>
    </row>
    <row r="232" spans="1:16" s="60" customFormat="1" hidden="1" outlineLevel="1" x14ac:dyDescent="0.3">
      <c r="B232" s="290" t="s">
        <v>170</v>
      </c>
      <c r="C232" s="292"/>
      <c r="D232" s="200"/>
      <c r="E232" s="144"/>
      <c r="F232" s="144"/>
      <c r="G232" s="201"/>
      <c r="H232" s="202"/>
      <c r="I232" s="200">
        <v>0</v>
      </c>
      <c r="J232" s="144">
        <v>0</v>
      </c>
      <c r="K232" s="144">
        <v>0</v>
      </c>
      <c r="L232" s="139">
        <v>348</v>
      </c>
      <c r="M232" s="202"/>
      <c r="N232" s="14"/>
      <c r="O232" s="196"/>
      <c r="P232" s="349"/>
    </row>
    <row r="233" spans="1:16" s="60" customFormat="1" hidden="1" outlineLevel="1" x14ac:dyDescent="0.3">
      <c r="B233" s="291" t="s">
        <v>179</v>
      </c>
      <c r="C233" s="292"/>
      <c r="D233" s="200"/>
      <c r="E233" s="144"/>
      <c r="F233" s="144"/>
      <c r="G233" s="201"/>
      <c r="H233" s="202"/>
      <c r="I233" s="142"/>
      <c r="J233" s="144"/>
      <c r="K233" s="144"/>
      <c r="L233" s="144"/>
      <c r="M233" s="202"/>
      <c r="N233" s="14"/>
      <c r="O233" s="196"/>
      <c r="P233" s="349"/>
    </row>
    <row r="234" spans="1:16" s="60" customFormat="1" hidden="1" outlineLevel="1" x14ac:dyDescent="0.3">
      <c r="B234" s="291" t="s">
        <v>172</v>
      </c>
      <c r="C234" s="292"/>
      <c r="D234" s="200"/>
      <c r="E234" s="144"/>
      <c r="F234" s="144"/>
      <c r="G234" s="201"/>
      <c r="H234" s="202"/>
      <c r="I234" s="200"/>
      <c r="J234" s="144"/>
      <c r="K234" s="144"/>
      <c r="L234" s="144"/>
      <c r="M234" s="202"/>
      <c r="N234" s="14"/>
      <c r="O234" s="196"/>
      <c r="P234" s="349"/>
    </row>
    <row r="235" spans="1:16" s="60" customFormat="1" hidden="1" outlineLevel="1" x14ac:dyDescent="0.3">
      <c r="B235" s="290" t="s">
        <v>173</v>
      </c>
      <c r="C235" s="292"/>
      <c r="D235" s="142"/>
      <c r="E235" s="139">
        <v>92</v>
      </c>
      <c r="F235" s="139">
        <f>93-E235</f>
        <v>1</v>
      </c>
      <c r="G235" s="140"/>
      <c r="H235" s="141"/>
      <c r="I235" s="142">
        <v>4</v>
      </c>
      <c r="J235" s="139">
        <f>1-I235</f>
        <v>-3</v>
      </c>
      <c r="K235" s="139">
        <v>0</v>
      </c>
      <c r="L235" s="139"/>
      <c r="M235" s="141"/>
      <c r="N235" s="213"/>
      <c r="O235" s="346"/>
      <c r="P235" s="212"/>
    </row>
    <row r="236" spans="1:16" s="60" customFormat="1" hidden="1" outlineLevel="1" x14ac:dyDescent="0.3">
      <c r="B236" s="291" t="s">
        <v>171</v>
      </c>
      <c r="C236" s="292"/>
      <c r="D236" s="200"/>
      <c r="E236" s="144"/>
      <c r="F236" s="144"/>
      <c r="G236" s="201"/>
      <c r="H236" s="202"/>
      <c r="I236" s="200"/>
      <c r="J236" s="144"/>
      <c r="K236" s="144"/>
      <c r="L236" s="144"/>
      <c r="M236" s="202"/>
      <c r="N236" s="14"/>
      <c r="O236" s="196"/>
      <c r="P236" s="349"/>
    </row>
    <row r="237" spans="1:16" s="60" customFormat="1" hidden="1" outlineLevel="1" x14ac:dyDescent="0.3">
      <c r="B237" s="291" t="s">
        <v>172</v>
      </c>
      <c r="C237" s="292"/>
      <c r="D237" s="200"/>
      <c r="E237" s="144"/>
      <c r="F237" s="144"/>
      <c r="G237" s="201"/>
      <c r="H237" s="202"/>
      <c r="I237" s="200"/>
      <c r="J237" s="144"/>
      <c r="K237" s="144"/>
      <c r="L237" s="144"/>
      <c r="M237" s="202"/>
      <c r="N237" s="14"/>
      <c r="O237" s="196"/>
      <c r="P237" s="349"/>
    </row>
    <row r="238" spans="1:16" s="60" customFormat="1" hidden="1" outlineLevel="1" x14ac:dyDescent="0.3">
      <c r="B238" s="290" t="s">
        <v>173</v>
      </c>
      <c r="C238" s="292"/>
      <c r="D238" s="142">
        <v>4300</v>
      </c>
      <c r="E238" s="139">
        <f>4319-D238</f>
        <v>19</v>
      </c>
      <c r="F238" s="139">
        <f>4338-E238-D238</f>
        <v>19</v>
      </c>
      <c r="G238" s="140">
        <f>4360-SUM(D238:F238)</f>
        <v>22</v>
      </c>
      <c r="H238" s="141"/>
      <c r="I238" s="142">
        <v>-5210</v>
      </c>
      <c r="J238" s="139"/>
      <c r="K238" s="139">
        <f>-5210-I238</f>
        <v>0</v>
      </c>
      <c r="L238" s="139">
        <f>-5210-K238-J238-I238</f>
        <v>0</v>
      </c>
      <c r="M238" s="141"/>
      <c r="N238" s="213">
        <v>0</v>
      </c>
      <c r="O238" s="346"/>
      <c r="P238" s="212"/>
    </row>
    <row r="239" spans="1:16" s="60" customFormat="1" hidden="1" outlineLevel="1" x14ac:dyDescent="0.3">
      <c r="A239" s="316"/>
      <c r="B239" s="291" t="s">
        <v>174</v>
      </c>
      <c r="C239" s="292"/>
      <c r="D239" s="200"/>
      <c r="E239" s="144"/>
      <c r="F239" s="144"/>
      <c r="G239" s="201"/>
      <c r="H239" s="202"/>
      <c r="I239" s="200"/>
      <c r="J239" s="144"/>
      <c r="K239" s="144"/>
      <c r="L239" s="144"/>
      <c r="M239" s="202"/>
      <c r="N239" s="14"/>
      <c r="O239" s="196"/>
      <c r="P239" s="349"/>
    </row>
    <row r="240" spans="1:16" s="60" customFormat="1" hidden="1" outlineLevel="1" x14ac:dyDescent="0.3">
      <c r="B240" s="409" t="s">
        <v>175</v>
      </c>
      <c r="C240" s="410"/>
      <c r="D240" s="200"/>
      <c r="E240" s="144"/>
      <c r="F240" s="144"/>
      <c r="G240" s="201"/>
      <c r="H240" s="202"/>
      <c r="I240" s="200"/>
      <c r="J240" s="144"/>
      <c r="K240" s="144"/>
      <c r="L240" s="144"/>
      <c r="M240" s="202"/>
      <c r="N240" s="14"/>
      <c r="O240" s="196"/>
      <c r="P240" s="349"/>
    </row>
    <row r="241" spans="2:24" s="60" customFormat="1" hidden="1" outlineLevel="1" x14ac:dyDescent="0.3">
      <c r="B241" s="409"/>
      <c r="C241" s="410"/>
      <c r="D241" s="200"/>
      <c r="E241" s="144"/>
      <c r="F241" s="144"/>
      <c r="G241" s="201"/>
      <c r="H241" s="202"/>
      <c r="I241" s="200"/>
      <c r="J241" s="144"/>
      <c r="K241" s="144"/>
      <c r="L241" s="144"/>
      <c r="M241" s="202"/>
      <c r="N241" s="14"/>
      <c r="O241" s="196"/>
      <c r="P241" s="349"/>
    </row>
    <row r="242" spans="2:24" s="50" customFormat="1" hidden="1" outlineLevel="1" x14ac:dyDescent="0.3">
      <c r="B242" s="253" t="s">
        <v>176</v>
      </c>
      <c r="C242" s="252"/>
      <c r="D242" s="214">
        <v>46</v>
      </c>
      <c r="E242" s="215">
        <v>188</v>
      </c>
      <c r="F242" s="215">
        <v>-210</v>
      </c>
      <c r="G242" s="282">
        <f>-105-SUM(D242:F242)</f>
        <v>-129</v>
      </c>
      <c r="H242" s="216"/>
      <c r="I242" s="214">
        <v>-1198</v>
      </c>
      <c r="J242" s="215"/>
      <c r="K242" s="217">
        <f>-2627-J242-I242</f>
        <v>-1429</v>
      </c>
      <c r="L242" s="215">
        <f>-3152-K242-J242-I242</f>
        <v>-525</v>
      </c>
      <c r="M242" s="216"/>
      <c r="N242" s="283">
        <v>-413</v>
      </c>
      <c r="O242" s="283"/>
      <c r="P242" s="350"/>
    </row>
    <row r="243" spans="2:24" s="50" customFormat="1" hidden="1" outlineLevel="1" x14ac:dyDescent="0.3">
      <c r="B243" s="405" t="s">
        <v>75</v>
      </c>
      <c r="C243" s="406"/>
      <c r="D243" s="284">
        <f t="shared" ref="D243:P243" si="149">(D139-D162-D158)/D49</f>
        <v>-15.168650793650794</v>
      </c>
      <c r="E243" s="285">
        <f t="shared" si="149"/>
        <v>-15.875739644970414</v>
      </c>
      <c r="F243" s="285">
        <f t="shared" si="149"/>
        <v>-12.584645669291339</v>
      </c>
      <c r="G243" s="286">
        <f t="shared" si="149"/>
        <v>-15.262845849802371</v>
      </c>
      <c r="H243" s="287">
        <f t="shared" si="149"/>
        <v>-15.262845849802371</v>
      </c>
      <c r="I243" s="284">
        <f t="shared" si="149"/>
        <v>-28.712031558185405</v>
      </c>
      <c r="J243" s="285">
        <f t="shared" si="149"/>
        <v>-27.278978388998034</v>
      </c>
      <c r="K243" s="285">
        <f t="shared" si="149"/>
        <v>-27.269685039370078</v>
      </c>
      <c r="L243" s="286">
        <f t="shared" si="149"/>
        <v>-28.994094488188978</v>
      </c>
      <c r="M243" s="287">
        <f t="shared" si="149"/>
        <v>-29.022514823154182</v>
      </c>
      <c r="N243" s="284">
        <f t="shared" si="149"/>
        <v>-31.04911591355599</v>
      </c>
      <c r="O243" s="347">
        <f t="shared" si="149"/>
        <v>-27.998039215686273</v>
      </c>
      <c r="P243" s="347">
        <f t="shared" si="149"/>
        <v>-23.013539651837526</v>
      </c>
      <c r="Q243" s="60"/>
      <c r="R243" s="60"/>
      <c r="S243" s="60"/>
      <c r="T243" s="60"/>
    </row>
    <row r="244" spans="2:24" s="50" customFormat="1" ht="15" customHeight="1" collapsed="1" x14ac:dyDescent="0.3">
      <c r="B244" s="20"/>
      <c r="C244" s="97"/>
      <c r="D244" s="125">
        <f t="shared" ref="D244:M244" si="150">D225-D139</f>
        <v>0</v>
      </c>
      <c r="E244" s="125">
        <f t="shared" si="150"/>
        <v>0</v>
      </c>
      <c r="F244" s="125">
        <f t="shared" si="150"/>
        <v>0</v>
      </c>
      <c r="G244" s="125">
        <f t="shared" si="150"/>
        <v>0</v>
      </c>
      <c r="H244" s="125">
        <f t="shared" si="150"/>
        <v>0</v>
      </c>
      <c r="I244" s="125">
        <f t="shared" si="150"/>
        <v>0</v>
      </c>
      <c r="J244" s="125">
        <f t="shared" si="150"/>
        <v>0</v>
      </c>
      <c r="K244" s="125">
        <f t="shared" si="150"/>
        <v>0</v>
      </c>
      <c r="L244" s="125">
        <f t="shared" si="150"/>
        <v>0</v>
      </c>
      <c r="M244" s="125">
        <f t="shared" si="150"/>
        <v>0</v>
      </c>
      <c r="N244" s="36"/>
      <c r="O244" s="36"/>
      <c r="P244" s="36"/>
      <c r="Q244" s="36"/>
      <c r="R244" s="36"/>
      <c r="S244" s="36"/>
      <c r="T244" s="36"/>
      <c r="U244" s="36"/>
      <c r="V244" s="36"/>
      <c r="W244" s="36"/>
      <c r="X244" s="65"/>
    </row>
    <row r="245" spans="2:24" ht="15.6" x14ac:dyDescent="0.3">
      <c r="B245" s="392" t="s">
        <v>1</v>
      </c>
      <c r="C245" s="393"/>
      <c r="D245" s="11"/>
      <c r="E245" s="11"/>
      <c r="F245" s="11"/>
      <c r="G245" s="11"/>
      <c r="H245" s="18"/>
      <c r="I245" s="11"/>
      <c r="J245" s="11"/>
      <c r="K245" s="49"/>
      <c r="L245" s="11"/>
      <c r="M245" s="11"/>
      <c r="N245" s="11"/>
      <c r="O245" s="11"/>
      <c r="P245" s="11"/>
      <c r="Q245" s="11"/>
      <c r="R245" s="11"/>
      <c r="S245" s="11"/>
      <c r="T245" s="11"/>
      <c r="U245" s="11"/>
      <c r="V245" s="11"/>
      <c r="W245" s="11"/>
    </row>
    <row r="246" spans="2:24" x14ac:dyDescent="0.3">
      <c r="B246" s="22" t="s">
        <v>249</v>
      </c>
      <c r="C246" s="74">
        <v>8.3186178989307304</v>
      </c>
      <c r="D246" s="86"/>
      <c r="E246" s="5"/>
      <c r="F246" s="5"/>
      <c r="G246" s="5"/>
      <c r="H246" s="28"/>
      <c r="I246" s="6"/>
      <c r="J246" s="7"/>
      <c r="K246" s="4"/>
      <c r="L246" s="4"/>
      <c r="M246" s="7"/>
      <c r="N246" s="6"/>
      <c r="O246" s="7"/>
      <c r="P246" s="4"/>
      <c r="Q246" s="4"/>
      <c r="R246" s="7"/>
      <c r="S246" s="6"/>
      <c r="T246" s="7"/>
      <c r="U246" s="4"/>
      <c r="V246" s="4"/>
      <c r="W246" s="7"/>
    </row>
    <row r="247" spans="2:24" x14ac:dyDescent="0.3">
      <c r="B247" s="22" t="s">
        <v>250</v>
      </c>
      <c r="C247" s="74">
        <v>8.8751199807877104</v>
      </c>
      <c r="D247" s="87"/>
      <c r="E247" s="18"/>
      <c r="F247" s="18"/>
      <c r="G247" s="18"/>
      <c r="H247" s="28"/>
      <c r="I247" s="18"/>
      <c r="J247" s="18"/>
      <c r="K247" s="19"/>
      <c r="L247" s="19"/>
      <c r="M247" s="19"/>
      <c r="N247" s="18"/>
      <c r="O247" s="18"/>
      <c r="P247" s="19"/>
      <c r="Q247" s="19"/>
      <c r="R247" s="19"/>
      <c r="S247" s="18"/>
      <c r="T247" s="18"/>
      <c r="U247" s="19"/>
      <c r="V247" s="19"/>
      <c r="W247" s="19"/>
    </row>
    <row r="248" spans="2:24" x14ac:dyDescent="0.3">
      <c r="B248" s="22" t="s">
        <v>251</v>
      </c>
      <c r="C248" s="74">
        <v>7.6105307396733899</v>
      </c>
      <c r="D248" s="87"/>
      <c r="E248" s="18"/>
      <c r="F248" s="24"/>
      <c r="G248" s="18"/>
      <c r="H248" s="28"/>
      <c r="I248" s="18"/>
      <c r="J248" s="18"/>
      <c r="K248" s="19"/>
      <c r="L248" s="19"/>
      <c r="M248" s="19"/>
      <c r="N248" s="18"/>
      <c r="O248" s="18"/>
      <c r="P248" s="19"/>
      <c r="Q248" s="19"/>
      <c r="R248" s="19"/>
      <c r="S248" s="18"/>
      <c r="T248" s="18"/>
      <c r="U248" s="19"/>
      <c r="V248" s="19"/>
      <c r="W248" s="19"/>
    </row>
    <row r="249" spans="2:24" x14ac:dyDescent="0.3">
      <c r="B249" s="22" t="s">
        <v>252</v>
      </c>
      <c r="C249" s="75">
        <v>8.9361999999999995</v>
      </c>
      <c r="D249" s="87"/>
      <c r="E249" s="18"/>
      <c r="F249" s="18"/>
      <c r="G249" s="18"/>
      <c r="H249" s="28"/>
      <c r="I249" s="18"/>
      <c r="J249" s="18"/>
      <c r="K249" s="19"/>
      <c r="L249" s="19"/>
      <c r="M249" s="19"/>
      <c r="N249" s="18"/>
      <c r="O249" s="18"/>
      <c r="P249" s="19"/>
      <c r="Q249" s="19"/>
      <c r="R249" s="19"/>
      <c r="S249" s="18"/>
      <c r="T249" s="18"/>
      <c r="U249" s="19"/>
      <c r="V249" s="19"/>
      <c r="W249" s="19"/>
    </row>
    <row r="250" spans="2:24" s="50" customFormat="1" x14ac:dyDescent="0.3">
      <c r="B250" s="22" t="s">
        <v>253</v>
      </c>
      <c r="C250" s="321">
        <f>(P132+Q132+S132+T132)/O49</f>
        <v>9.5500239044656912</v>
      </c>
      <c r="D250" s="87"/>
      <c r="E250" s="18"/>
      <c r="F250" s="18"/>
      <c r="G250" s="18"/>
      <c r="H250" s="28"/>
      <c r="I250" s="18"/>
      <c r="J250" s="18"/>
      <c r="K250" s="19"/>
      <c r="L250" s="19"/>
      <c r="M250" s="19"/>
      <c r="N250" s="18"/>
      <c r="O250" s="18"/>
      <c r="P250" s="19"/>
      <c r="Q250" s="19"/>
      <c r="R250" s="19"/>
      <c r="S250" s="18"/>
      <c r="T250" s="18"/>
      <c r="U250" s="19"/>
      <c r="V250" s="19"/>
      <c r="W250" s="19"/>
    </row>
    <row r="251" spans="2:24" s="23" customFormat="1" x14ac:dyDescent="0.3">
      <c r="B251" s="3" t="s">
        <v>22</v>
      </c>
      <c r="C251" s="29">
        <f>P243</f>
        <v>-23.013539651837526</v>
      </c>
      <c r="D251" s="87"/>
      <c r="E251" s="18"/>
      <c r="F251" s="18"/>
      <c r="G251" s="18"/>
      <c r="H251" s="28"/>
      <c r="I251" s="18"/>
      <c r="J251" s="18"/>
      <c r="K251" s="19"/>
      <c r="L251" s="19"/>
      <c r="M251" s="19"/>
      <c r="N251" s="18"/>
      <c r="O251" s="18"/>
      <c r="P251" s="19"/>
      <c r="Q251" s="19"/>
      <c r="R251" s="19"/>
      <c r="S251" s="18"/>
      <c r="T251" s="18"/>
      <c r="U251" s="19"/>
      <c r="V251" s="19"/>
      <c r="W251" s="19"/>
    </row>
    <row r="252" spans="2:24" x14ac:dyDescent="0.3">
      <c r="B252" s="12" t="s">
        <v>23</v>
      </c>
      <c r="C252" s="363">
        <f>C249*C250+C251</f>
        <v>62.327383963248785</v>
      </c>
      <c r="D252" s="88"/>
      <c r="E252" s="18"/>
      <c r="F252" s="18"/>
      <c r="G252" s="18"/>
      <c r="H252" s="28"/>
      <c r="I252" s="18"/>
      <c r="J252" s="18"/>
      <c r="K252" s="19"/>
      <c r="L252" s="19"/>
      <c r="M252" s="19"/>
      <c r="N252" s="18"/>
      <c r="O252" s="18"/>
      <c r="P252" s="19"/>
      <c r="Q252" s="19"/>
      <c r="R252" s="19"/>
      <c r="S252" s="18"/>
      <c r="T252" s="18"/>
      <c r="U252" s="19"/>
      <c r="V252" s="19"/>
      <c r="W252" s="19"/>
    </row>
    <row r="253" spans="2:24" s="23" customFormat="1" ht="103.2" customHeight="1" x14ac:dyDescent="0.3">
      <c r="B253" s="401" t="s">
        <v>254</v>
      </c>
      <c r="C253" s="402"/>
      <c r="D253" s="88"/>
      <c r="E253" s="18"/>
      <c r="F253" s="18"/>
      <c r="G253" s="18"/>
      <c r="H253" s="18"/>
      <c r="I253" s="18"/>
      <c r="J253" s="18"/>
      <c r="K253" s="19"/>
      <c r="L253" s="19"/>
      <c r="M253" s="19"/>
      <c r="N253" s="18"/>
      <c r="O253" s="18"/>
      <c r="P253" s="19"/>
      <c r="Q253" s="19"/>
      <c r="R253" s="19"/>
      <c r="S253" s="18"/>
      <c r="T253" s="18"/>
      <c r="U253" s="19"/>
      <c r="V253" s="19"/>
      <c r="W253" s="19"/>
    </row>
    <row r="254" spans="2:24" s="23" customFormat="1" ht="55.2" customHeight="1" x14ac:dyDescent="0.3">
      <c r="B254" s="399" t="s">
        <v>255</v>
      </c>
      <c r="C254" s="400"/>
      <c r="D254" s="88"/>
      <c r="E254" s="18"/>
      <c r="F254" s="18"/>
      <c r="G254" s="18"/>
      <c r="H254" s="18"/>
      <c r="I254" s="18"/>
      <c r="J254" s="18"/>
      <c r="K254" s="19"/>
      <c r="L254" s="19"/>
      <c r="M254" s="19"/>
      <c r="N254" s="18"/>
      <c r="O254" s="18"/>
      <c r="P254" s="19"/>
      <c r="Q254" s="19"/>
      <c r="R254" s="19"/>
      <c r="S254" s="18"/>
      <c r="T254" s="18"/>
      <c r="U254" s="19"/>
      <c r="V254" s="19"/>
      <c r="W254" s="19"/>
    </row>
    <row r="255" spans="2:24" x14ac:dyDescent="0.3">
      <c r="B255" s="9"/>
      <c r="C255" s="1"/>
      <c r="D255" s="8"/>
    </row>
    <row r="256" spans="2:24" ht="15.6" x14ac:dyDescent="0.3">
      <c r="B256" s="392" t="s">
        <v>56</v>
      </c>
      <c r="C256" s="393"/>
      <c r="D256" s="8"/>
    </row>
    <row r="257" spans="2:23" x14ac:dyDescent="0.3">
      <c r="B257" s="81" t="s">
        <v>52</v>
      </c>
      <c r="C257" s="365">
        <v>1.1894999999999999E-2</v>
      </c>
    </row>
    <row r="258" spans="2:23" s="50" customFormat="1" x14ac:dyDescent="0.3">
      <c r="B258" s="3" t="s">
        <v>53</v>
      </c>
      <c r="C258" s="364">
        <v>0.123623</v>
      </c>
      <c r="D258" s="1"/>
      <c r="E258" s="1"/>
      <c r="F258" s="1"/>
      <c r="G258" s="1"/>
      <c r="H258" s="1"/>
      <c r="I258" s="1"/>
      <c r="J258" s="1"/>
      <c r="K258" s="2"/>
      <c r="L258" s="2"/>
      <c r="M258" s="2"/>
      <c r="N258" s="1"/>
      <c r="O258" s="1"/>
      <c r="P258" s="2"/>
      <c r="Q258" s="2"/>
      <c r="R258" s="2"/>
      <c r="S258" s="1"/>
      <c r="T258" s="1"/>
      <c r="U258" s="2"/>
      <c r="V258" s="2"/>
      <c r="W258" s="2"/>
    </row>
    <row r="259" spans="2:23" s="50" customFormat="1" x14ac:dyDescent="0.3">
      <c r="B259" s="3" t="s">
        <v>57</v>
      </c>
      <c r="C259" s="82">
        <f>C252</f>
        <v>62.327383963248785</v>
      </c>
      <c r="D259" s="1"/>
      <c r="E259" s="1"/>
      <c r="F259" s="1"/>
      <c r="G259" s="1"/>
      <c r="H259" s="1"/>
      <c r="I259" s="1"/>
      <c r="J259" s="1"/>
      <c r="K259" s="2"/>
      <c r="L259" s="2"/>
      <c r="M259" s="2"/>
      <c r="N259" s="1"/>
      <c r="O259" s="1"/>
      <c r="P259" s="2"/>
      <c r="Q259" s="2"/>
      <c r="R259" s="2"/>
      <c r="S259" s="1"/>
      <c r="T259" s="1"/>
      <c r="U259" s="2"/>
      <c r="V259" s="2"/>
      <c r="W259" s="2"/>
    </row>
    <row r="260" spans="2:23" x14ac:dyDescent="0.3">
      <c r="B260" s="22" t="s">
        <v>54</v>
      </c>
      <c r="C260" s="82">
        <f>C259*(1+(C258+2*C257))</f>
        <v>71.515250615423184</v>
      </c>
      <c r="H260" s="80"/>
    </row>
    <row r="261" spans="2:23" x14ac:dyDescent="0.3">
      <c r="B261" s="83" t="s">
        <v>55</v>
      </c>
      <c r="C261" s="288">
        <f>C259*(1-(C258+2*C257))</f>
        <v>53.139517311074393</v>
      </c>
      <c r="H261" s="79"/>
    </row>
    <row r="262" spans="2:23" s="50" customFormat="1" ht="15" customHeight="1" x14ac:dyDescent="0.3">
      <c r="B262" s="394" t="s">
        <v>259</v>
      </c>
      <c r="C262" s="395"/>
      <c r="D262" s="1"/>
      <c r="E262" s="1"/>
      <c r="F262" s="1"/>
      <c r="G262" s="1"/>
      <c r="H262" s="1"/>
      <c r="I262" s="1"/>
      <c r="J262" s="1"/>
      <c r="K262" s="2"/>
      <c r="L262" s="2"/>
      <c r="M262" s="2"/>
      <c r="N262" s="1"/>
      <c r="O262" s="1"/>
      <c r="P262" s="2"/>
      <c r="Q262" s="2"/>
      <c r="R262" s="2"/>
      <c r="S262" s="1"/>
      <c r="T262" s="1"/>
      <c r="U262" s="2"/>
      <c r="V262" s="2"/>
      <c r="W262" s="2"/>
    </row>
    <row r="263" spans="2:23" x14ac:dyDescent="0.3">
      <c r="B263" s="396"/>
      <c r="C263" s="395"/>
    </row>
    <row r="264" spans="2:23" x14ac:dyDescent="0.3">
      <c r="B264" s="396"/>
      <c r="C264" s="395"/>
    </row>
    <row r="265" spans="2:23" x14ac:dyDescent="0.3">
      <c r="B265" s="396"/>
      <c r="C265" s="395"/>
    </row>
    <row r="266" spans="2:23" x14ac:dyDescent="0.3">
      <c r="B266" s="396"/>
      <c r="C266" s="395"/>
    </row>
    <row r="267" spans="2:23" x14ac:dyDescent="0.3">
      <c r="B267" s="396"/>
      <c r="C267" s="395"/>
    </row>
    <row r="268" spans="2:23" x14ac:dyDescent="0.3">
      <c r="B268" s="396"/>
      <c r="C268" s="395"/>
    </row>
    <row r="269" spans="2:23" x14ac:dyDescent="0.3">
      <c r="B269" s="396"/>
      <c r="C269" s="395"/>
    </row>
    <row r="270" spans="2:23" x14ac:dyDescent="0.3">
      <c r="B270" s="396"/>
      <c r="C270" s="395"/>
    </row>
    <row r="271" spans="2:23" x14ac:dyDescent="0.3">
      <c r="B271" s="396"/>
      <c r="C271" s="395"/>
    </row>
    <row r="272" spans="2:23" x14ac:dyDescent="0.3">
      <c r="B272" s="396"/>
      <c r="C272" s="395"/>
    </row>
    <row r="273" spans="2:3" x14ac:dyDescent="0.3">
      <c r="B273" s="396"/>
      <c r="C273" s="395"/>
    </row>
    <row r="274" spans="2:3" x14ac:dyDescent="0.3">
      <c r="B274" s="396"/>
      <c r="C274" s="395"/>
    </row>
    <row r="275" spans="2:3" x14ac:dyDescent="0.3">
      <c r="B275" s="396"/>
      <c r="C275" s="395"/>
    </row>
    <row r="276" spans="2:3" x14ac:dyDescent="0.3">
      <c r="B276" s="396"/>
      <c r="C276" s="395"/>
    </row>
    <row r="277" spans="2:3" x14ac:dyDescent="0.3">
      <c r="B277" s="397"/>
      <c r="C277" s="398"/>
    </row>
    <row r="279" spans="2:3" x14ac:dyDescent="0.3">
      <c r="B279" s="90" t="s">
        <v>59</v>
      </c>
    </row>
  </sheetData>
  <dataConsolidate/>
  <mergeCells count="84">
    <mergeCell ref="B185:C185"/>
    <mergeCell ref="B191:C191"/>
    <mergeCell ref="B107:C107"/>
    <mergeCell ref="B240:C241"/>
    <mergeCell ref="B193:C193"/>
    <mergeCell ref="B177:C177"/>
    <mergeCell ref="B167:C167"/>
    <mergeCell ref="B168:C168"/>
    <mergeCell ref="B169:C169"/>
    <mergeCell ref="B172:C172"/>
    <mergeCell ref="B174:C174"/>
    <mergeCell ref="B204:C204"/>
    <mergeCell ref="B205:C205"/>
    <mergeCell ref="B207:C207"/>
    <mergeCell ref="B179:C179"/>
    <mergeCell ref="B180:C180"/>
    <mergeCell ref="B155:C155"/>
    <mergeCell ref="B161:C161"/>
    <mergeCell ref="B165:C165"/>
    <mergeCell ref="B166:C166"/>
    <mergeCell ref="B184:C184"/>
    <mergeCell ref="B183:C183"/>
    <mergeCell ref="B181:C181"/>
    <mergeCell ref="B182:C182"/>
    <mergeCell ref="B151:C151"/>
    <mergeCell ref="B152:C152"/>
    <mergeCell ref="B153:C153"/>
    <mergeCell ref="B140:C140"/>
    <mergeCell ref="B154:C154"/>
    <mergeCell ref="B256:C256"/>
    <mergeCell ref="B262:C277"/>
    <mergeCell ref="B46:C46"/>
    <mergeCell ref="B254:C254"/>
    <mergeCell ref="B245:C245"/>
    <mergeCell ref="B253:C253"/>
    <mergeCell ref="B48:C48"/>
    <mergeCell ref="B52:C52"/>
    <mergeCell ref="B106:C106"/>
    <mergeCell ref="B135:C135"/>
    <mergeCell ref="B243:C243"/>
    <mergeCell ref="B136:C136"/>
    <mergeCell ref="B137:C137"/>
    <mergeCell ref="B192:C192"/>
    <mergeCell ref="B138:C138"/>
    <mergeCell ref="B139:C139"/>
    <mergeCell ref="B103:C103"/>
    <mergeCell ref="B102:C102"/>
    <mergeCell ref="B100:C100"/>
    <mergeCell ref="B47:C47"/>
    <mergeCell ref="B3:C3"/>
    <mergeCell ref="B4:C4"/>
    <mergeCell ref="B45:C45"/>
    <mergeCell ref="B44:C44"/>
    <mergeCell ref="B49:C49"/>
    <mergeCell ref="B2:C2"/>
    <mergeCell ref="B101:C101"/>
    <mergeCell ref="B88:C88"/>
    <mergeCell ref="B53:C53"/>
    <mergeCell ref="B8:C8"/>
    <mergeCell ref="B41:C41"/>
    <mergeCell ref="B9:C9"/>
    <mergeCell ref="B39:C39"/>
    <mergeCell ref="B16:C16"/>
    <mergeCell ref="B17:C17"/>
    <mergeCell ref="B33:C33"/>
    <mergeCell ref="B37:C37"/>
    <mergeCell ref="B10:C10"/>
    <mergeCell ref="B38:C38"/>
    <mergeCell ref="B194:C194"/>
    <mergeCell ref="B195:C195"/>
    <mergeCell ref="B196:C196"/>
    <mergeCell ref="B197:C197"/>
    <mergeCell ref="B198:C198"/>
    <mergeCell ref="B209:C209"/>
    <mergeCell ref="B221:C221"/>
    <mergeCell ref="B223:C223"/>
    <mergeCell ref="B224:C224"/>
    <mergeCell ref="B225:C225"/>
    <mergeCell ref="B217:C217"/>
    <mergeCell ref="B210:C210"/>
    <mergeCell ref="B213:C213"/>
    <mergeCell ref="B214:C214"/>
    <mergeCell ref="B215:C215"/>
    <mergeCell ref="B220:C220"/>
  </mergeCells>
  <pageMargins left="0.7" right="0.7" top="0.75" bottom="0.75" header="0.3" footer="0.3"/>
  <pageSetup scale="40" orientation="landscape" r:id="rId1"/>
  <headerFooter>
    <oddFooter xml:space="preserve">&amp;CGutenberg Research LLC prohibits the redistribution of this document in whole or part without the written permission. 
© Gutenberg Research LLC 2016. </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Earnings Model</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2016-03-31T01:20:23Z</cp:lastPrinted>
  <dcterms:created xsi:type="dcterms:W3CDTF">2014-10-18T18:34:10Z</dcterms:created>
  <dcterms:modified xsi:type="dcterms:W3CDTF">2016-11-29T02:27:24Z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