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C:\Users\Admin\Documents\Articles (2-15-2016)\M (Macy's Inc)\"/>
    </mc:Choice>
  </mc:AlternateContent>
  <bookViews>
    <workbookView xWindow="0" yWindow="0" windowWidth="23040" windowHeight="9672"/>
  </bookViews>
  <sheets>
    <sheet name="Earnings Model" sheetId="3" r:id="rId1"/>
  </sheets>
  <externalReferences>
    <externalReference r:id="rId2"/>
  </externalReferences>
  <definedNames>
    <definedName name="DATA">'[1]Estimates by Analyst'!$B$6:$M$50</definedName>
    <definedName name="_xlnm.Print_Area" localSheetId="0">'Earnings Model'!$A$1:$W$194</definedName>
  </definedNames>
  <calcPr calcId="162913" concurrentCalc="0"/>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N154" i="3" l="1"/>
  <c r="N131" i="3"/>
  <c r="N120" i="3"/>
  <c r="N151" i="3"/>
  <c r="N132" i="3"/>
  <c r="N140" i="3"/>
  <c r="N152" i="3"/>
  <c r="L132" i="3"/>
  <c r="M132" i="3"/>
  <c r="N82" i="3"/>
  <c r="N160" i="3"/>
  <c r="N153" i="3"/>
  <c r="N155" i="3"/>
  <c r="N133" i="3"/>
  <c r="N116" i="3"/>
  <c r="N96" i="3"/>
  <c r="N100" i="3"/>
  <c r="N110" i="3"/>
  <c r="N83" i="3"/>
  <c r="N88" i="3"/>
  <c r="N111" i="3"/>
  <c r="O45" i="3"/>
  <c r="P45" i="3"/>
  <c r="Q45" i="3"/>
  <c r="S45" i="3"/>
  <c r="S48" i="3"/>
  <c r="S46" i="3"/>
  <c r="S47" i="3"/>
  <c r="N53" i="3"/>
  <c r="O53" i="3"/>
  <c r="P53" i="3"/>
  <c r="Q53" i="3"/>
  <c r="S53" i="3"/>
  <c r="S55" i="3"/>
  <c r="S11" i="3"/>
  <c r="T45" i="3"/>
  <c r="O48" i="3"/>
  <c r="O46" i="3"/>
  <c r="T48" i="3"/>
  <c r="T46" i="3"/>
  <c r="T47" i="3"/>
  <c r="T53" i="3"/>
  <c r="T55" i="3"/>
  <c r="T11" i="3"/>
  <c r="U45" i="3"/>
  <c r="P48" i="3"/>
  <c r="P46" i="3"/>
  <c r="U48" i="3"/>
  <c r="U46" i="3"/>
  <c r="U47" i="3"/>
  <c r="U53" i="3"/>
  <c r="U55" i="3"/>
  <c r="U11" i="3"/>
  <c r="V45" i="3"/>
  <c r="Q48" i="3"/>
  <c r="Q46" i="3"/>
  <c r="V48" i="3"/>
  <c r="V46" i="3"/>
  <c r="V47" i="3"/>
  <c r="V53" i="3"/>
  <c r="V55" i="3"/>
  <c r="V11" i="3"/>
  <c r="W11" i="3"/>
  <c r="W45" i="3"/>
  <c r="W46" i="3"/>
  <c r="W47" i="3"/>
  <c r="W55" i="3"/>
  <c r="W35" i="3"/>
  <c r="E47" i="3"/>
  <c r="E55" i="3"/>
  <c r="E35" i="3"/>
  <c r="F47" i="3"/>
  <c r="F55" i="3"/>
  <c r="F35" i="3"/>
  <c r="G47" i="3"/>
  <c r="G55" i="3"/>
  <c r="G35" i="3"/>
  <c r="H11" i="3"/>
  <c r="H45" i="3"/>
  <c r="H46" i="3"/>
  <c r="H47" i="3"/>
  <c r="H55" i="3"/>
  <c r="H35" i="3"/>
  <c r="I47" i="3"/>
  <c r="I55" i="3"/>
  <c r="I35" i="3"/>
  <c r="J47" i="3"/>
  <c r="J55" i="3"/>
  <c r="J35" i="3"/>
  <c r="K47" i="3"/>
  <c r="K55" i="3"/>
  <c r="K35" i="3"/>
  <c r="L47" i="3"/>
  <c r="L55" i="3"/>
  <c r="L35" i="3"/>
  <c r="M45" i="3"/>
  <c r="M46" i="3"/>
  <c r="M47" i="3"/>
  <c r="M55" i="3"/>
  <c r="M35" i="3"/>
  <c r="N47" i="3"/>
  <c r="N55" i="3"/>
  <c r="N35" i="3"/>
  <c r="O47" i="3"/>
  <c r="O55" i="3"/>
  <c r="O11" i="3"/>
  <c r="O35" i="3"/>
  <c r="P47" i="3"/>
  <c r="P55" i="3"/>
  <c r="P11" i="3"/>
  <c r="P35" i="3"/>
  <c r="Q47" i="3"/>
  <c r="Q55" i="3"/>
  <c r="Q11" i="3"/>
  <c r="Q35" i="3"/>
  <c r="R11" i="3"/>
  <c r="R45" i="3"/>
  <c r="R46" i="3"/>
  <c r="R47" i="3"/>
  <c r="R55" i="3"/>
  <c r="R35" i="3"/>
  <c r="S35" i="3"/>
  <c r="T35" i="3"/>
  <c r="U35" i="3"/>
  <c r="V35" i="3"/>
  <c r="D47" i="3"/>
  <c r="D55" i="3"/>
  <c r="D35" i="3"/>
  <c r="M160" i="3"/>
  <c r="C167" i="3"/>
  <c r="L160" i="3"/>
  <c r="K160" i="3"/>
  <c r="J160" i="3"/>
  <c r="I160" i="3"/>
  <c r="H79" i="3"/>
  <c r="H91" i="3"/>
  <c r="H97" i="3"/>
  <c r="H160" i="3"/>
  <c r="G160" i="3"/>
  <c r="F160" i="3"/>
  <c r="E160" i="3"/>
  <c r="D160" i="3"/>
  <c r="O12" i="3"/>
  <c r="O13" i="3"/>
  <c r="O14" i="3"/>
  <c r="O15" i="3"/>
  <c r="O16" i="3"/>
  <c r="O17" i="3"/>
  <c r="O21" i="3"/>
  <c r="N61" i="3"/>
  <c r="O61" i="3"/>
  <c r="O20" i="3"/>
  <c r="O22" i="3"/>
  <c r="O23" i="3"/>
  <c r="P21" i="3"/>
  <c r="N13" i="3"/>
  <c r="N16" i="3"/>
  <c r="N17" i="3"/>
  <c r="N18" i="3"/>
  <c r="N19" i="3"/>
  <c r="N64" i="3"/>
  <c r="N63" i="3"/>
  <c r="S12" i="3"/>
  <c r="S13" i="3"/>
  <c r="S14" i="3"/>
  <c r="S15" i="3"/>
  <c r="S16" i="3"/>
  <c r="S17" i="3"/>
  <c r="Q21" i="3"/>
  <c r="S21" i="3"/>
  <c r="P61" i="3"/>
  <c r="Q61" i="3"/>
  <c r="S61" i="3"/>
  <c r="S20" i="3"/>
  <c r="S22" i="3"/>
  <c r="S23" i="3"/>
  <c r="T21" i="3"/>
  <c r="T12" i="3"/>
  <c r="T13" i="3"/>
  <c r="T14" i="3"/>
  <c r="T15" i="3"/>
  <c r="T16" i="3"/>
  <c r="T17" i="3"/>
  <c r="T61" i="3"/>
  <c r="T20" i="3"/>
  <c r="T22" i="3"/>
  <c r="T23" i="3"/>
  <c r="U21" i="3"/>
  <c r="U12" i="3"/>
  <c r="U13" i="3"/>
  <c r="U14" i="3"/>
  <c r="U15" i="3"/>
  <c r="U16" i="3"/>
  <c r="U17" i="3"/>
  <c r="U61" i="3"/>
  <c r="U20" i="3"/>
  <c r="U22" i="3"/>
  <c r="U23" i="3"/>
  <c r="V21" i="3"/>
  <c r="V12" i="3"/>
  <c r="V13" i="3"/>
  <c r="V14" i="3"/>
  <c r="V15" i="3"/>
  <c r="V16" i="3"/>
  <c r="V17" i="3"/>
  <c r="V61" i="3"/>
  <c r="V20" i="3"/>
  <c r="V22" i="3"/>
  <c r="V23" i="3"/>
  <c r="W23" i="3"/>
  <c r="W12" i="3"/>
  <c r="W13" i="3"/>
  <c r="W14" i="3"/>
  <c r="W15" i="3"/>
  <c r="W16" i="3"/>
  <c r="W17" i="3"/>
  <c r="W21" i="3"/>
  <c r="W20" i="3"/>
  <c r="W22" i="3"/>
  <c r="W62" i="3"/>
  <c r="P12" i="3"/>
  <c r="P13" i="3"/>
  <c r="P14" i="3"/>
  <c r="P15" i="3"/>
  <c r="P16" i="3"/>
  <c r="P17" i="3"/>
  <c r="P20" i="3"/>
  <c r="P22" i="3"/>
  <c r="P23" i="3"/>
  <c r="Q12" i="3"/>
  <c r="Q13" i="3"/>
  <c r="Q14" i="3"/>
  <c r="Q15" i="3"/>
  <c r="Q16" i="3"/>
  <c r="Q17" i="3"/>
  <c r="Q20" i="3"/>
  <c r="Q22" i="3"/>
  <c r="Q23" i="3"/>
  <c r="R23" i="3"/>
  <c r="R12" i="3"/>
  <c r="R13" i="3"/>
  <c r="R14" i="3"/>
  <c r="R15" i="3"/>
  <c r="R16" i="3"/>
  <c r="R17" i="3"/>
  <c r="R21" i="3"/>
  <c r="R20" i="3"/>
  <c r="R22" i="3"/>
  <c r="R62" i="3"/>
  <c r="N22" i="3"/>
  <c r="N62" i="3"/>
  <c r="D13" i="3"/>
  <c r="D16" i="3"/>
  <c r="D17" i="3"/>
  <c r="D22" i="3"/>
  <c r="D62" i="3"/>
  <c r="L61" i="3"/>
  <c r="J20" i="3"/>
  <c r="J61" i="3"/>
  <c r="I61" i="3"/>
  <c r="E61" i="3"/>
  <c r="N60" i="3"/>
  <c r="N59" i="3"/>
  <c r="L59" i="3"/>
  <c r="N58" i="3"/>
  <c r="D58" i="3"/>
  <c r="N67" i="3"/>
  <c r="O67" i="3"/>
  <c r="P67" i="3"/>
  <c r="Q67" i="3"/>
  <c r="S67" i="3"/>
  <c r="T67" i="3"/>
  <c r="U67" i="3"/>
  <c r="V67" i="3"/>
  <c r="O66" i="3"/>
  <c r="P66" i="3"/>
  <c r="Q66" i="3"/>
  <c r="S66" i="3"/>
  <c r="T66" i="3"/>
  <c r="U66" i="3"/>
  <c r="V66" i="3"/>
  <c r="L67" i="3"/>
  <c r="G67" i="3"/>
  <c r="K67" i="3"/>
  <c r="N73" i="3"/>
  <c r="N70" i="3"/>
  <c r="O70" i="3"/>
  <c r="P70" i="3"/>
  <c r="Q70" i="3"/>
  <c r="S70" i="3"/>
  <c r="T70" i="3"/>
  <c r="U70" i="3"/>
  <c r="V70" i="3"/>
  <c r="N69" i="3"/>
  <c r="O69" i="3"/>
  <c r="P69" i="3"/>
  <c r="Q69" i="3"/>
  <c r="S69" i="3"/>
  <c r="T69" i="3"/>
  <c r="U69" i="3"/>
  <c r="V69" i="3"/>
  <c r="W72" i="3"/>
  <c r="W71" i="3"/>
  <c r="W73" i="3"/>
  <c r="R72" i="3"/>
  <c r="R71" i="3"/>
  <c r="R73" i="3"/>
  <c r="M72" i="3"/>
  <c r="M71" i="3"/>
  <c r="M73" i="3"/>
  <c r="L73" i="3"/>
  <c r="L69" i="3"/>
  <c r="O34" i="3"/>
  <c r="P34" i="3"/>
  <c r="Q34" i="3"/>
  <c r="S34" i="3"/>
  <c r="T34" i="3"/>
  <c r="U34" i="3"/>
  <c r="V34" i="3"/>
  <c r="W34" i="3"/>
  <c r="R34" i="3"/>
  <c r="S18" i="3"/>
  <c r="T18" i="3"/>
  <c r="U18" i="3"/>
  <c r="V18" i="3"/>
  <c r="W18" i="3"/>
  <c r="W19" i="3"/>
  <c r="S27" i="3"/>
  <c r="T27" i="3"/>
  <c r="U27" i="3"/>
  <c r="V27" i="3"/>
  <c r="W27" i="3"/>
  <c r="W28" i="3"/>
  <c r="V19" i="3"/>
  <c r="V28" i="3"/>
  <c r="U19" i="3"/>
  <c r="U28" i="3"/>
  <c r="T19" i="3"/>
  <c r="T28" i="3"/>
  <c r="S19" i="3"/>
  <c r="S28" i="3"/>
  <c r="O18" i="3"/>
  <c r="P18" i="3"/>
  <c r="Q18" i="3"/>
  <c r="R18" i="3"/>
  <c r="R19" i="3"/>
  <c r="N27" i="3"/>
  <c r="O27" i="3"/>
  <c r="P27" i="3"/>
  <c r="Q27" i="3"/>
  <c r="R27" i="3"/>
  <c r="R28" i="3"/>
  <c r="Q19" i="3"/>
  <c r="Q28" i="3"/>
  <c r="P19" i="3"/>
  <c r="P28" i="3"/>
  <c r="O19" i="3"/>
  <c r="O28" i="3"/>
  <c r="N28" i="3"/>
  <c r="M13" i="3"/>
  <c r="M16" i="3"/>
  <c r="M17" i="3"/>
  <c r="I18" i="3"/>
  <c r="J18" i="3"/>
  <c r="K18" i="3"/>
  <c r="L18" i="3"/>
  <c r="M18" i="3"/>
  <c r="M19" i="3"/>
  <c r="I27" i="3"/>
  <c r="J27" i="3"/>
  <c r="K27" i="3"/>
  <c r="L27" i="3"/>
  <c r="M27" i="3"/>
  <c r="M28" i="3"/>
  <c r="L13" i="3"/>
  <c r="L16" i="3"/>
  <c r="L17" i="3"/>
  <c r="L19" i="3"/>
  <c r="L28" i="3"/>
  <c r="K13" i="3"/>
  <c r="K16" i="3"/>
  <c r="K17" i="3"/>
  <c r="K19" i="3"/>
  <c r="K28" i="3"/>
  <c r="J13" i="3"/>
  <c r="J16" i="3"/>
  <c r="J17" i="3"/>
  <c r="J19" i="3"/>
  <c r="J28" i="3"/>
  <c r="I13" i="3"/>
  <c r="I16" i="3"/>
  <c r="I17" i="3"/>
  <c r="I19" i="3"/>
  <c r="I28" i="3"/>
  <c r="H12" i="3"/>
  <c r="H13" i="3"/>
  <c r="H14" i="3"/>
  <c r="H15" i="3"/>
  <c r="H16" i="3"/>
  <c r="H17" i="3"/>
  <c r="D18" i="3"/>
  <c r="E18" i="3"/>
  <c r="F18" i="3"/>
  <c r="G18" i="3"/>
  <c r="H18" i="3"/>
  <c r="H19" i="3"/>
  <c r="H20" i="3"/>
  <c r="H21" i="3"/>
  <c r="H23" i="3"/>
  <c r="D27" i="3"/>
  <c r="E27" i="3"/>
  <c r="F27" i="3"/>
  <c r="G27" i="3"/>
  <c r="H27" i="3"/>
  <c r="H28" i="3"/>
  <c r="G13" i="3"/>
  <c r="G16" i="3"/>
  <c r="G17" i="3"/>
  <c r="G19" i="3"/>
  <c r="G28" i="3"/>
  <c r="F13" i="3"/>
  <c r="F16" i="3"/>
  <c r="F17" i="3"/>
  <c r="F19" i="3"/>
  <c r="F28" i="3"/>
  <c r="E13" i="3"/>
  <c r="E16" i="3"/>
  <c r="E17" i="3"/>
  <c r="E19" i="3"/>
  <c r="E28" i="3"/>
  <c r="D19" i="3"/>
  <c r="D28" i="3"/>
  <c r="M22" i="3"/>
  <c r="J22" i="3"/>
  <c r="O25" i="3"/>
  <c r="P25" i="3"/>
  <c r="Q25" i="3"/>
  <c r="S25" i="3"/>
  <c r="T25" i="3"/>
  <c r="U25" i="3"/>
  <c r="V25" i="3"/>
  <c r="L25" i="3"/>
  <c r="R48" i="3"/>
  <c r="R49" i="3"/>
  <c r="V50" i="3"/>
  <c r="V41" i="3"/>
  <c r="W41" i="3"/>
  <c r="W56" i="3"/>
  <c r="Q41" i="3"/>
  <c r="R41" i="3"/>
  <c r="R56" i="3"/>
  <c r="H41" i="3"/>
  <c r="M41" i="3"/>
  <c r="M56" i="3"/>
  <c r="H56" i="3"/>
  <c r="G56" i="3"/>
  <c r="W53" i="3"/>
  <c r="R53" i="3"/>
  <c r="L53" i="3"/>
  <c r="M53" i="3"/>
  <c r="G53" i="3"/>
  <c r="H53" i="3"/>
  <c r="W54" i="3"/>
  <c r="R54" i="3"/>
  <c r="N54" i="3"/>
  <c r="M54" i="3"/>
  <c r="L54" i="3"/>
  <c r="K53" i="3"/>
  <c r="K54" i="3"/>
  <c r="J53" i="3"/>
  <c r="J54" i="3"/>
  <c r="I53" i="3"/>
  <c r="I54" i="3"/>
  <c r="H54" i="3"/>
  <c r="G54" i="3"/>
  <c r="F53" i="3"/>
  <c r="F54" i="3"/>
  <c r="E53" i="3"/>
  <c r="E54" i="3"/>
  <c r="D53" i="3"/>
  <c r="D54" i="3"/>
  <c r="I48" i="3"/>
  <c r="I49" i="3"/>
  <c r="U41" i="3"/>
  <c r="T41" i="3"/>
  <c r="S41" i="3"/>
  <c r="P41" i="3"/>
  <c r="O41" i="3"/>
  <c r="V56" i="3"/>
  <c r="U56" i="3"/>
  <c r="T56" i="3"/>
  <c r="S56" i="3"/>
  <c r="Q56" i="3"/>
  <c r="P56" i="3"/>
  <c r="O56" i="3"/>
  <c r="N56" i="3"/>
  <c r="L56" i="3"/>
  <c r="K56" i="3"/>
  <c r="J56" i="3"/>
  <c r="I56" i="3"/>
  <c r="E56" i="3"/>
  <c r="F56" i="3"/>
  <c r="D56" i="3"/>
  <c r="R51" i="3"/>
  <c r="U50" i="3"/>
  <c r="T50" i="3"/>
  <c r="S50" i="3"/>
  <c r="Q50" i="3"/>
  <c r="P50" i="3"/>
  <c r="O50" i="3"/>
  <c r="L48" i="3"/>
  <c r="N48" i="3"/>
  <c r="N49" i="3"/>
  <c r="Q49" i="3"/>
  <c r="V49" i="3"/>
  <c r="U49" i="3"/>
  <c r="T49" i="3"/>
  <c r="S49" i="3"/>
  <c r="P49" i="3"/>
  <c r="M48" i="3"/>
  <c r="M49" i="3"/>
  <c r="L49" i="3"/>
  <c r="K48" i="3"/>
  <c r="K49" i="3"/>
  <c r="J48" i="3"/>
  <c r="J49" i="3"/>
  <c r="M24" i="3"/>
  <c r="M25" i="3"/>
  <c r="M26" i="3"/>
  <c r="L22" i="3"/>
  <c r="L24" i="3"/>
  <c r="L26" i="3"/>
  <c r="K22" i="3"/>
  <c r="K24" i="3"/>
  <c r="K26" i="3"/>
  <c r="J24" i="3"/>
  <c r="J26" i="3"/>
  <c r="I22" i="3"/>
  <c r="I24" i="3"/>
  <c r="I26" i="3"/>
  <c r="H22" i="3"/>
  <c r="H24" i="3"/>
  <c r="H25" i="3"/>
  <c r="H26" i="3"/>
  <c r="G22" i="3"/>
  <c r="G24" i="3"/>
  <c r="G26" i="3"/>
  <c r="F22" i="3"/>
  <c r="F24" i="3"/>
  <c r="F26" i="3"/>
  <c r="E22" i="3"/>
  <c r="E24" i="3"/>
  <c r="E26" i="3"/>
  <c r="D24" i="3"/>
  <c r="D26" i="3"/>
  <c r="W25" i="3"/>
  <c r="V24" i="3"/>
  <c r="V26" i="3"/>
  <c r="U24" i="3"/>
  <c r="U26" i="3"/>
  <c r="S24" i="3"/>
  <c r="S26" i="3"/>
  <c r="R25" i="3"/>
  <c r="Q24" i="3"/>
  <c r="Q26" i="3"/>
  <c r="P24" i="3"/>
  <c r="P26" i="3"/>
  <c r="O73" i="3"/>
  <c r="O30" i="3"/>
  <c r="P73" i="3"/>
  <c r="P30" i="3"/>
  <c r="Q73" i="3"/>
  <c r="Q30" i="3"/>
  <c r="S73" i="3"/>
  <c r="S30" i="3"/>
  <c r="T73" i="3"/>
  <c r="T30" i="3"/>
  <c r="U73" i="3"/>
  <c r="U30" i="3"/>
  <c r="V73" i="3"/>
  <c r="V30" i="3"/>
  <c r="V33" i="3"/>
  <c r="U33" i="3"/>
  <c r="S33" i="3"/>
  <c r="N24" i="3"/>
  <c r="Q33" i="3"/>
  <c r="P33" i="3"/>
  <c r="V32" i="3"/>
  <c r="U32" i="3"/>
  <c r="S32" i="3"/>
  <c r="Q32" i="3"/>
  <c r="P32" i="3"/>
  <c r="O29" i="3"/>
  <c r="P29" i="3"/>
  <c r="Q29" i="3"/>
  <c r="S29" i="3"/>
  <c r="T29" i="3"/>
  <c r="U29" i="3"/>
  <c r="V29" i="3"/>
  <c r="V31" i="3"/>
  <c r="U31" i="3"/>
  <c r="S31" i="3"/>
  <c r="Q31" i="3"/>
  <c r="P31" i="3"/>
  <c r="M33" i="3"/>
  <c r="L33" i="3"/>
  <c r="K33" i="3"/>
  <c r="J33" i="3"/>
  <c r="I33" i="3"/>
  <c r="H33" i="3"/>
  <c r="G33" i="3"/>
  <c r="F33" i="3"/>
  <c r="E33" i="3"/>
  <c r="D33" i="3"/>
  <c r="M32" i="3"/>
  <c r="L32" i="3"/>
  <c r="K32" i="3"/>
  <c r="J32" i="3"/>
  <c r="I32" i="3"/>
  <c r="H32" i="3"/>
  <c r="G32" i="3"/>
  <c r="F32" i="3"/>
  <c r="E32" i="3"/>
  <c r="D32" i="3"/>
  <c r="M31" i="3"/>
  <c r="L31" i="3"/>
  <c r="K31" i="3"/>
  <c r="J31" i="3"/>
  <c r="I31" i="3"/>
  <c r="H31" i="3"/>
  <c r="G31" i="3"/>
  <c r="F31" i="3"/>
  <c r="E31" i="3"/>
  <c r="D31" i="3"/>
  <c r="N33" i="3"/>
  <c r="N26" i="3"/>
  <c r="N32" i="3"/>
  <c r="N31" i="3"/>
  <c r="M44" i="3"/>
  <c r="J159" i="3"/>
  <c r="L159" i="3"/>
  <c r="M159" i="3"/>
  <c r="J158" i="3"/>
  <c r="L158" i="3"/>
  <c r="M158" i="3"/>
  <c r="J157" i="3"/>
  <c r="L157" i="3"/>
  <c r="M157" i="3"/>
  <c r="L150" i="3"/>
  <c r="M150" i="3"/>
  <c r="K143" i="3"/>
  <c r="L143" i="3"/>
  <c r="M143" i="3"/>
  <c r="K144" i="3"/>
  <c r="L144" i="3"/>
  <c r="M144" i="3"/>
  <c r="J145" i="3"/>
  <c r="K145" i="3"/>
  <c r="L145" i="3"/>
  <c r="M145" i="3"/>
  <c r="J146" i="3"/>
  <c r="K146" i="3"/>
  <c r="L146" i="3"/>
  <c r="M146" i="3"/>
  <c r="J147" i="3"/>
  <c r="K147" i="3"/>
  <c r="L147" i="3"/>
  <c r="M147" i="3"/>
  <c r="J148" i="3"/>
  <c r="K148" i="3"/>
  <c r="L148" i="3"/>
  <c r="M148" i="3"/>
  <c r="J149" i="3"/>
  <c r="K149" i="3"/>
  <c r="L149" i="3"/>
  <c r="M149" i="3"/>
  <c r="M151" i="3"/>
  <c r="L117" i="3"/>
  <c r="M117" i="3"/>
  <c r="I151" i="3"/>
  <c r="D151" i="3"/>
  <c r="J137" i="3"/>
  <c r="K137" i="3"/>
  <c r="M137" i="3"/>
  <c r="J139" i="3"/>
  <c r="K139" i="3"/>
  <c r="L139" i="3"/>
  <c r="J138" i="3"/>
  <c r="K138" i="3"/>
  <c r="L138" i="3"/>
  <c r="J136" i="3"/>
  <c r="K136" i="3"/>
  <c r="L136" i="3"/>
  <c r="J135" i="3"/>
  <c r="K135" i="3"/>
  <c r="L135" i="3"/>
  <c r="J131" i="3"/>
  <c r="K131" i="3"/>
  <c r="L131" i="3"/>
  <c r="M131" i="3"/>
  <c r="J130" i="3"/>
  <c r="K130" i="3"/>
  <c r="L130" i="3"/>
  <c r="M130" i="3"/>
  <c r="J129" i="3"/>
  <c r="K129" i="3"/>
  <c r="L129" i="3"/>
  <c r="J128" i="3"/>
  <c r="K128" i="3"/>
  <c r="L128" i="3"/>
  <c r="J127" i="3"/>
  <c r="K127" i="3"/>
  <c r="L127" i="3"/>
  <c r="J126" i="3"/>
  <c r="K126" i="3"/>
  <c r="L126" i="3"/>
  <c r="J125" i="3"/>
  <c r="K125" i="3"/>
  <c r="L125" i="3"/>
  <c r="J124" i="3"/>
  <c r="K124" i="3"/>
  <c r="L124" i="3"/>
  <c r="J123" i="3"/>
  <c r="K123" i="3"/>
  <c r="L123" i="3"/>
  <c r="J120" i="3"/>
  <c r="K120" i="3"/>
  <c r="L120" i="3"/>
  <c r="J119" i="3"/>
  <c r="K119" i="3"/>
  <c r="L119" i="3"/>
  <c r="J118" i="3"/>
  <c r="K118" i="3"/>
  <c r="L118" i="3"/>
  <c r="L116" i="3"/>
  <c r="L96" i="3"/>
  <c r="M34" i="3"/>
  <c r="K116" i="3"/>
  <c r="K132" i="3"/>
  <c r="K151" i="3"/>
  <c r="K96" i="3"/>
  <c r="J116" i="3"/>
  <c r="J132" i="3"/>
  <c r="J96" i="3"/>
  <c r="J100" i="3"/>
  <c r="I116" i="3"/>
  <c r="I132" i="3"/>
  <c r="M129" i="3"/>
  <c r="M128" i="3"/>
  <c r="M127" i="3"/>
  <c r="I96" i="3"/>
  <c r="M118" i="3"/>
  <c r="M119" i="3"/>
  <c r="M109" i="3"/>
  <c r="M96" i="3"/>
  <c r="M100" i="3"/>
  <c r="M110" i="3"/>
  <c r="M83" i="3"/>
  <c r="E159" i="3"/>
  <c r="F159" i="3"/>
  <c r="G159" i="3"/>
  <c r="H159" i="3"/>
  <c r="F158" i="3"/>
  <c r="G158" i="3"/>
  <c r="E157" i="3"/>
  <c r="F157" i="3"/>
  <c r="G157" i="3"/>
  <c r="H157" i="3"/>
  <c r="F116" i="3"/>
  <c r="E118" i="3"/>
  <c r="F118" i="3"/>
  <c r="E119" i="3"/>
  <c r="F119" i="3"/>
  <c r="E120" i="3"/>
  <c r="F120" i="3"/>
  <c r="E123" i="3"/>
  <c r="F123" i="3"/>
  <c r="E124" i="3"/>
  <c r="F124" i="3"/>
  <c r="E125" i="3"/>
  <c r="F125" i="3"/>
  <c r="E126" i="3"/>
  <c r="F126" i="3"/>
  <c r="E127" i="3"/>
  <c r="F127" i="3"/>
  <c r="E128" i="3"/>
  <c r="F128" i="3"/>
  <c r="E129" i="3"/>
  <c r="F129" i="3"/>
  <c r="E130" i="3"/>
  <c r="F130" i="3"/>
  <c r="E131" i="3"/>
  <c r="F131" i="3"/>
  <c r="F132" i="3"/>
  <c r="E116" i="3"/>
  <c r="E149" i="3"/>
  <c r="F149" i="3"/>
  <c r="G149" i="3"/>
  <c r="E148" i="3"/>
  <c r="F148" i="3"/>
  <c r="G148" i="3"/>
  <c r="E147" i="3"/>
  <c r="F147" i="3"/>
  <c r="G147" i="3"/>
  <c r="E146" i="3"/>
  <c r="F146" i="3"/>
  <c r="G146" i="3"/>
  <c r="E145" i="3"/>
  <c r="F145" i="3"/>
  <c r="G145" i="3"/>
  <c r="E144" i="3"/>
  <c r="F144" i="3"/>
  <c r="G144" i="3"/>
  <c r="E143" i="3"/>
  <c r="F143" i="3"/>
  <c r="G143" i="3"/>
  <c r="E138" i="3"/>
  <c r="F138" i="3"/>
  <c r="G138" i="3"/>
  <c r="E139" i="3"/>
  <c r="F139" i="3"/>
  <c r="G139" i="3"/>
  <c r="E136" i="3"/>
  <c r="F136" i="3"/>
  <c r="G136" i="3"/>
  <c r="E135" i="3"/>
  <c r="F135" i="3"/>
  <c r="G135" i="3"/>
  <c r="G116" i="3"/>
  <c r="G118" i="3"/>
  <c r="G119" i="3"/>
  <c r="G120" i="3"/>
  <c r="G123" i="3"/>
  <c r="G124" i="3"/>
  <c r="G125" i="3"/>
  <c r="G126" i="3"/>
  <c r="G127" i="3"/>
  <c r="G128" i="3"/>
  <c r="G129" i="3"/>
  <c r="G130" i="3"/>
  <c r="G131" i="3"/>
  <c r="G132" i="3"/>
  <c r="F151" i="3"/>
  <c r="H34" i="3"/>
  <c r="E132" i="3"/>
  <c r="D116" i="3"/>
  <c r="D132" i="3"/>
  <c r="H131" i="3"/>
  <c r="H130" i="3"/>
  <c r="H116" i="3"/>
  <c r="H118" i="3"/>
  <c r="H119" i="3"/>
  <c r="H120" i="3"/>
  <c r="H123" i="3"/>
  <c r="H124" i="3"/>
  <c r="H125" i="3"/>
  <c r="H126" i="3"/>
  <c r="H127" i="3"/>
  <c r="H128" i="3"/>
  <c r="H129" i="3"/>
  <c r="H132" i="3"/>
  <c r="H92" i="3"/>
  <c r="H93" i="3"/>
  <c r="H96" i="3"/>
  <c r="G96" i="3"/>
  <c r="F96" i="3"/>
  <c r="E96" i="3"/>
  <c r="D96" i="3"/>
  <c r="E100" i="3"/>
  <c r="E110" i="3"/>
  <c r="E83" i="3"/>
  <c r="E88" i="3"/>
  <c r="E111" i="3"/>
  <c r="F100" i="3"/>
  <c r="F110" i="3"/>
  <c r="F83" i="3"/>
  <c r="F88" i="3"/>
  <c r="F111" i="3"/>
  <c r="G100" i="3"/>
  <c r="G110" i="3"/>
  <c r="G83" i="3"/>
  <c r="G88" i="3"/>
  <c r="G111" i="3"/>
  <c r="H98" i="3"/>
  <c r="H99" i="3"/>
  <c r="H100" i="3"/>
  <c r="H110" i="3"/>
  <c r="H80" i="3"/>
  <c r="H81" i="3"/>
  <c r="H82" i="3"/>
  <c r="H83" i="3"/>
  <c r="H84" i="3"/>
  <c r="H85" i="3"/>
  <c r="H86" i="3"/>
  <c r="H87" i="3"/>
  <c r="H88" i="3"/>
  <c r="H111" i="3"/>
  <c r="I100" i="3"/>
  <c r="I110" i="3"/>
  <c r="I83" i="3"/>
  <c r="I88" i="3"/>
  <c r="I111" i="3"/>
  <c r="J110" i="3"/>
  <c r="J83" i="3"/>
  <c r="J88" i="3"/>
  <c r="J111" i="3"/>
  <c r="K100" i="3"/>
  <c r="K110" i="3"/>
  <c r="K83" i="3"/>
  <c r="K88" i="3"/>
  <c r="K111" i="3"/>
  <c r="L100" i="3"/>
  <c r="L110" i="3"/>
  <c r="L83" i="3"/>
  <c r="L88" i="3"/>
  <c r="L111" i="3"/>
  <c r="M88" i="3"/>
  <c r="M111" i="3"/>
  <c r="D100" i="3"/>
  <c r="D110" i="3"/>
  <c r="D83" i="3"/>
  <c r="D88" i="3"/>
  <c r="D111" i="3"/>
  <c r="H138" i="3"/>
  <c r="H139" i="3"/>
  <c r="H153" i="3"/>
  <c r="H149" i="3"/>
  <c r="H148" i="3"/>
  <c r="M120" i="3"/>
  <c r="M138" i="3"/>
  <c r="M139" i="3"/>
  <c r="K73" i="3"/>
  <c r="J73" i="3"/>
  <c r="I73" i="3"/>
  <c r="I69" i="3"/>
  <c r="E73" i="3"/>
  <c r="F73" i="3"/>
  <c r="G73" i="3"/>
  <c r="D73" i="3"/>
  <c r="I70" i="3"/>
  <c r="L70" i="3"/>
  <c r="H154" i="3"/>
  <c r="M153" i="3"/>
  <c r="G151" i="3"/>
  <c r="E151" i="3"/>
  <c r="H147" i="3"/>
  <c r="H146" i="3"/>
  <c r="H145" i="3"/>
  <c r="J151" i="3"/>
  <c r="H144" i="3"/>
  <c r="H143" i="3"/>
  <c r="I140" i="3"/>
  <c r="G140" i="3"/>
  <c r="F140" i="3"/>
  <c r="E140" i="3"/>
  <c r="D140" i="3"/>
  <c r="K140" i="3"/>
  <c r="H136" i="3"/>
  <c r="H135" i="3"/>
  <c r="M133" i="3"/>
  <c r="M126" i="3"/>
  <c r="M125" i="3"/>
  <c r="M124" i="3"/>
  <c r="M123" i="3"/>
  <c r="H140" i="3"/>
  <c r="H151" i="3"/>
  <c r="L151" i="3"/>
  <c r="J140" i="3"/>
  <c r="M135" i="3"/>
  <c r="M136" i="3"/>
  <c r="M140" i="3"/>
  <c r="L140" i="3"/>
  <c r="L60" i="3"/>
  <c r="K61" i="3"/>
  <c r="F61" i="3"/>
  <c r="K60" i="3"/>
  <c r="J60" i="3"/>
  <c r="I60" i="3"/>
  <c r="F60" i="3"/>
  <c r="E60" i="3"/>
  <c r="K59" i="3"/>
  <c r="J59" i="3"/>
  <c r="I59" i="3"/>
  <c r="F59" i="3"/>
  <c r="E59" i="3"/>
  <c r="D60" i="3"/>
  <c r="D59" i="3"/>
  <c r="G59" i="3"/>
  <c r="G61" i="3"/>
  <c r="G60" i="3"/>
  <c r="K69" i="3"/>
  <c r="H67" i="3"/>
  <c r="H66" i="3"/>
  <c r="H59" i="3"/>
  <c r="H60" i="3"/>
  <c r="J69" i="3"/>
  <c r="J58" i="3"/>
  <c r="I58" i="3"/>
  <c r="M59" i="3"/>
  <c r="M66" i="3"/>
  <c r="M60" i="3"/>
  <c r="M67" i="3"/>
  <c r="K70" i="3"/>
  <c r="J70" i="3"/>
  <c r="J64" i="3"/>
  <c r="J63" i="3"/>
  <c r="J152" i="3"/>
  <c r="J62" i="3"/>
  <c r="K58" i="3"/>
  <c r="K64" i="3"/>
  <c r="K63" i="3"/>
  <c r="K152" i="3"/>
  <c r="K62" i="3"/>
  <c r="F58" i="3"/>
  <c r="F64" i="3"/>
  <c r="F63" i="3"/>
  <c r="I64" i="3"/>
  <c r="I63" i="3"/>
  <c r="D64" i="3"/>
  <c r="D63" i="3"/>
  <c r="I62" i="3"/>
  <c r="F152" i="3"/>
  <c r="F62" i="3"/>
  <c r="I152" i="3"/>
  <c r="D152" i="3"/>
  <c r="D155" i="3"/>
  <c r="E154" i="3"/>
  <c r="D161" i="3"/>
  <c r="E58" i="3"/>
  <c r="H58" i="3"/>
  <c r="G58" i="3"/>
  <c r="G64" i="3"/>
  <c r="G63" i="3"/>
  <c r="E64" i="3"/>
  <c r="E63" i="3"/>
  <c r="H64" i="3"/>
  <c r="H63" i="3"/>
  <c r="E62" i="3"/>
  <c r="H62" i="3"/>
  <c r="G152" i="3"/>
  <c r="G62" i="3"/>
  <c r="E152" i="3"/>
  <c r="H152" i="3"/>
  <c r="E155" i="3"/>
  <c r="L58" i="3"/>
  <c r="F154" i="3"/>
  <c r="F155" i="3"/>
  <c r="E161" i="3"/>
  <c r="L63" i="3"/>
  <c r="L64" i="3"/>
  <c r="M58" i="3"/>
  <c r="G154" i="3"/>
  <c r="G155" i="3"/>
  <c r="F161" i="3"/>
  <c r="M63" i="3"/>
  <c r="M64" i="3"/>
  <c r="H155" i="3"/>
  <c r="G161" i="3"/>
  <c r="H161" i="3"/>
  <c r="M154" i="3"/>
  <c r="I154" i="3"/>
  <c r="I155" i="3"/>
  <c r="J154" i="3"/>
  <c r="J155" i="3"/>
  <c r="I161" i="3"/>
  <c r="K154" i="3"/>
  <c r="K155" i="3"/>
  <c r="J161" i="3"/>
  <c r="L154" i="3"/>
  <c r="K161" i="3"/>
  <c r="P63" i="3"/>
  <c r="P64" i="3"/>
  <c r="Q63" i="3"/>
  <c r="Q64" i="3"/>
  <c r="L62" i="3"/>
  <c r="L152" i="3"/>
  <c r="L155" i="3"/>
  <c r="L161" i="3"/>
  <c r="M62" i="3"/>
  <c r="M152" i="3"/>
  <c r="M155" i="3"/>
  <c r="M161" i="3"/>
  <c r="M116" i="3"/>
  <c r="S63" i="3"/>
  <c r="S64" i="3"/>
  <c r="U63" i="3"/>
  <c r="V63" i="3"/>
  <c r="U64" i="3"/>
  <c r="V64" i="3"/>
  <c r="O49" i="3"/>
  <c r="W48" i="3"/>
  <c r="W24" i="3"/>
  <c r="T24" i="3"/>
  <c r="W30" i="3"/>
  <c r="W33" i="3"/>
  <c r="T33" i="3"/>
  <c r="R24" i="3"/>
  <c r="O24" i="3"/>
  <c r="R30" i="3"/>
  <c r="R33" i="3"/>
  <c r="W26" i="3"/>
  <c r="W32" i="3"/>
  <c r="T26" i="3"/>
  <c r="T32" i="3"/>
  <c r="R26" i="3"/>
  <c r="R32" i="3"/>
  <c r="O26" i="3"/>
  <c r="O32" i="3"/>
  <c r="W29" i="3"/>
  <c r="W31" i="3"/>
  <c r="T31" i="3"/>
  <c r="R29" i="3"/>
  <c r="R31" i="3"/>
  <c r="O31" i="3"/>
  <c r="R58" i="3"/>
  <c r="W58" i="3"/>
  <c r="R60" i="3"/>
  <c r="O63" i="3"/>
  <c r="O64" i="3"/>
  <c r="R59" i="3"/>
  <c r="R64" i="3"/>
  <c r="R63" i="3"/>
  <c r="O33" i="3"/>
  <c r="C168" i="3"/>
  <c r="C6" i="3"/>
  <c r="C175" i="3"/>
  <c r="C176" i="3"/>
  <c r="C177" i="3"/>
  <c r="C7" i="3"/>
  <c r="W59" i="3"/>
  <c r="W60" i="3"/>
  <c r="T63" i="3"/>
  <c r="T64" i="3"/>
  <c r="W63" i="3"/>
  <c r="W64" i="3"/>
</calcChain>
</file>

<file path=xl/comments1.xml><?xml version="1.0" encoding="utf-8"?>
<comments xmlns="http://schemas.openxmlformats.org/spreadsheetml/2006/main">
  <authors>
    <author>Admin</author>
  </authors>
  <commentList>
    <comment ref="B45" authorId="0" shapeId="0">
      <text>
        <r>
          <rPr>
            <sz val="9"/>
            <color indexed="81"/>
            <rFont val="Tahoma"/>
            <family val="2"/>
          </rPr>
          <t xml:space="preserve">Since the company does not disclose the stores included in their comp store estimates, we must make some assumptions based on the definition of "comp store" (from SEC filings: [comp store sales] "Represents the period-to-period change in net sales from stores in operation </t>
        </r>
        <r>
          <rPr>
            <b/>
            <sz val="9"/>
            <color indexed="81"/>
            <rFont val="Tahoma"/>
            <family val="2"/>
          </rPr>
          <t>throughout the year presented and the immediately preceding year</t>
        </r>
        <r>
          <rPr>
            <sz val="9"/>
            <color indexed="81"/>
            <rFont val="Tahoma"/>
            <family val="2"/>
          </rPr>
          <t xml:space="preserve"> and all online sales, excluding commissions from departments licensed to third parties."</t>
        </r>
      </text>
    </comment>
    <comment ref="R48" authorId="0" shapeId="0">
      <text>
        <r>
          <rPr>
            <sz val="9"/>
            <color indexed="81"/>
            <rFont val="Tahoma"/>
            <family val="2"/>
          </rPr>
          <t>Management guided full-year 2016 comparable sales on an owned plus
licensed basis to decrease in the range of 3 percent to 4 percent, with comparable sales on an owned basis to be approximately 50 basis points lower. Guidance last updated on May 11, 2016.</t>
        </r>
      </text>
    </comment>
    <comment ref="B49" authorId="0" shapeId="0">
      <text>
        <r>
          <rPr>
            <sz val="9"/>
            <color indexed="81"/>
            <rFont val="Tahoma"/>
            <family val="2"/>
          </rPr>
          <t>Note as with all retail companies there is limited visibility into the comp store sales metric since we do not know which specific stores are included in the calculation. In this model we use this metric as an approximation of comp store sales based on the store count from one year ago. After management reprots the actual comp store results there will be reconciling differences do to the imperfect information with regards to which stores are included /excluded from the calculation.
After the company reports results we are able to reset the comp store count so there is no reconciling difference; Howeve, we know that some of the sales would not have actually been included in the same store comp calculation.</t>
        </r>
      </text>
    </comment>
    <comment ref="B50" authorId="0" shapeId="0">
      <text>
        <r>
          <rPr>
            <sz val="9"/>
            <color indexed="81"/>
            <rFont val="Tahoma"/>
            <family val="2"/>
          </rPr>
          <t>Disclosed by company: Represents the period-to-period change in net sales from stores in operation throughout the year presented and the
immediately preceding year and all online sales, excluding commissions from departments licensed to third parties.</t>
        </r>
      </text>
    </comment>
    <comment ref="R50" authorId="0" shapeId="0">
      <text>
        <r>
          <rPr>
            <sz val="9"/>
            <color indexed="81"/>
            <rFont val="Tahoma"/>
            <family val="2"/>
          </rPr>
          <t>Management guided full-year 2016 comparable sales on an owned plus
licensed basis to decrease in the range of 3 percent to 4 percent, with comparable sales on an owned basis to be approximately 50 basis points lower. Guidance last updated on May 11, 2016.</t>
        </r>
      </text>
    </comment>
    <comment ref="W50" authorId="0" shapeId="0">
      <text>
        <r>
          <rPr>
            <sz val="9"/>
            <color indexed="81"/>
            <rFont val="Tahoma"/>
            <family val="2"/>
          </rPr>
          <t>These cells will be filled in when management gives guideance for FY 2017.</t>
        </r>
      </text>
    </comment>
    <comment ref="B51" authorId="0" shapeId="0">
      <text>
        <r>
          <rPr>
            <sz val="9"/>
            <color indexed="81"/>
            <rFont val="Tahoma"/>
            <family val="2"/>
          </rPr>
          <t xml:space="preserve">Disclosed by company:  Represents the impact on comparable sales of departments licensed to third parties occurring in stores in operation
throughout the year presented and the immediately preceding year and via the Internet in the calculation of comparable
sales. The Company licenses third parties to operate certain departments in its stores and online and receives
commissions from these third parties based on a percentage of their net sales. In its financial statements prepared in
conformity with GAAP, the Company includes these commissions (rather than sales of the departments licensed to third
parties) in its net sales. The Company does not, however, include any amounts in respect of licensed department sales
(or any commissions earned on such sales) in its comparable sales in accordance with GAAP (i.e. on an owned basis).
The Company believes that the amounts of commissions earned on sales of departments licensed to third parties are
not material to its results of operations for the periods presented.
</t>
        </r>
      </text>
    </comment>
    <comment ref="R51" authorId="0" shapeId="0">
      <text>
        <r>
          <rPr>
            <sz val="9"/>
            <color indexed="81"/>
            <rFont val="Tahoma"/>
            <family val="2"/>
          </rPr>
          <t>Management guided full-year 2016 comparable sales on an owned plus licensed basis to decrease in the range of 3 percent to 4 percent, with comparable sales on an owned basis to be approximately 50 basis points lower. Guidance last updated on May 11, 2016.</t>
        </r>
      </text>
    </comment>
    <comment ref="R52" authorId="0" shapeId="0">
      <text>
        <r>
          <rPr>
            <sz val="9"/>
            <color indexed="81"/>
            <rFont val="Tahoma"/>
            <family val="2"/>
          </rPr>
          <t>Management guided full-year 2016 comparable sales on an owned plus
licensed basis to decrease in the range of 3 percent to 4 percent, with comparable sales on an owned basis to be approximately 50 basis points lower. Guidance last updated on May 11, 2016.</t>
        </r>
      </text>
    </comment>
  </commentList>
</comments>
</file>

<file path=xl/sharedStrings.xml><?xml version="1.0" encoding="utf-8"?>
<sst xmlns="http://schemas.openxmlformats.org/spreadsheetml/2006/main" count="290" uniqueCount="198">
  <si>
    <t>(Dollars in millions, except per share data)</t>
  </si>
  <si>
    <t>Multiple Valuation</t>
  </si>
  <si>
    <t>P/E used for valuation</t>
  </si>
  <si>
    <t xml:space="preserve">Segment Data &amp; Income Statement Ratios </t>
  </si>
  <si>
    <t>Basic EPS (GAAP)</t>
  </si>
  <si>
    <t>Diluted EPS (GAAP)</t>
  </si>
  <si>
    <t>Basic shares outstanding (GAAP)</t>
  </si>
  <si>
    <t>Diluted shares outstanding (GAAP)</t>
  </si>
  <si>
    <t>Diluted EPS (Non-GAAP)</t>
  </si>
  <si>
    <t>Net income (Non-GAAP)</t>
  </si>
  <si>
    <t>NTM P/E 3-month average</t>
  </si>
  <si>
    <t>NTM P/E 3-month high</t>
  </si>
  <si>
    <t>NTM P/E 3-month low</t>
  </si>
  <si>
    <t>FY 2014</t>
  </si>
  <si>
    <t>FY 2016E</t>
  </si>
  <si>
    <t>FY 2017E</t>
  </si>
  <si>
    <t xml:space="preserve">Plus net cash/(debt) per share </t>
  </si>
  <si>
    <t>Implied P/E 12-month target value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</si>
  <si>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</si>
  <si>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</si>
  <si>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</si>
  <si>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</si>
  <si>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</si>
  <si>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</si>
  <si>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1Q17E</t>
  </si>
  <si>
    <t>2Q17E</t>
  </si>
  <si>
    <t>3Q17E</t>
  </si>
  <si>
    <t>4Q17E</t>
  </si>
  <si>
    <t>Income before income taxes (GAAP)</t>
  </si>
  <si>
    <t>Gross margin (GAAP)</t>
  </si>
  <si>
    <t>Effective income tax rate</t>
  </si>
  <si>
    <t>Operating Income (GAAP)</t>
  </si>
  <si>
    <t>Operating Income (Non-GAAP)</t>
  </si>
  <si>
    <t>Operating Income Margin (GAAP)</t>
  </si>
  <si>
    <t>Operating Income Margin (Non-GAAP)</t>
  </si>
  <si>
    <t>Total Operating Expenses (ex cost of revenue)</t>
  </si>
  <si>
    <t>Net income (GAAP)</t>
  </si>
  <si>
    <t>($ in millions  unless otherwise noted)</t>
  </si>
  <si>
    <t>Average interest expense</t>
  </si>
  <si>
    <t>Blue cells = Gutenberg® estimates</t>
  </si>
  <si>
    <t>Ratio Analysis</t>
  </si>
  <si>
    <t>Opex adjustments (Non-GAAP)</t>
  </si>
  <si>
    <t>Non-GAAP Adjustment Analysis</t>
  </si>
  <si>
    <t>Net income adjustments (Non-GAAP)</t>
  </si>
  <si>
    <t xml:space="preserve">(a) Multiples are calculated excluding the value of net cash/(debt) and are based on the 3-month average daily share price compared to the consensus EPS estimates for the next twelve month period. </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</si>
  <si>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</si>
  <si>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</si>
  <si>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</si>
  <si>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</si>
  <si>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</si>
  <si>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</si>
  <si>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</si>
  <si>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</si>
  <si>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</si>
  <si>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</si>
  <si>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</si>
  <si>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Cash and equivalents</t>
  </si>
  <si>
    <t>Total Current Assets</t>
  </si>
  <si>
    <t>Total Assets</t>
  </si>
  <si>
    <t>Total Current liabilities</t>
  </si>
  <si>
    <t>Total liabilities</t>
  </si>
  <si>
    <t>Total shareholders' equity</t>
  </si>
  <si>
    <t>Total liabilities and equity</t>
  </si>
  <si>
    <t>CASH FLOW STATEMENT</t>
  </si>
  <si>
    <t>Cash flows from operating activities</t>
  </si>
  <si>
    <t>Net income (loss)</t>
  </si>
  <si>
    <t xml:space="preserve">Depreciation and amortization </t>
  </si>
  <si>
    <t>Stock-based comp expense</t>
  </si>
  <si>
    <t>Prepaid expenses and other current assets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</si>
  <si>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</si>
  <si>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</si>
  <si>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</si>
  <si>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</si>
  <si>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</si>
  <si>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</si>
  <si>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</si>
  <si>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</si>
  <si>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</si>
  <si>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</si>
  <si>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Goodwill</t>
  </si>
  <si>
    <t>Other assets</t>
  </si>
  <si>
    <t>Additional paid-in capital</t>
  </si>
  <si>
    <t>Deferred income taxes</t>
  </si>
  <si>
    <t>Macy's Inc. Income Statement</t>
  </si>
  <si>
    <t>Purple cells = Company guidance (last update 05/11/16)</t>
  </si>
  <si>
    <t>F1Q14</t>
  </si>
  <si>
    <t>F2Q14</t>
  </si>
  <si>
    <t>F3Q14</t>
  </si>
  <si>
    <t>F4Q14</t>
  </si>
  <si>
    <t>F1Q15</t>
  </si>
  <si>
    <t>F2Q15</t>
  </si>
  <si>
    <t>F3Q15</t>
  </si>
  <si>
    <t>F4Q15</t>
  </si>
  <si>
    <t>F2Q16E</t>
  </si>
  <si>
    <t>F3Q16E</t>
  </si>
  <si>
    <t>F4Q16E</t>
  </si>
  <si>
    <t>Net Sales</t>
  </si>
  <si>
    <t>Cost of sales</t>
  </si>
  <si>
    <t>Gross Margin (GAAP)</t>
  </si>
  <si>
    <t>Selling, general and administrative expenses</t>
  </si>
  <si>
    <t>Federal, state and local income tax expense</t>
  </si>
  <si>
    <t>Premium on early retirement of debt</t>
  </si>
  <si>
    <t>Current Assets</t>
  </si>
  <si>
    <t>Receivables</t>
  </si>
  <si>
    <t>Merchandise inventories</t>
  </si>
  <si>
    <t>Other Intangible Assets - net</t>
  </si>
  <si>
    <t>Current Liabilities</t>
  </si>
  <si>
    <t>Short-term debt</t>
  </si>
  <si>
    <t>Merchandise accounts payable</t>
  </si>
  <si>
    <t>Accounts payable and accrued liabilities</t>
  </si>
  <si>
    <t>Income Taxes</t>
  </si>
  <si>
    <t>Long-Term Debt</t>
  </si>
  <si>
    <t>Deferred Income taxes</t>
  </si>
  <si>
    <t>Other Liabilities</t>
  </si>
  <si>
    <t>Amortization of financing costs and premium on acquired debt</t>
  </si>
  <si>
    <t>Change in assets and liabilities</t>
  </si>
  <si>
    <t>Increase in prepaid expenses and other current assets</t>
  </si>
  <si>
    <t>(Increase) decrease in other assets not separately identified</t>
  </si>
  <si>
    <t>(Increase) Decrease in receivables</t>
  </si>
  <si>
    <t>(Increase) decrease in merchandise inventories</t>
  </si>
  <si>
    <t>Increase (decrease) in merchandise accounts payable</t>
  </si>
  <si>
    <t>Increase (decrease) in accounts payable accrued liabilities not separately identified</t>
  </si>
  <si>
    <t>Increase (decrease) in current income taxes</t>
  </si>
  <si>
    <t>Increase (decrease) in deferred income taxes</t>
  </si>
  <si>
    <t>Increase (decrease) in other liabilities no separately identified</t>
  </si>
  <si>
    <t>Purchase of property and equipment</t>
  </si>
  <si>
    <t>Capitalizaed software</t>
  </si>
  <si>
    <t>Disposition of property and equipment</t>
  </si>
  <si>
    <t>Other, net</t>
  </si>
  <si>
    <t>Debt repaid</t>
  </si>
  <si>
    <t>Dividends paid</t>
  </si>
  <si>
    <t>Increase (decrease) in outstanding checks</t>
  </si>
  <si>
    <t>Issuance of common stock</t>
  </si>
  <si>
    <t>Debt issued</t>
  </si>
  <si>
    <t>Financing costs</t>
  </si>
  <si>
    <t>Acquisition of treasury sotck</t>
  </si>
  <si>
    <t>Cash dividends per share</t>
  </si>
  <si>
    <t>Impairments, store closing and other costs</t>
  </si>
  <si>
    <t xml:space="preserve">Interest expense </t>
  </si>
  <si>
    <t xml:space="preserve">Property and equipment - net </t>
  </si>
  <si>
    <t>Supplemental cash flow information:</t>
  </si>
  <si>
    <t>Interest paid</t>
  </si>
  <si>
    <t>Interest received</t>
  </si>
  <si>
    <t>Income taxes paid</t>
  </si>
  <si>
    <t>Shareholder's Equity</t>
  </si>
  <si>
    <t>Common stock</t>
  </si>
  <si>
    <t>Accumulated equity</t>
  </si>
  <si>
    <t>Treasury stock</t>
  </si>
  <si>
    <t>Accumulated other comprehenzive loss</t>
  </si>
  <si>
    <t>Shareholder's Equity, noncontrolling Interest</t>
  </si>
  <si>
    <t>Acquisition of Bluemercury, Inc., net of cash acquired</t>
  </si>
  <si>
    <t>Proceeds from noncontrolling interest</t>
  </si>
  <si>
    <t>Comparable Store Sales</t>
  </si>
  <si>
    <t>Stores opened (including acquisitions)</t>
  </si>
  <si>
    <t>Stores closed or consolidated into existing centers</t>
  </si>
  <si>
    <t xml:space="preserve">   Stores owned</t>
  </si>
  <si>
    <t xml:space="preserve">   Stores leased</t>
  </si>
  <si>
    <t xml:space="preserve">   Stores subject to ground lease or partly owned</t>
  </si>
  <si>
    <t>Increase/(decrease) in comp sales on an owned basis</t>
  </si>
  <si>
    <t>Impact on comp sales of  departments licensed to 3rd parties</t>
  </si>
  <si>
    <t>Increase/(decrease) in comp sales on owned + licensed basis</t>
  </si>
  <si>
    <t>F1Q16</t>
  </si>
  <si>
    <t>Net income available to Macy's Inc shareholders (GAAP)</t>
  </si>
  <si>
    <t>Net loss attributable to noncontrolling interest</t>
  </si>
  <si>
    <t xml:space="preserve">      Comp store reconciling difference inc. 3rd party (see note)</t>
  </si>
  <si>
    <t>Total Store count at the end of the fiscal period</t>
  </si>
  <si>
    <t>Estimate of store count not included in comp store calculation</t>
  </si>
  <si>
    <t>Estimate of store count included in comp store sales calculation</t>
  </si>
  <si>
    <r>
      <t>Sales per</t>
    </r>
    <r>
      <rPr>
        <b/>
        <sz val="11"/>
        <color theme="1"/>
        <rFont val="Calibri"/>
        <family val="2"/>
        <scheme val="minor"/>
      </rPr>
      <t xml:space="preserve"> non-comp</t>
    </r>
    <r>
      <rPr>
        <sz val="11"/>
        <color theme="1"/>
        <rFont val="Calibri"/>
        <family val="2"/>
        <scheme val="minor"/>
      </rPr>
      <t xml:space="preserve"> store (not a company metric)</t>
    </r>
  </si>
  <si>
    <t>Total Sales per store (comp store + non-comp store, in $M)</t>
  </si>
  <si>
    <t>Sales per comp store (not a company metric, in $M)</t>
  </si>
  <si>
    <t>Estimate of total sales included in comp store sales calculation</t>
  </si>
  <si>
    <t>Comp store sales YoY growth rate including 3rd party sales</t>
  </si>
  <si>
    <t>Estimate of total sales not-included in comp store sales calculation</t>
  </si>
  <si>
    <t>Apr-14</t>
  </si>
  <si>
    <t>July-14</t>
  </si>
  <si>
    <t>Oct-14</t>
  </si>
  <si>
    <t>Jan-15</t>
  </si>
  <si>
    <t>Apr-15</t>
  </si>
  <si>
    <t>July-15</t>
  </si>
  <si>
    <t>Oct-15</t>
  </si>
  <si>
    <t>Jan-16</t>
  </si>
  <si>
    <t>Jan-17</t>
  </si>
  <si>
    <t>Oct-16</t>
  </si>
  <si>
    <t>July-16</t>
  </si>
  <si>
    <t>Apr-16</t>
  </si>
  <si>
    <t>Apr-17</t>
  </si>
  <si>
    <t>July-17</t>
  </si>
  <si>
    <t>Oct-17</t>
  </si>
  <si>
    <t>Jan-18</t>
  </si>
  <si>
    <t>Settlement charges &amp; other items (operating income)</t>
  </si>
  <si>
    <t>Tax impact of Settlement charges &amp; other items (net income)</t>
  </si>
  <si>
    <t>Impairments, store closing, &amp; other costs</t>
  </si>
  <si>
    <t>Impairments, store closing, &amp; other costs as % of sales</t>
  </si>
  <si>
    <t>SG&amp;A as % of sales</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</si>
  <si>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6/2/2016.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</si>
  <si>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6/2/2016. </t>
    </r>
  </si>
  <si>
    <t>Orange cells = Consensus estimates (updated 6/2/2016)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</si>
</sst>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quot;$&quot;* #,##0.00_-;\-&quot;$&quot;* #,##0.00_-;_-&quot;$&quot;* &quot;-&quot;??_-;_-@_-"/>
    <numFmt numFmtId="167" formatCode="_(* #,##0.0_);_(* \(#,##0.0\);_(* &quot;-&quot;??_);_(@_)"/>
    <numFmt numFmtId="168" formatCode="_(* #,##0_);_(* \(#,##0\);_(* &quot;-&quot;??_);_(@_)"/>
    <numFmt numFmtId="169" formatCode="0.0%"/>
    <numFmt numFmtId="170" formatCode="0.0\x"/>
    <numFmt numFmtId="171" formatCode="_(* #,##0.000_);_(* \(#,##0.000\);_(* &quot;-&quot;??_);_(@_)"/>
    <numFmt numFmtId="172" formatCode="#,##0.0_);\(#,##0.0\)"/>
    <numFmt numFmtId="173" formatCode="#,##0.0\ ;\(#,##0.0\)"/>
    <numFmt numFmtId="174" formatCode="#,##0\ ;\(#,##0.0\)"/>
    <numFmt numFmtId="175" formatCode="&quot;$&quot;0.00_)"/>
    <numFmt numFmtId="176" formatCode="#,##0&quot;%&quot;"/>
    <numFmt numFmtId="177" formatCode="#,##0___);\(#,##0.00\)"/>
    <numFmt numFmtId="178" formatCode="0%;\(0%\)"/>
    <numFmt numFmtId="179" formatCode="_(* #,##0,,_);_(* \(#,##0,,\);_(* &quot;-&quot;_)"/>
    <numFmt numFmtId="180" formatCode="_(* #,##0_);[Red]_(* \(#,##0\);_(* &quot;&quot;&quot;&quot;&quot;&quot;&quot;&quot;\ \-\ &quot;&quot;&quot;&quot;&quot;&quot;&quot;&quot;_);_(@_)"/>
    <numFmt numFmtId="181" formatCode="_(* #,##0,_);[Red]_(* \(#,##0,\);_(* &quot;&quot;&quot;&quot;&quot;&quot;&quot;&quot;\ \-\ &quot;&quot;&quot;&quot;&quot;&quot;&quot;&quot;_);_(@_)"/>
    <numFmt numFmtId="182" formatCode="0%;\(0%\);;"/>
    <numFmt numFmtId="183" formatCode="0%;\(0%\);&quot;-&quot;"/>
    <numFmt numFmtId="184" formatCode="#,##0_);[Red]\(#,##0\);&quot;-&quot;"/>
    <numFmt numFmtId="185" formatCode="*-"/>
    <numFmt numFmtId="186" formatCode="#,##0;\-#,##0;&quot;-&quot;"/>
    <numFmt numFmtId="187" formatCode="_._.&quot;$&quot;* \(#,##0\)_%;_._.&quot;$&quot;* #,##0_)_%;_._.&quot;$&quot;* 0_)_%;_._.@_)_%"/>
    <numFmt numFmtId="188" formatCode="_._.* \(#,##0\)_%;_._.* #,##0_)_%;_._.* 0_)_%;_.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 numFmtId="227" formatCode="#,##0.000"/>
    <numFmt numFmtId="228" formatCode="_(* #,##0.0_);_(* \(#,##0.0\);_(* &quot;-&quot;_);_(@_)"/>
    <numFmt numFmtId="229" formatCode="&quot;$&quot;#,##0.00"/>
  </numFmts>
  <fonts count="73"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i/>
      <sz val="11"/>
      <color theme="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bottom style="hair">
        <color auto="1"/>
      </bottom>
      <diagonal/>
    </border>
    <border>
      <left/>
      <right style="thin">
        <color auto="1"/>
      </right>
      <top/>
      <bottom style="hair">
        <color auto="1"/>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right style="thin">
        <color auto="1"/>
      </right>
      <top style="dashed">
        <color auto="1"/>
      </top>
      <bottom/>
      <diagonal/>
    </border>
    <border>
      <left/>
      <right/>
      <top style="dashed">
        <color auto="1"/>
      </top>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1" fillId="0" borderId="0" applyAlignment="0" applyProtection="0"/>
    <xf numFmtId="186" fontId="23" fillId="0" borderId="0" applyFill="0" applyBorder="0" applyAlignment="0"/>
    <xf numFmtId="179" fontId="9" fillId="0" borderId="0" applyFill="0" applyBorder="0" applyAlignment="0"/>
    <xf numFmtId="180" fontId="9" fillId="0" borderId="0" applyFill="0" applyBorder="0" applyAlignment="0"/>
    <xf numFmtId="181" fontId="9" fillId="0" borderId="0" applyFill="0" applyBorder="0" applyAlignment="0"/>
    <xf numFmtId="182" fontId="9" fillId="0" borderId="0" applyFill="0" applyBorder="0" applyAlignment="0"/>
    <xf numFmtId="186" fontId="23" fillId="0" borderId="0" applyFill="0" applyBorder="0" applyAlignment="0"/>
    <xf numFmtId="183" fontId="9" fillId="0" borderId="0" applyFill="0" applyBorder="0" applyAlignment="0"/>
    <xf numFmtId="179" fontId="9" fillId="0" borderId="0" applyFill="0" applyBorder="0" applyAlignment="0"/>
    <xf numFmtId="0" fontId="33" fillId="0" borderId="0" applyFill="0" applyBorder="0" applyProtection="0">
      <alignment horizontal="center"/>
      <protection locked="0"/>
    </xf>
    <xf numFmtId="0" fontId="22" fillId="0" borderId="0"/>
    <xf numFmtId="174" fontId="22" fillId="0" borderId="7"/>
    <xf numFmtId="215" fontId="1" fillId="0" borderId="0"/>
    <xf numFmtId="215" fontId="1" fillId="0" borderId="0"/>
    <xf numFmtId="186"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8" fontId="38" fillId="0" borderId="0" applyFill="0" applyBorder="0" applyProtection="0"/>
    <xf numFmtId="187" fontId="39" fillId="0" borderId="0" applyFont="0" applyFill="0" applyBorder="0" applyAlignment="0" applyProtection="0"/>
    <xf numFmtId="175" fontId="40" fillId="0" borderId="20">
      <protection hidden="1"/>
    </xf>
    <xf numFmtId="179"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6" fontId="43" fillId="0" borderId="0" applyFill="0" applyBorder="0" applyAlignment="0"/>
    <xf numFmtId="179" fontId="9" fillId="0" borderId="0" applyFill="0" applyBorder="0" applyAlignment="0"/>
    <xf numFmtId="186" fontId="43" fillId="0" borderId="0" applyFill="0" applyBorder="0" applyAlignment="0"/>
    <xf numFmtId="183" fontId="9" fillId="0" borderId="0" applyFill="0" applyBorder="0" applyAlignment="0"/>
    <xf numFmtId="179" fontId="9" fillId="0" borderId="0" applyFill="0" applyBorder="0" applyAlignment="0"/>
    <xf numFmtId="175" fontId="40" fillId="0" borderId="20">
      <protection hidden="1"/>
    </xf>
    <xf numFmtId="193"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6" fontId="46" fillId="0" borderId="0" applyFill="0" applyBorder="0" applyAlignment="0"/>
    <xf numFmtId="179" fontId="9" fillId="0" borderId="0" applyFill="0" applyBorder="0" applyAlignment="0"/>
    <xf numFmtId="186" fontId="46" fillId="0" borderId="0" applyFill="0" applyBorder="0" applyAlignment="0"/>
    <xf numFmtId="183" fontId="9" fillId="0" borderId="0" applyFill="0" applyBorder="0" applyAlignment="0"/>
    <xf numFmtId="179"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72" fontId="29" fillId="0" borderId="7"/>
    <xf numFmtId="37" fontId="51" fillId="0" borderId="0"/>
    <xf numFmtId="173" fontId="22" fillId="0" borderId="0"/>
    <xf numFmtId="173" fontId="1" fillId="0" borderId="0"/>
    <xf numFmtId="178"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7" fontId="35" fillId="0" borderId="0"/>
    <xf numFmtId="176" fontId="40" fillId="0" borderId="0">
      <protection hidden="1"/>
    </xf>
    <xf numFmtId="182" fontId="9" fillId="0" borderId="0" applyFont="0" applyFill="0" applyBorder="0" applyAlignment="0" applyProtection="0"/>
    <xf numFmtId="178"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72" fontId="29" fillId="0" borderId="0"/>
    <xf numFmtId="0" fontId="52" fillId="10" borderId="24" applyNumberFormat="0" applyFont="0" applyFill="0" applyAlignment="0">
      <alignment horizontal="center" vertical="center"/>
    </xf>
    <xf numFmtId="186" fontId="47" fillId="0" borderId="0" applyFill="0" applyBorder="0" applyAlignment="0"/>
    <xf numFmtId="179" fontId="9" fillId="0" borderId="0" applyFill="0" applyBorder="0" applyAlignment="0"/>
    <xf numFmtId="186" fontId="47" fillId="0" borderId="0" applyFill="0" applyBorder="0" applyAlignment="0"/>
    <xf numFmtId="183" fontId="9" fillId="0" borderId="0" applyFill="0" applyBorder="0" applyAlignment="0"/>
    <xf numFmtId="179"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4" fontId="9" fillId="0" borderId="0" applyFill="0" applyBorder="0" applyAlignment="0"/>
    <xf numFmtId="185"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7"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7" fontId="9" fillId="0" borderId="0" applyFont="0" applyFill="0" applyBorder="0" applyAlignment="0" applyProtection="0"/>
    <xf numFmtId="220" fontId="9" fillId="0" borderId="0" applyFill="0" applyBorder="0" applyAlignment="0"/>
    <xf numFmtId="167"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7"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7" fontId="9" fillId="0" borderId="0" applyFill="0" applyBorder="0" applyAlignment="0"/>
    <xf numFmtId="220" fontId="9" fillId="0" borderId="0" applyFill="0" applyBorder="0" applyAlignment="0"/>
    <xf numFmtId="221" fontId="9" fillId="0" borderId="0" applyFill="0" applyBorder="0" applyAlignment="0"/>
    <xf numFmtId="167"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cellStyleXfs>
  <cellXfs count="337">
    <xf numFmtId="0" fontId="0" fillId="0" borderId="0" xfId="0"/>
    <xf numFmtId="167" fontId="0" fillId="0" borderId="0" xfId="1" applyNumberFormat="1" applyFont="1" applyAlignment="1">
      <alignment horizontal="right"/>
    </xf>
    <xf numFmtId="167" fontId="3" fillId="0" borderId="0" xfId="1" quotePrefix="1" applyNumberFormat="1" applyFont="1" applyFill="1" applyBorder="1" applyAlignment="1">
      <alignment horizontal="right"/>
    </xf>
    <xf numFmtId="0" fontId="0" fillId="0" borderId="0" xfId="0" applyAlignment="1">
      <alignment horizontal="right"/>
    </xf>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7" fontId="0" fillId="0" borderId="0" xfId="1" applyNumberFormat="1" applyFont="1" applyFill="1" applyAlignment="1">
      <alignment horizontal="right"/>
    </xf>
    <xf numFmtId="43" fontId="12" fillId="0" borderId="0" xfId="1" applyNumberFormat="1" applyFont="1" applyFill="1" applyBorder="1" applyAlignment="1">
      <alignment horizontal="right"/>
    </xf>
    <xf numFmtId="167"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7"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8"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7"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2" fillId="0" borderId="3" xfId="0" applyFont="1" applyBorder="1" applyAlignment="1">
      <alignment horizontal="left"/>
    </xf>
    <xf numFmtId="0" fontId="0" fillId="0" borderId="0" xfId="0"/>
    <xf numFmtId="171" fontId="0" fillId="0" borderId="0" xfId="1" applyNumberFormat="1" applyFont="1" applyBorder="1" applyAlignment="1">
      <alignment horizontal="right"/>
    </xf>
    <xf numFmtId="169" fontId="1" fillId="0" borderId="0" xfId="2" quotePrefix="1" applyNumberFormat="1" applyFont="1" applyFill="1" applyBorder="1" applyAlignment="1">
      <alignment horizontal="right"/>
    </xf>
    <xf numFmtId="168" fontId="1" fillId="0" borderId="5" xfId="1" quotePrefix="1" applyNumberFormat="1" applyFont="1" applyFill="1" applyBorder="1" applyAlignment="1">
      <alignment horizontal="right"/>
    </xf>
    <xf numFmtId="169" fontId="1" fillId="2" borderId="0" xfId="2" quotePrefix="1" applyNumberFormat="1" applyFont="1" applyFill="1" applyBorder="1" applyAlignment="1">
      <alignment horizontal="right"/>
    </xf>
    <xf numFmtId="167" fontId="0" fillId="0" borderId="0" xfId="1" applyNumberFormat="1" applyFont="1" applyFill="1" applyBorder="1" applyAlignment="1">
      <alignment horizontal="right"/>
    </xf>
    <xf numFmtId="43" fontId="0" fillId="0" borderId="4" xfId="1" applyFont="1" applyFill="1" applyBorder="1" applyAlignment="1">
      <alignment horizontal="right"/>
    </xf>
    <xf numFmtId="43" fontId="10" fillId="0" borderId="0" xfId="1" applyNumberFormat="1" applyFont="1" applyFill="1" applyBorder="1" applyAlignment="1">
      <alignment horizontal="right"/>
    </xf>
    <xf numFmtId="43" fontId="1" fillId="0" borderId="4" xfId="1" applyNumberFormat="1" applyFont="1" applyFill="1" applyBorder="1" applyAlignment="1">
      <alignment horizontal="right"/>
    </xf>
    <xf numFmtId="43" fontId="1" fillId="0" borderId="5" xfId="1" applyNumberFormat="1" applyFont="1" applyFill="1" applyBorder="1" applyAlignment="1">
      <alignment horizontal="right"/>
    </xf>
    <xf numFmtId="168" fontId="3" fillId="0" borderId="5" xfId="1" quotePrefix="1" applyNumberFormat="1" applyFont="1" applyFill="1" applyBorder="1" applyAlignment="1">
      <alignment horizontal="right"/>
    </xf>
    <xf numFmtId="169" fontId="1" fillId="0" borderId="5" xfId="2" quotePrefix="1" applyNumberFormat="1" applyFont="1" applyFill="1" applyBorder="1" applyAlignment="1">
      <alignment horizontal="right"/>
    </xf>
    <xf numFmtId="168" fontId="0" fillId="0" borderId="0" xfId="1" quotePrefix="1" applyNumberFormat="1" applyFont="1" applyFill="1" applyBorder="1" applyAlignment="1">
      <alignment horizontal="right"/>
    </xf>
    <xf numFmtId="43" fontId="1" fillId="0" borderId="0" xfId="1" applyNumberFormat="1" applyFont="1" applyFill="1" applyBorder="1" applyAlignment="1">
      <alignment horizontal="right"/>
    </xf>
    <xf numFmtId="168" fontId="1" fillId="0" borderId="0" xfId="1" quotePrefix="1" applyNumberFormat="1" applyFont="1" applyFill="1" applyBorder="1" applyAlignment="1">
      <alignment horizontal="right"/>
    </xf>
    <xf numFmtId="168" fontId="0" fillId="0" borderId="0" xfId="0" applyNumberFormat="1"/>
    <xf numFmtId="0" fontId="0" fillId="0" borderId="0" xfId="0" applyFont="1"/>
    <xf numFmtId="167" fontId="66" fillId="5" borderId="0" xfId="1" quotePrefix="1" applyNumberFormat="1" applyFont="1" applyFill="1" applyBorder="1" applyAlignment="1">
      <alignment horizontal="right"/>
    </xf>
    <xf numFmtId="0" fontId="0" fillId="0" borderId="0" xfId="0"/>
    <xf numFmtId="0" fontId="0" fillId="0" borderId="0" xfId="0"/>
    <xf numFmtId="43" fontId="2" fillId="0" borderId="5" xfId="1" applyNumberFormat="1" applyFont="1" applyFill="1" applyBorder="1" applyAlignment="1">
      <alignment horizontal="right"/>
    </xf>
    <xf numFmtId="171" fontId="2" fillId="0" borderId="0" xfId="1"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7" fontId="16" fillId="3" borderId="2" xfId="1" quotePrefix="1" applyNumberFormat="1" applyFont="1" applyFill="1" applyBorder="1" applyAlignment="1">
      <alignment horizontal="right"/>
    </xf>
    <xf numFmtId="167" fontId="18" fillId="3" borderId="0" xfId="1" quotePrefix="1" applyNumberFormat="1" applyFont="1" applyFill="1" applyBorder="1" applyAlignment="1">
      <alignment horizontal="right"/>
    </xf>
    <xf numFmtId="167" fontId="65" fillId="5" borderId="2" xfId="1" quotePrefix="1" applyNumberFormat="1" applyFont="1" applyFill="1" applyBorder="1" applyAlignment="1">
      <alignment horizontal="right"/>
    </xf>
    <xf numFmtId="167" fontId="66" fillId="5" borderId="0" xfId="1" quotePrefix="1" applyNumberFormat="1" applyFont="1" applyFill="1" applyBorder="1" applyAlignment="1">
      <alignment horizontal="right"/>
    </xf>
    <xf numFmtId="0" fontId="2" fillId="0" borderId="6" xfId="0" applyFont="1" applyFill="1" applyBorder="1" applyAlignment="1">
      <alignment horizontal="left"/>
    </xf>
    <xf numFmtId="167" fontId="65" fillId="5" borderId="11" xfId="1" quotePrefix="1" applyNumberFormat="1" applyFont="1" applyFill="1" applyBorder="1" applyAlignment="1">
      <alignment horizontal="right"/>
    </xf>
    <xf numFmtId="167"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3" xfId="0" applyFont="1" applyBorder="1" applyAlignment="1">
      <alignment horizontal="left"/>
    </xf>
    <xf numFmtId="0" fontId="0" fillId="0" borderId="0" xfId="0" applyFill="1"/>
    <xf numFmtId="0" fontId="0" fillId="0" borderId="3" xfId="0" applyFont="1" applyBorder="1" applyAlignment="1">
      <alignment horizontal="left"/>
    </xf>
    <xf numFmtId="43" fontId="1" fillId="0" borderId="3" xfId="1" applyNumberFormat="1" applyFont="1" applyFill="1" applyBorder="1" applyAlignment="1">
      <alignment horizontal="right"/>
    </xf>
    <xf numFmtId="43" fontId="2" fillId="0" borderId="0" xfId="1" applyNumberFormat="1" applyFont="1" applyFill="1" applyBorder="1" applyAlignment="1">
      <alignment horizontal="right"/>
    </xf>
    <xf numFmtId="168" fontId="0" fillId="0" borderId="0" xfId="1" applyNumberFormat="1" applyFont="1"/>
    <xf numFmtId="171" fontId="1" fillId="0" borderId="0" xfId="1" quotePrefix="1" applyNumberFormat="1" applyFont="1" applyFill="1" applyBorder="1" applyAlignment="1">
      <alignment horizontal="right"/>
    </xf>
    <xf numFmtId="171" fontId="1" fillId="0" borderId="5" xfId="1" quotePrefix="1" applyNumberFormat="1" applyFont="1" applyFill="1" applyBorder="1" applyAlignment="1">
      <alignment horizontal="right"/>
    </xf>
    <xf numFmtId="171" fontId="0" fillId="0" borderId="0" xfId="1" applyNumberFormat="1" applyFont="1"/>
    <xf numFmtId="171" fontId="1" fillId="2" borderId="0" xfId="1" quotePrefix="1" applyNumberFormat="1" applyFont="1" applyFill="1" applyBorder="1" applyAlignment="1">
      <alignment horizontal="right"/>
    </xf>
    <xf numFmtId="171" fontId="0" fillId="0" borderId="0" xfId="1" applyNumberFormat="1" applyFont="1" applyAlignment="1">
      <alignment horizontal="right"/>
    </xf>
    <xf numFmtId="226" fontId="0" fillId="0" borderId="4" xfId="2" applyNumberFormat="1" applyFont="1" applyFill="1" applyBorder="1" applyAlignment="1">
      <alignment horizontal="right"/>
    </xf>
    <xf numFmtId="226" fontId="0" fillId="0" borderId="4" xfId="1" applyNumberFormat="1" applyFont="1" applyFill="1" applyBorder="1" applyAlignment="1">
      <alignment horizontal="right"/>
    </xf>
    <xf numFmtId="6" fontId="2" fillId="0" borderId="10" xfId="1" applyNumberFormat="1" applyFont="1" applyBorder="1" applyAlignment="1">
      <alignment horizontal="right"/>
    </xf>
    <xf numFmtId="169" fontId="0" fillId="0" borderId="0" xfId="2" applyNumberFormat="1" applyFont="1" applyAlignment="1">
      <alignment horizontal="right"/>
    </xf>
    <xf numFmtId="10" fontId="0" fillId="0" borderId="0" xfId="2" applyNumberFormat="1" applyFont="1" applyAlignment="1">
      <alignment horizontal="right"/>
    </xf>
    <xf numFmtId="5" fontId="0" fillId="0" borderId="4" xfId="1" applyNumberFormat="1" applyFont="1" applyFill="1" applyBorder="1" applyAlignment="1">
      <alignment horizontal="right"/>
    </xf>
    <xf numFmtId="0" fontId="0" fillId="0" borderId="27" xfId="0" applyFont="1" applyFill="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70" fontId="0" fillId="0" borderId="0" xfId="2" applyNumberFormat="1" applyFont="1" applyFill="1" applyBorder="1" applyAlignment="1">
      <alignment horizontal="right"/>
    </xf>
    <xf numFmtId="170"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9" fontId="0" fillId="0" borderId="0" xfId="1" applyNumberFormat="1" applyFont="1" applyAlignment="1">
      <alignment horizontal="right"/>
    </xf>
    <xf numFmtId="0" fontId="69" fillId="0" borderId="0" xfId="0" applyFont="1"/>
    <xf numFmtId="0" fontId="8" fillId="0" borderId="0" xfId="0" applyFont="1" applyFill="1" applyBorder="1" applyAlignment="1">
      <alignment horizontal="left"/>
    </xf>
    <xf numFmtId="167" fontId="13" fillId="0" borderId="0" xfId="1" applyNumberFormat="1" applyFont="1" applyAlignment="1">
      <alignment horizontal="right"/>
    </xf>
    <xf numFmtId="168" fontId="13" fillId="0" borderId="3" xfId="1" applyNumberFormat="1" applyFont="1" applyFill="1" applyBorder="1" applyAlignment="1">
      <alignment horizontal="right"/>
    </xf>
    <xf numFmtId="168" fontId="13" fillId="0" borderId="0" xfId="1" applyNumberFormat="1" applyFont="1" applyBorder="1" applyAlignment="1">
      <alignment horizontal="right"/>
    </xf>
    <xf numFmtId="168" fontId="13" fillId="0" borderId="4" xfId="1" applyNumberFormat="1" applyFont="1" applyBorder="1" applyAlignment="1">
      <alignment horizontal="right"/>
    </xf>
    <xf numFmtId="168" fontId="13" fillId="0" borderId="5" xfId="1" applyNumberFormat="1" applyFont="1" applyBorder="1" applyAlignment="1">
      <alignment horizontal="right"/>
    </xf>
    <xf numFmtId="168" fontId="5" fillId="0" borderId="0" xfId="1" applyNumberFormat="1" applyFont="1" applyBorder="1" applyAlignment="1">
      <alignment horizontal="right"/>
    </xf>
    <xf numFmtId="168" fontId="7" fillId="0" borderId="0" xfId="1" applyNumberFormat="1" applyFont="1" applyFill="1" applyBorder="1" applyAlignment="1">
      <alignment horizontal="right"/>
    </xf>
    <xf numFmtId="168" fontId="6" fillId="0" borderId="0" xfId="1" applyNumberFormat="1" applyFont="1" applyBorder="1" applyAlignment="1">
      <alignment horizontal="right"/>
    </xf>
    <xf numFmtId="168" fontId="7" fillId="0" borderId="5" xfId="1" applyNumberFormat="1" applyFont="1" applyBorder="1" applyAlignment="1">
      <alignment horizontal="right"/>
    </xf>
    <xf numFmtId="168" fontId="7" fillId="0" borderId="0" xfId="1" applyNumberFormat="1" applyFont="1" applyBorder="1" applyAlignment="1">
      <alignment horizontal="right"/>
    </xf>
    <xf numFmtId="171" fontId="0" fillId="0" borderId="0" xfId="0" applyNumberFormat="1" applyAlignment="1">
      <alignment horizontal="right"/>
    </xf>
    <xf numFmtId="168" fontId="0" fillId="0" borderId="3" xfId="1" applyNumberFormat="1" applyFont="1" applyFill="1" applyBorder="1" applyAlignment="1">
      <alignment horizontal="right"/>
    </xf>
    <xf numFmtId="168" fontId="0" fillId="0" borderId="0" xfId="1" applyNumberFormat="1" applyFont="1" applyBorder="1" applyAlignment="1">
      <alignment horizontal="right"/>
    </xf>
    <xf numFmtId="168" fontId="0" fillId="0" borderId="4" xfId="1" applyNumberFormat="1" applyFont="1" applyBorder="1" applyAlignment="1">
      <alignment horizontal="right"/>
    </xf>
    <xf numFmtId="168" fontId="0" fillId="0" borderId="5" xfId="1" applyNumberFormat="1" applyFont="1" applyBorder="1" applyAlignment="1">
      <alignment horizontal="right"/>
    </xf>
    <xf numFmtId="168" fontId="5" fillId="0" borderId="3" xfId="1" applyNumberFormat="1" applyFont="1" applyBorder="1" applyAlignment="1">
      <alignment horizontal="right"/>
    </xf>
    <xf numFmtId="43" fontId="1" fillId="0" borderId="6" xfId="1" applyFont="1" applyFill="1" applyBorder="1" applyAlignment="1">
      <alignment horizontal="right"/>
    </xf>
    <xf numFmtId="43" fontId="1" fillId="0" borderId="7" xfId="1" applyFont="1" applyBorder="1" applyAlignment="1">
      <alignment horizontal="right"/>
    </xf>
    <xf numFmtId="43" fontId="1" fillId="0" borderId="10" xfId="1" applyFont="1" applyBorder="1" applyAlignment="1">
      <alignment horizontal="right"/>
    </xf>
    <xf numFmtId="43" fontId="1" fillId="0" borderId="8" xfId="1" applyFont="1" applyBorder="1" applyAlignment="1">
      <alignment horizontal="right"/>
    </xf>
    <xf numFmtId="43" fontId="1" fillId="0" borderId="6" xfId="1" applyFont="1" applyBorder="1" applyAlignment="1">
      <alignment horizontal="right"/>
    </xf>
    <xf numFmtId="43" fontId="1" fillId="0" borderId="7" xfId="1" applyFont="1" applyFill="1" applyBorder="1" applyAlignment="1">
      <alignment horizontal="right"/>
    </xf>
    <xf numFmtId="167" fontId="3" fillId="0" borderId="8" xfId="1" quotePrefix="1" applyNumberFormat="1" applyFont="1" applyFill="1" applyBorder="1" applyAlignment="1">
      <alignment horizontal="right"/>
    </xf>
    <xf numFmtId="168" fontId="0" fillId="0" borderId="0" xfId="1" applyNumberFormat="1" applyFont="1" applyFill="1" applyBorder="1" applyAlignment="1">
      <alignment horizontal="right"/>
    </xf>
    <xf numFmtId="168" fontId="1" fillId="2" borderId="0" xfId="1" quotePrefix="1" applyNumberFormat="1" applyFont="1" applyFill="1" applyBorder="1" applyAlignment="1">
      <alignment horizontal="right"/>
    </xf>
    <xf numFmtId="10" fontId="1" fillId="0" borderId="0" xfId="2" quotePrefix="1" applyNumberFormat="1" applyFont="1" applyFill="1" applyBorder="1" applyAlignment="1">
      <alignment horizontal="right"/>
    </xf>
    <xf numFmtId="168" fontId="13" fillId="0" borderId="0" xfId="1" quotePrefix="1" applyNumberFormat="1" applyFont="1" applyFill="1" applyBorder="1" applyAlignment="1">
      <alignment horizontal="right"/>
    </xf>
    <xf numFmtId="227" fontId="0" fillId="0" borderId="0" xfId="0" applyNumberFormat="1"/>
    <xf numFmtId="227" fontId="0" fillId="0" borderId="0" xfId="0" applyNumberFormat="1" applyFill="1" applyBorder="1"/>
    <xf numFmtId="169" fontId="1" fillId="0" borderId="5" xfId="1" quotePrefix="1" applyNumberFormat="1" applyFont="1" applyFill="1" applyBorder="1" applyAlignment="1">
      <alignment horizontal="right"/>
    </xf>
    <xf numFmtId="0" fontId="2" fillId="0" borderId="3" xfId="0" applyFont="1" applyBorder="1" applyAlignment="1">
      <alignment horizontal="left"/>
    </xf>
    <xf numFmtId="41" fontId="1" fillId="0" borderId="0" xfId="1" quotePrefix="1" applyNumberFormat="1" applyFont="1" applyFill="1" applyBorder="1" applyAlignment="1">
      <alignment horizontal="right"/>
    </xf>
    <xf numFmtId="41" fontId="1" fillId="0" borderId="5" xfId="1" quotePrefix="1" applyNumberFormat="1" applyFont="1" applyFill="1" applyBorder="1" applyAlignment="1">
      <alignment horizontal="right"/>
    </xf>
    <xf numFmtId="41" fontId="1" fillId="0" borderId="0" xfId="2" quotePrefix="1" applyNumberFormat="1" applyFont="1" applyFill="1" applyBorder="1" applyAlignment="1">
      <alignment horizontal="right"/>
    </xf>
    <xf numFmtId="41" fontId="1" fillId="0" borderId="5" xfId="2" quotePrefix="1" applyNumberFormat="1" applyFont="1" applyFill="1" applyBorder="1" applyAlignment="1">
      <alignment horizontal="right"/>
    </xf>
    <xf numFmtId="41" fontId="67" fillId="0" borderId="0" xfId="1" quotePrefix="1" applyNumberFormat="1" applyFont="1" applyFill="1" applyBorder="1" applyAlignment="1">
      <alignment horizontal="right"/>
    </xf>
    <xf numFmtId="41" fontId="67" fillId="0" borderId="5" xfId="1" quotePrefix="1" applyNumberFormat="1" applyFont="1" applyFill="1" applyBorder="1" applyAlignment="1">
      <alignment horizontal="right"/>
    </xf>
    <xf numFmtId="41" fontId="67" fillId="0" borderId="0" xfId="2" quotePrefix="1" applyNumberFormat="1" applyFont="1" applyFill="1" applyBorder="1" applyAlignment="1">
      <alignment horizontal="right"/>
    </xf>
    <xf numFmtId="41" fontId="67" fillId="0" borderId="5" xfId="2" quotePrefix="1" applyNumberFormat="1" applyFont="1" applyFill="1" applyBorder="1" applyAlignment="1">
      <alignment horizontal="right"/>
    </xf>
    <xf numFmtId="41" fontId="2" fillId="0" borderId="0" xfId="1" quotePrefix="1" applyNumberFormat="1" applyFont="1" applyFill="1" applyBorder="1" applyAlignment="1">
      <alignment horizontal="right"/>
    </xf>
    <xf numFmtId="41" fontId="2" fillId="0" borderId="5" xfId="1" quotePrefix="1" applyNumberFormat="1" applyFont="1" applyFill="1" applyBorder="1" applyAlignment="1">
      <alignment horizontal="right"/>
    </xf>
    <xf numFmtId="41" fontId="2" fillId="0" borderId="0" xfId="2" quotePrefix="1" applyNumberFormat="1" applyFont="1" applyFill="1" applyBorder="1" applyAlignment="1">
      <alignment horizontal="right"/>
    </xf>
    <xf numFmtId="41" fontId="2" fillId="0" borderId="5" xfId="2" quotePrefix="1" applyNumberFormat="1" applyFont="1" applyFill="1" applyBorder="1" applyAlignment="1">
      <alignment horizontal="right"/>
    </xf>
    <xf numFmtId="0" fontId="2" fillId="0" borderId="0" xfId="0" applyFont="1" applyFill="1"/>
    <xf numFmtId="0" fontId="0" fillId="0" borderId="0" xfId="0" applyFont="1" applyFill="1"/>
    <xf numFmtId="168" fontId="2" fillId="0" borderId="0" xfId="2" quotePrefix="1" applyNumberFormat="1" applyFont="1" applyFill="1" applyBorder="1" applyAlignment="1">
      <alignment horizontal="right"/>
    </xf>
    <xf numFmtId="43" fontId="0" fillId="0" borderId="0" xfId="0" applyNumberFormat="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227" fontId="0" fillId="0" borderId="3" xfId="0" applyNumberFormat="1" applyFont="1" applyFill="1" applyBorder="1" applyAlignment="1">
      <alignment horizontal="left"/>
    </xf>
    <xf numFmtId="227" fontId="0" fillId="0" borderId="4" xfId="0" applyNumberFormat="1"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228" fontId="1" fillId="0" borderId="5" xfId="1" quotePrefix="1" applyNumberFormat="1" applyFont="1" applyFill="1" applyBorder="1" applyAlignment="1">
      <alignment horizontal="right"/>
    </xf>
    <xf numFmtId="228" fontId="1" fillId="0" borderId="0" xfId="2" quotePrefix="1" applyNumberFormat="1" applyFont="1" applyFill="1" applyBorder="1" applyAlignment="1">
      <alignment horizontal="right"/>
    </xf>
    <xf numFmtId="41" fontId="1" fillId="0" borderId="36" xfId="1" quotePrefix="1" applyNumberFormat="1" applyFont="1" applyFill="1" applyBorder="1" applyAlignment="1">
      <alignment horizontal="right"/>
    </xf>
    <xf numFmtId="169" fontId="1" fillId="0" borderId="33" xfId="1" quotePrefix="1" applyNumberFormat="1" applyFont="1" applyFill="1" applyBorder="1" applyAlignment="1">
      <alignment horizontal="right"/>
    </xf>
    <xf numFmtId="169" fontId="1" fillId="0" borderId="36" xfId="2" quotePrefix="1" applyNumberFormat="1" applyFont="1" applyFill="1" applyBorder="1" applyAlignment="1">
      <alignment horizontal="right"/>
    </xf>
    <xf numFmtId="169" fontId="1" fillId="0" borderId="33" xfId="2" quotePrefix="1" applyNumberFormat="1" applyFont="1" applyFill="1" applyBorder="1" applyAlignment="1">
      <alignment horizontal="right"/>
    </xf>
    <xf numFmtId="41" fontId="1" fillId="0" borderId="33" xfId="2" quotePrefix="1" applyNumberFormat="1" applyFont="1" applyFill="1" applyBorder="1" applyAlignment="1">
      <alignment horizontal="right"/>
    </xf>
    <xf numFmtId="41" fontId="1" fillId="2" borderId="36" xfId="1" quotePrefix="1" applyNumberFormat="1" applyFont="1" applyFill="1" applyBorder="1" applyAlignment="1">
      <alignment horizontal="right"/>
    </xf>
    <xf numFmtId="41" fontId="1" fillId="0" borderId="33" xfId="1" quotePrefix="1" applyNumberFormat="1" applyFont="1" applyFill="1" applyBorder="1" applyAlignment="1">
      <alignment horizontal="right"/>
    </xf>
    <xf numFmtId="41" fontId="1" fillId="2" borderId="36" xfId="2" quotePrefix="1" applyNumberFormat="1" applyFont="1" applyFill="1" applyBorder="1" applyAlignment="1">
      <alignment horizontal="right"/>
    </xf>
    <xf numFmtId="228" fontId="1" fillId="0" borderId="29" xfId="2" quotePrefix="1" applyNumberFormat="1" applyFont="1" applyFill="1" applyBorder="1" applyAlignment="1">
      <alignment horizontal="right"/>
    </xf>
    <xf numFmtId="228" fontId="1" fillId="0" borderId="32" xfId="1" quotePrefix="1" applyNumberFormat="1" applyFont="1" applyFill="1" applyBorder="1" applyAlignment="1">
      <alignment horizontal="right"/>
    </xf>
    <xf numFmtId="169" fontId="1" fillId="0" borderId="29" xfId="2" quotePrefix="1" applyNumberFormat="1" applyFont="1" applyFill="1" applyBorder="1" applyAlignment="1">
      <alignment horizontal="right"/>
    </xf>
    <xf numFmtId="169" fontId="1" fillId="11" borderId="33" xfId="2" quotePrefix="1" applyNumberFormat="1" applyFont="1" applyFill="1" applyBorder="1" applyAlignment="1">
      <alignment horizontal="right"/>
    </xf>
    <xf numFmtId="169" fontId="1" fillId="11" borderId="5" xfId="2" quotePrefix="1" applyNumberFormat="1" applyFont="1" applyFill="1" applyBorder="1" applyAlignment="1">
      <alignment horizontal="right"/>
    </xf>
    <xf numFmtId="168" fontId="1" fillId="0" borderId="3" xfId="1" applyNumberFormat="1" applyFont="1" applyFill="1" applyBorder="1" applyAlignment="1">
      <alignment horizontal="right"/>
    </xf>
    <xf numFmtId="168" fontId="1" fillId="0" borderId="0" xfId="1" applyNumberFormat="1" applyFont="1" applyFill="1" applyBorder="1" applyAlignment="1">
      <alignment horizontal="right"/>
    </xf>
    <xf numFmtId="168" fontId="1" fillId="0" borderId="4"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4" fillId="0" borderId="3" xfId="1" applyNumberFormat="1" applyFont="1" applyFill="1" applyBorder="1" applyAlignment="1">
      <alignment horizontal="right"/>
    </xf>
    <xf numFmtId="168" fontId="4" fillId="0" borderId="0" xfId="1" applyNumberFormat="1" applyFont="1" applyFill="1" applyBorder="1" applyAlignment="1">
      <alignment horizontal="right"/>
    </xf>
    <xf numFmtId="168" fontId="4" fillId="0" borderId="4" xfId="1" applyNumberFormat="1" applyFont="1" applyFill="1" applyBorder="1" applyAlignment="1">
      <alignment horizontal="right"/>
    </xf>
    <xf numFmtId="168" fontId="4" fillId="0" borderId="5" xfId="1" applyNumberFormat="1" applyFont="1" applyFill="1" applyBorder="1" applyAlignment="1">
      <alignment horizontal="right"/>
    </xf>
    <xf numFmtId="168" fontId="11" fillId="0" borderId="0" xfId="1" applyNumberFormat="1" applyFont="1" applyFill="1" applyBorder="1" applyAlignment="1">
      <alignment horizontal="right"/>
    </xf>
    <xf numFmtId="168" fontId="2" fillId="0" borderId="3" xfId="1" applyNumberFormat="1" applyFont="1" applyFill="1" applyBorder="1" applyAlignment="1">
      <alignment horizontal="right"/>
    </xf>
    <xf numFmtId="168" fontId="2" fillId="0" borderId="0" xfId="1" applyNumberFormat="1" applyFont="1" applyFill="1" applyBorder="1" applyAlignment="1">
      <alignment horizontal="right"/>
    </xf>
    <xf numFmtId="168" fontId="2" fillId="0" borderId="4" xfId="1" applyNumberFormat="1" applyFont="1" applyFill="1" applyBorder="1" applyAlignment="1">
      <alignment horizontal="right"/>
    </xf>
    <xf numFmtId="168" fontId="2" fillId="0" borderId="5" xfId="1" applyNumberFormat="1" applyFont="1" applyFill="1" applyBorder="1" applyAlignment="1">
      <alignment horizontal="right"/>
    </xf>
    <xf numFmtId="168" fontId="12" fillId="0" borderId="0" xfId="1" applyNumberFormat="1" applyFont="1" applyFill="1" applyBorder="1" applyAlignment="1">
      <alignment horizontal="right"/>
    </xf>
    <xf numFmtId="168" fontId="10" fillId="0" borderId="4" xfId="1" applyNumberFormat="1" applyFont="1" applyFill="1" applyBorder="1" applyAlignment="1">
      <alignment horizontal="right"/>
    </xf>
    <xf numFmtId="168" fontId="10" fillId="0" borderId="3" xfId="1" applyNumberFormat="1" applyFont="1" applyFill="1" applyBorder="1" applyAlignment="1">
      <alignment horizontal="right"/>
    </xf>
    <xf numFmtId="168" fontId="11" fillId="0" borderId="4" xfId="1" applyNumberFormat="1" applyFont="1" applyFill="1" applyBorder="1" applyAlignment="1">
      <alignment horizontal="right"/>
    </xf>
    <xf numFmtId="168" fontId="11" fillId="0" borderId="3" xfId="1" applyNumberFormat="1" applyFont="1" applyFill="1" applyBorder="1" applyAlignment="1">
      <alignment horizontal="right"/>
    </xf>
    <xf numFmtId="168" fontId="3" fillId="0" borderId="3" xfId="1"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4" xfId="1" applyNumberFormat="1" applyFont="1" applyFill="1" applyBorder="1" applyAlignment="1">
      <alignment horizontal="right"/>
    </xf>
    <xf numFmtId="168" fontId="3" fillId="0" borderId="5" xfId="1" applyNumberFormat="1" applyFont="1" applyFill="1" applyBorder="1" applyAlignment="1">
      <alignment horizontal="right"/>
    </xf>
    <xf numFmtId="168" fontId="19" fillId="0" borderId="0" xfId="1" applyNumberFormat="1" applyFont="1" applyFill="1" applyBorder="1" applyAlignment="1">
      <alignment horizontal="right"/>
    </xf>
    <xf numFmtId="168" fontId="19" fillId="0" borderId="4" xfId="1" applyNumberFormat="1" applyFont="1" applyFill="1" applyBorder="1" applyAlignment="1">
      <alignment horizontal="right"/>
    </xf>
    <xf numFmtId="168" fontId="19" fillId="0" borderId="3" xfId="1" applyNumberFormat="1" applyFont="1" applyFill="1" applyBorder="1" applyAlignment="1">
      <alignment horizontal="right"/>
    </xf>
    <xf numFmtId="168" fontId="12" fillId="0" borderId="4" xfId="1" applyNumberFormat="1" applyFont="1" applyFill="1" applyBorder="1" applyAlignment="1">
      <alignment horizontal="right"/>
    </xf>
    <xf numFmtId="168" fontId="12" fillId="0" borderId="3" xfId="1" applyNumberFormat="1" applyFont="1" applyFill="1" applyBorder="1" applyAlignment="1">
      <alignment horizontal="right"/>
    </xf>
    <xf numFmtId="0" fontId="8" fillId="0" borderId="35" xfId="0" applyFont="1" applyFill="1" applyBorder="1" applyAlignment="1">
      <alignment horizontal="left"/>
    </xf>
    <xf numFmtId="171" fontId="1" fillId="0" borderId="36" xfId="1" quotePrefix="1" applyNumberFormat="1" applyFont="1" applyFill="1" applyBorder="1" applyAlignment="1">
      <alignment horizontal="right"/>
    </xf>
    <xf numFmtId="171" fontId="1" fillId="0" borderId="33" xfId="1" quotePrefix="1" applyNumberFormat="1" applyFont="1" applyFill="1" applyBorder="1" applyAlignment="1">
      <alignment horizontal="right"/>
    </xf>
    <xf numFmtId="168" fontId="1" fillId="0" borderId="36" xfId="1" quotePrefix="1" applyNumberFormat="1" applyFont="1" applyFill="1" applyBorder="1" applyAlignment="1">
      <alignment horizontal="right"/>
    </xf>
    <xf numFmtId="168" fontId="1" fillId="0" borderId="33" xfId="1" quotePrefix="1" applyNumberFormat="1" applyFont="1" applyFill="1" applyBorder="1" applyAlignment="1">
      <alignment horizontal="right"/>
    </xf>
    <xf numFmtId="168" fontId="1" fillId="0" borderId="4" xfId="1" quotePrefix="1" applyNumberFormat="1" applyFont="1" applyFill="1" applyBorder="1" applyAlignment="1">
      <alignment horizontal="right"/>
    </xf>
    <xf numFmtId="168" fontId="1" fillId="0" borderId="3" xfId="1" quotePrefix="1" applyNumberFormat="1" applyFont="1" applyFill="1" applyBorder="1" applyAlignment="1">
      <alignment horizontal="right"/>
    </xf>
    <xf numFmtId="168" fontId="11" fillId="0" borderId="5" xfId="1" applyNumberFormat="1" applyFont="1" applyFill="1" applyBorder="1" applyAlignment="1">
      <alignment horizontal="right"/>
    </xf>
    <xf numFmtId="0" fontId="0" fillId="0" borderId="3" xfId="0" applyFont="1" applyFill="1" applyBorder="1" applyAlignment="1">
      <alignment horizontal="left"/>
    </xf>
    <xf numFmtId="227" fontId="0" fillId="0" borderId="3" xfId="0" applyNumberFormat="1" applyFont="1" applyFill="1" applyBorder="1" applyAlignment="1">
      <alignment horizontal="left"/>
    </xf>
    <xf numFmtId="227" fontId="0" fillId="0" borderId="4" xfId="0" applyNumberFormat="1" applyFont="1" applyFill="1" applyBorder="1" applyAlignment="1">
      <alignment horizontal="left"/>
    </xf>
    <xf numFmtId="227" fontId="2" fillId="0" borderId="3" xfId="0" applyNumberFormat="1" applyFont="1" applyFill="1" applyBorder="1" applyAlignment="1">
      <alignment horizontal="left"/>
    </xf>
    <xf numFmtId="227" fontId="2" fillId="0" borderId="4" xfId="0" applyNumberFormat="1" applyFont="1" applyFill="1" applyBorder="1" applyAlignment="1">
      <alignment horizontal="left"/>
    </xf>
    <xf numFmtId="0" fontId="0" fillId="0" borderId="3" xfId="0" applyFont="1" applyBorder="1" applyAlignment="1">
      <alignment horizontal="left"/>
    </xf>
    <xf numFmtId="43" fontId="0" fillId="0" borderId="0" xfId="1" applyFont="1" applyFill="1" applyAlignment="1">
      <alignment horizontal="left"/>
    </xf>
    <xf numFmtId="171" fontId="0" fillId="0" borderId="0" xfId="1" applyNumberFormat="1" applyFont="1" applyFill="1"/>
    <xf numFmtId="167" fontId="13" fillId="0" borderId="0" xfId="1" applyNumberFormat="1" applyFont="1" applyFill="1" applyAlignment="1">
      <alignment horizontal="right"/>
    </xf>
    <xf numFmtId="0" fontId="2" fillId="0" borderId="34" xfId="0" applyFont="1" applyFill="1" applyBorder="1" applyAlignment="1">
      <alignment horizontal="left"/>
    </xf>
    <xf numFmtId="0" fontId="8" fillId="0" borderId="4" xfId="0" applyFont="1" applyFill="1" applyBorder="1" applyAlignment="1">
      <alignment horizontal="left"/>
    </xf>
    <xf numFmtId="0" fontId="0" fillId="0" borderId="0" xfId="0" applyFill="1" applyAlignment="1">
      <alignment horizontal="left"/>
    </xf>
    <xf numFmtId="0" fontId="0" fillId="0" borderId="0" xfId="0" applyFont="1" applyFill="1" applyAlignment="1">
      <alignment horizontal="left"/>
    </xf>
    <xf numFmtId="0" fontId="0" fillId="0" borderId="1" xfId="0" applyFont="1" applyFill="1" applyBorder="1"/>
    <xf numFmtId="6" fontId="0" fillId="0" borderId="28" xfId="0" applyNumberFormat="1" applyFont="1" applyFill="1" applyBorder="1"/>
    <xf numFmtId="0" fontId="69" fillId="0" borderId="0" xfId="0" applyFont="1" applyFill="1"/>
    <xf numFmtId="9" fontId="1" fillId="0" borderId="32" xfId="2" quotePrefix="1" applyFont="1" applyFill="1" applyBorder="1" applyAlignment="1">
      <alignment horizontal="right"/>
    </xf>
    <xf numFmtId="10" fontId="1" fillId="2" borderId="0" xfId="2" quotePrefix="1" applyNumberFormat="1" applyFont="1" applyFill="1" applyBorder="1" applyAlignment="1">
      <alignment horizontal="right"/>
    </xf>
    <xf numFmtId="169" fontId="1" fillId="0" borderId="32" xfId="2" quotePrefix="1" applyNumberFormat="1" applyFont="1" applyFill="1" applyBorder="1" applyAlignment="1">
      <alignment horizontal="right"/>
    </xf>
    <xf numFmtId="41" fontId="1" fillId="0" borderId="29" xfId="1" quotePrefix="1" applyNumberFormat="1" applyFont="1" applyFill="1" applyBorder="1" applyAlignment="1">
      <alignment horizontal="right"/>
    </xf>
    <xf numFmtId="169" fontId="1" fillId="0" borderId="32" xfId="1" quotePrefix="1" applyNumberFormat="1" applyFont="1" applyFill="1" applyBorder="1" applyAlignment="1">
      <alignment horizontal="right"/>
    </xf>
    <xf numFmtId="10" fontId="1" fillId="2" borderId="29" xfId="2" quotePrefix="1" applyNumberFormat="1" applyFont="1" applyFill="1" applyBorder="1" applyAlignment="1">
      <alignment horizontal="right"/>
    </xf>
    <xf numFmtId="169" fontId="1" fillId="11" borderId="32" xfId="2" quotePrefix="1" applyNumberFormat="1" applyFont="1" applyFill="1" applyBorder="1" applyAlignment="1">
      <alignment horizontal="right"/>
    </xf>
    <xf numFmtId="41" fontId="1" fillId="2" borderId="0" xfId="1" quotePrefix="1" applyNumberFormat="1" applyFont="1" applyFill="1" applyBorder="1" applyAlignment="1">
      <alignment horizontal="right"/>
    </xf>
    <xf numFmtId="228" fontId="2" fillId="0" borderId="0" xfId="1" quotePrefix="1" applyNumberFormat="1" applyFont="1" applyFill="1" applyBorder="1" applyAlignment="1">
      <alignment horizontal="right"/>
    </xf>
    <xf numFmtId="167" fontId="2" fillId="0" borderId="5" xfId="1" quotePrefix="1" applyNumberFormat="1" applyFont="1" applyFill="1" applyBorder="1" applyAlignment="1">
      <alignment horizontal="right"/>
    </xf>
    <xf numFmtId="228" fontId="4" fillId="2" borderId="0" xfId="2" quotePrefix="1" applyNumberFormat="1" applyFont="1" applyFill="1" applyBorder="1" applyAlignment="1">
      <alignment horizontal="right"/>
    </xf>
    <xf numFmtId="228" fontId="4" fillId="0" borderId="5" xfId="1" quotePrefix="1" applyNumberFormat="1" applyFont="1" applyFill="1" applyBorder="1" applyAlignment="1">
      <alignment horizontal="right"/>
    </xf>
    <xf numFmtId="228" fontId="4" fillId="0" borderId="5" xfId="2" quotePrefix="1" applyNumberFormat="1" applyFont="1" applyFill="1" applyBorder="1" applyAlignment="1">
      <alignment horizontal="right"/>
    </xf>
    <xf numFmtId="228" fontId="4" fillId="0" borderId="0" xfId="2" quotePrefix="1" applyNumberFormat="1" applyFont="1" applyFill="1" applyBorder="1" applyAlignment="1">
      <alignment horizontal="right"/>
    </xf>
    <xf numFmtId="41" fontId="4" fillId="0" borderId="0" xfId="1" quotePrefix="1" applyNumberFormat="1" applyFont="1" applyFill="1" applyBorder="1" applyAlignment="1">
      <alignment horizontal="right"/>
    </xf>
    <xf numFmtId="167" fontId="4" fillId="0" borderId="0" xfId="1" quotePrefix="1" applyNumberFormat="1" applyFont="1" applyFill="1" applyBorder="1" applyAlignment="1">
      <alignment horizontal="right"/>
    </xf>
    <xf numFmtId="167" fontId="4" fillId="0" borderId="5" xfId="1" quotePrefix="1" applyNumberFormat="1" applyFont="1" applyFill="1" applyBorder="1" applyAlignment="1">
      <alignment horizontal="right"/>
    </xf>
    <xf numFmtId="41" fontId="3" fillId="0" borderId="0" xfId="1" quotePrefix="1" applyNumberFormat="1" applyFont="1" applyFill="1" applyBorder="1" applyAlignment="1">
      <alignment horizontal="right"/>
    </xf>
    <xf numFmtId="168" fontId="3" fillId="0" borderId="0" xfId="1" quotePrefix="1" applyNumberFormat="1" applyFont="1" applyFill="1" applyBorder="1" applyAlignment="1">
      <alignment horizontal="right"/>
    </xf>
    <xf numFmtId="167" fontId="4" fillId="2" borderId="0" xfId="1" quotePrefix="1" applyNumberFormat="1" applyFont="1" applyFill="1" applyBorder="1" applyAlignment="1">
      <alignment horizontal="right"/>
    </xf>
    <xf numFmtId="168" fontId="10" fillId="4" borderId="0" xfId="1" applyNumberFormat="1" applyFont="1" applyFill="1" applyBorder="1" applyAlignment="1">
      <alignment horizontal="right"/>
    </xf>
    <xf numFmtId="168" fontId="0" fillId="0" borderId="4" xfId="1" applyNumberFormat="1" applyFont="1" applyFill="1" applyBorder="1" applyAlignment="1">
      <alignment horizontal="right"/>
    </xf>
    <xf numFmtId="168" fontId="0" fillId="0" borderId="5" xfId="1" applyNumberFormat="1" applyFont="1" applyFill="1" applyBorder="1" applyAlignment="1">
      <alignment horizontal="right"/>
    </xf>
    <xf numFmtId="168" fontId="10" fillId="0" borderId="0" xfId="1" applyNumberFormat="1" applyFont="1" applyBorder="1" applyAlignment="1">
      <alignment horizontal="right"/>
    </xf>
    <xf numFmtId="168" fontId="2" fillId="0" borderId="5" xfId="1" applyNumberFormat="1" applyFont="1" applyBorder="1" applyAlignment="1">
      <alignment horizontal="right"/>
    </xf>
    <xf numFmtId="168" fontId="1" fillId="0" borderId="5" xfId="1" applyNumberFormat="1" applyFont="1" applyBorder="1" applyAlignment="1">
      <alignment horizontal="right"/>
    </xf>
    <xf numFmtId="168" fontId="12" fillId="0" borderId="0" xfId="1" applyNumberFormat="1" applyFont="1" applyBorder="1" applyAlignment="1">
      <alignment horizontal="right"/>
    </xf>
    <xf numFmtId="168" fontId="10" fillId="0" borderId="0" xfId="3" applyNumberFormat="1" applyFont="1" applyFill="1">
      <alignment vertical="top"/>
    </xf>
    <xf numFmtId="168" fontId="2" fillId="0" borderId="0" xfId="1" applyNumberFormat="1" applyFont="1" applyBorder="1" applyAlignment="1">
      <alignment horizontal="right"/>
    </xf>
    <xf numFmtId="168" fontId="2" fillId="0" borderId="7" xfId="1" applyNumberFormat="1" applyFont="1" applyFill="1" applyBorder="1" applyAlignment="1">
      <alignment horizontal="right"/>
    </xf>
    <xf numFmtId="168" fontId="2" fillId="0" borderId="10" xfId="1" applyNumberFormat="1" applyFont="1" applyFill="1" applyBorder="1" applyAlignment="1">
      <alignment horizontal="right"/>
    </xf>
    <xf numFmtId="168" fontId="2" fillId="0" borderId="8" xfId="1" applyNumberFormat="1" applyFont="1" applyFill="1" applyBorder="1" applyAlignment="1">
      <alignment horizontal="right"/>
    </xf>
    <xf numFmtId="168" fontId="2" fillId="0" borderId="7" xfId="1" applyNumberFormat="1" applyFont="1" applyBorder="1" applyAlignment="1">
      <alignment horizontal="right"/>
    </xf>
    <xf numFmtId="168" fontId="2" fillId="0" borderId="8" xfId="1" applyNumberFormat="1" applyFont="1" applyBorder="1" applyAlignment="1">
      <alignment horizontal="right"/>
    </xf>
    <xf numFmtId="43" fontId="2" fillId="0" borderId="3" xfId="1" applyNumberFormat="1" applyFont="1" applyFill="1" applyBorder="1" applyAlignment="1">
      <alignment horizontal="right"/>
    </xf>
    <xf numFmtId="168" fontId="0" fillId="0" borderId="3" xfId="1" applyNumberFormat="1" applyFont="1" applyBorder="1" applyAlignment="1">
      <alignment horizontal="right"/>
    </xf>
    <xf numFmtId="168" fontId="2" fillId="0" borderId="4" xfId="1" applyNumberFormat="1" applyFont="1" applyBorder="1" applyAlignment="1">
      <alignment horizontal="right"/>
    </xf>
    <xf numFmtId="168" fontId="2" fillId="0" borderId="3" xfId="1" applyNumberFormat="1" applyFont="1" applyBorder="1" applyAlignment="1">
      <alignment horizontal="right"/>
    </xf>
    <xf numFmtId="168" fontId="1" fillId="0" borderId="0" xfId="1" applyNumberFormat="1" applyFont="1" applyBorder="1" applyAlignment="1">
      <alignment horizontal="right"/>
    </xf>
    <xf numFmtId="168" fontId="1" fillId="0" borderId="4" xfId="1" applyNumberFormat="1" applyFont="1" applyBorder="1" applyAlignment="1">
      <alignment horizontal="right"/>
    </xf>
    <xf numFmtId="168" fontId="1" fillId="0" borderId="3" xfId="1" applyNumberFormat="1" applyFont="1" applyBorder="1" applyAlignment="1">
      <alignment horizontal="right"/>
    </xf>
    <xf numFmtId="0" fontId="0" fillId="0" borderId="0" xfId="0" applyFont="1" applyFill="1" applyBorder="1" applyAlignment="1">
      <alignment horizontal="left"/>
    </xf>
    <xf numFmtId="169" fontId="1" fillId="0" borderId="3" xfId="2" quotePrefix="1" applyNumberFormat="1" applyFont="1" applyFill="1" applyBorder="1" applyAlignment="1">
      <alignment horizontal="right"/>
    </xf>
    <xf numFmtId="0" fontId="0" fillId="0" borderId="0" xfId="0" applyFont="1" applyBorder="1" applyAlignment="1">
      <alignment horizontal="left"/>
    </xf>
    <xf numFmtId="0" fontId="2" fillId="0" borderId="0" xfId="0" applyFont="1" applyBorder="1" applyAlignment="1">
      <alignment horizontal="left"/>
    </xf>
    <xf numFmtId="167" fontId="0" fillId="0" borderId="7" xfId="1" applyNumberFormat="1" applyFont="1" applyFill="1" applyBorder="1" applyAlignment="1">
      <alignment horizontal="right"/>
    </xf>
    <xf numFmtId="168" fontId="11" fillId="2" borderId="0" xfId="1" applyNumberFormat="1" applyFont="1" applyFill="1" applyBorder="1" applyAlignment="1">
      <alignment horizontal="right"/>
    </xf>
    <xf numFmtId="168" fontId="2" fillId="0" borderId="7" xfId="1" applyNumberFormat="1" applyFont="1" applyFill="1" applyBorder="1" applyAlignment="1">
      <alignment horizontal="left"/>
    </xf>
    <xf numFmtId="227" fontId="0" fillId="0" borderId="6" xfId="0" applyNumberFormat="1" applyBorder="1"/>
    <xf numFmtId="227" fontId="0" fillId="0" borderId="7" xfId="0" applyNumberFormat="1" applyFont="1" applyBorder="1"/>
    <xf numFmtId="7" fontId="1" fillId="0" borderId="0" xfId="1" quotePrefix="1" applyNumberFormat="1" applyFont="1" applyFill="1" applyBorder="1" applyAlignment="1">
      <alignment horizontal="right"/>
    </xf>
    <xf numFmtId="7" fontId="1" fillId="2" borderId="0" xfId="1" quotePrefix="1" applyNumberFormat="1" applyFont="1" applyFill="1" applyBorder="1" applyAlignment="1">
      <alignment horizontal="right"/>
    </xf>
    <xf numFmtId="167" fontId="1" fillId="0" borderId="8" xfId="1" quotePrefix="1" applyNumberFormat="1" applyFont="1" applyFill="1" applyBorder="1" applyAlignment="1">
      <alignment horizontal="right"/>
    </xf>
    <xf numFmtId="7" fontId="1" fillId="0" borderId="5" xfId="1" quotePrefix="1" applyNumberFormat="1" applyFont="1" applyFill="1" applyBorder="1" applyAlignment="1">
      <alignment horizontal="right"/>
    </xf>
    <xf numFmtId="39" fontId="0" fillId="0" borderId="6" xfId="1" applyNumberFormat="1" applyFont="1" applyBorder="1" applyAlignment="1">
      <alignment horizontal="right"/>
    </xf>
    <xf numFmtId="39" fontId="0" fillId="0" borderId="7" xfId="1" applyNumberFormat="1" applyFont="1" applyBorder="1" applyAlignment="1">
      <alignment horizontal="right"/>
    </xf>
    <xf numFmtId="39" fontId="0" fillId="0" borderId="8" xfId="1" applyNumberFormat="1" applyFont="1" applyBorder="1" applyAlignment="1">
      <alignment horizontal="right"/>
    </xf>
    <xf numFmtId="39" fontId="0" fillId="0" borderId="7" xfId="0" applyNumberFormat="1" applyBorder="1" applyAlignment="1">
      <alignment horizontal="right"/>
    </xf>
    <xf numFmtId="39" fontId="0" fillId="0" borderId="8" xfId="0" applyNumberFormat="1" applyBorder="1" applyAlignment="1">
      <alignment horizontal="right"/>
    </xf>
    <xf numFmtId="39" fontId="0" fillId="2" borderId="7" xfId="1" applyNumberFormat="1" applyFont="1" applyFill="1" applyBorder="1" applyAlignment="1">
      <alignment horizontal="right"/>
    </xf>
    <xf numFmtId="39" fontId="0" fillId="2" borderId="7" xfId="0" applyNumberFormat="1" applyFill="1" applyBorder="1" applyAlignment="1">
      <alignment horizontal="right"/>
    </xf>
    <xf numFmtId="168" fontId="1" fillId="2" borderId="4" xfId="1" quotePrefix="1" applyNumberFormat="1" applyFont="1" applyFill="1" applyBorder="1" applyAlignment="1">
      <alignment horizontal="right"/>
    </xf>
    <xf numFmtId="168" fontId="1" fillId="2" borderId="3" xfId="1" quotePrefix="1" applyNumberFormat="1" applyFont="1" applyFill="1" applyBorder="1" applyAlignment="1">
      <alignment horizontal="right"/>
    </xf>
    <xf numFmtId="227" fontId="2" fillId="0" borderId="34" xfId="0" applyNumberFormat="1" applyFont="1" applyFill="1" applyBorder="1" applyAlignment="1">
      <alignment horizontal="left"/>
    </xf>
    <xf numFmtId="227" fontId="0" fillId="0" borderId="36" xfId="0" applyNumberFormat="1" applyFont="1" applyFill="1" applyBorder="1" applyAlignment="1">
      <alignment horizontal="left"/>
    </xf>
    <xf numFmtId="227" fontId="1" fillId="0" borderId="34" xfId="2" quotePrefix="1" applyNumberFormat="1" applyFont="1" applyFill="1" applyBorder="1" applyAlignment="1">
      <alignment horizontal="right"/>
    </xf>
    <xf numFmtId="227" fontId="1" fillId="0" borderId="36" xfId="2" quotePrefix="1" applyNumberFormat="1" applyFont="1" applyFill="1" applyBorder="1" applyAlignment="1">
      <alignment horizontal="right"/>
    </xf>
    <xf numFmtId="227" fontId="1" fillId="0" borderId="33" xfId="2" quotePrefix="1" applyNumberFormat="1" applyFont="1" applyFill="1" applyBorder="1" applyAlignment="1">
      <alignment horizontal="right"/>
    </xf>
    <xf numFmtId="43" fontId="12" fillId="4" borderId="0" xfId="1" applyNumberFormat="1" applyFont="1" applyFill="1" applyBorder="1" applyAlignment="1">
      <alignment horizontal="right"/>
    </xf>
    <xf numFmtId="226" fontId="0" fillId="2" borderId="4" xfId="1" applyNumberFormat="1" applyFont="1" applyFill="1" applyBorder="1" applyAlignment="1">
      <alignment horizontal="right"/>
    </xf>
    <xf numFmtId="229" fontId="2" fillId="0" borderId="4" xfId="1" applyNumberFormat="1" applyFont="1" applyFill="1" applyBorder="1" applyAlignment="1">
      <alignment horizontal="right"/>
    </xf>
    <xf numFmtId="9" fontId="0" fillId="2" borderId="11" xfId="1" applyNumberFormat="1" applyFont="1" applyFill="1" applyBorder="1" applyAlignment="1">
      <alignment horizontal="right"/>
    </xf>
    <xf numFmtId="9" fontId="0" fillId="2" borderId="4" xfId="2" applyFont="1" applyFill="1" applyBorder="1" applyAlignment="1">
      <alignment horizontal="right"/>
    </xf>
    <xf numFmtId="0" fontId="0" fillId="0" borderId="3" xfId="0" applyFill="1" applyBorder="1" applyAlignment="1">
      <alignment horizontal="left"/>
    </xf>
    <xf numFmtId="0" fontId="0" fillId="0" borderId="4" xfId="0"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3" xfId="0" applyFont="1" applyBorder="1" applyAlignment="1">
      <alignment horizontal="left"/>
    </xf>
    <xf numFmtId="0" fontId="2" fillId="0" borderId="0" xfId="0" applyFont="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227" fontId="0" fillId="0" borderId="34" xfId="0" applyNumberFormat="1" applyFont="1" applyFill="1" applyBorder="1" applyAlignment="1">
      <alignment horizontal="left"/>
    </xf>
    <xf numFmtId="227" fontId="0" fillId="0" borderId="35" xfId="0" applyNumberFormat="1" applyFont="1" applyFill="1" applyBorder="1" applyAlignment="1">
      <alignment horizontal="left"/>
    </xf>
    <xf numFmtId="227" fontId="70" fillId="0" borderId="30" xfId="0" applyNumberFormat="1" applyFont="1" applyFill="1" applyBorder="1" applyAlignment="1">
      <alignment horizontal="left"/>
    </xf>
    <xf numFmtId="227" fontId="70" fillId="0" borderId="31" xfId="0" applyNumberFormat="1"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2" fillId="0" borderId="0" xfId="0" applyFont="1" applyFill="1" applyBorder="1" applyAlignment="1">
      <alignment horizontal="left"/>
    </xf>
    <xf numFmtId="227" fontId="8" fillId="0" borderId="3" xfId="0" applyNumberFormat="1" applyFont="1" applyFill="1" applyBorder="1" applyAlignment="1">
      <alignment horizontal="left"/>
    </xf>
    <xf numFmtId="227" fontId="8" fillId="0" borderId="4" xfId="0" applyNumberFormat="1" applyFont="1" applyFill="1" applyBorder="1" applyAlignment="1">
      <alignment horizontal="left"/>
    </xf>
    <xf numFmtId="227" fontId="0" fillId="0" borderId="3" xfId="0" applyNumberFormat="1" applyFont="1" applyFill="1" applyBorder="1" applyAlignment="1">
      <alignment horizontal="left"/>
    </xf>
    <xf numFmtId="227" fontId="0" fillId="0" borderId="4" xfId="0" applyNumberFormat="1" applyFont="1" applyFill="1" applyBorder="1" applyAlignment="1">
      <alignment horizontal="left"/>
    </xf>
    <xf numFmtId="227" fontId="2" fillId="0" borderId="3" xfId="0" applyNumberFormat="1" applyFont="1" applyFill="1" applyBorder="1" applyAlignment="1">
      <alignment horizontal="left"/>
    </xf>
    <xf numFmtId="227" fontId="2" fillId="0" borderId="4" xfId="0" applyNumberFormat="1" applyFont="1" applyFill="1" applyBorder="1" applyAlignment="1">
      <alignment horizontal="left"/>
    </xf>
    <xf numFmtId="227" fontId="0" fillId="0" borderId="3" xfId="0" applyNumberFormat="1" applyFont="1" applyFill="1" applyBorder="1" applyAlignment="1">
      <alignment horizontal="left" wrapText="1"/>
    </xf>
    <xf numFmtId="227" fontId="0" fillId="0" borderId="4" xfId="0" applyNumberFormat="1" applyFont="1" applyFill="1" applyBorder="1" applyAlignment="1">
      <alignment horizontal="left" wrapText="1"/>
    </xf>
    <xf numFmtId="227" fontId="0" fillId="0" borderId="30" xfId="0" applyNumberFormat="1" applyFont="1" applyFill="1" applyBorder="1" applyAlignment="1">
      <alignment horizontal="left"/>
    </xf>
    <xf numFmtId="227" fontId="0" fillId="0" borderId="31" xfId="0" applyNumberFormat="1" applyFont="1" applyFill="1" applyBorder="1" applyAlignment="1">
      <alignment horizontal="left"/>
    </xf>
    <xf numFmtId="0" fontId="2" fillId="0" borderId="34" xfId="0" applyFont="1" applyFill="1" applyBorder="1" applyAlignment="1">
      <alignment horizontal="left"/>
    </xf>
    <xf numFmtId="0" fontId="2" fillId="0" borderId="35"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2" fillId="0" borderId="6" xfId="0" applyFont="1" applyFill="1" applyBorder="1" applyAlignment="1">
      <alignment horizontal="left"/>
    </xf>
    <xf numFmtId="0" fontId="2" fillId="0" borderId="10" xfId="0" applyFont="1" applyFill="1" applyBorder="1" applyAlignment="1">
      <alignment horizontal="left"/>
    </xf>
  </cellXfs>
  <cellStyles count="329">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2041730320"/>
        <c:axId val="-2047063680"/>
      </c:lineChart>
      <c:catAx>
        <c:axId val="-204173032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47063680"/>
        <c:crosses val="autoZero"/>
        <c:auto val="1"/>
        <c:lblAlgn val="ctr"/>
        <c:lblOffset val="100"/>
        <c:tickLblSkip val="7"/>
        <c:noMultiLvlLbl val="1"/>
      </c:catAx>
      <c:valAx>
        <c:axId val="-2047063680"/>
        <c:scaling>
          <c:orientation val="minMax"/>
        </c:scaling>
        <c:delete val="0"/>
        <c:axPos val="l"/>
        <c:majorGridlines/>
        <c:numFmt formatCode="0.0\x" sourceLinked="0"/>
        <c:majorTickMark val="out"/>
        <c:minorTickMark val="none"/>
        <c:tickLblPos val="nextTo"/>
        <c:crossAx val="-20417303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2045764384"/>
        <c:axId val="-2045221616"/>
      </c:lineChart>
      <c:catAx>
        <c:axId val="-204576438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45221616"/>
        <c:crosses val="autoZero"/>
        <c:auto val="1"/>
        <c:lblAlgn val="ctr"/>
        <c:lblOffset val="100"/>
        <c:tickLblSkip val="7"/>
        <c:noMultiLvlLbl val="1"/>
      </c:catAx>
      <c:valAx>
        <c:axId val="-2045221616"/>
        <c:scaling>
          <c:orientation val="minMax"/>
        </c:scaling>
        <c:delete val="0"/>
        <c:axPos val="l"/>
        <c:majorGridlines/>
        <c:numFmt formatCode="0.0\x" sourceLinked="0"/>
        <c:majorTickMark val="out"/>
        <c:minorTickMark val="none"/>
        <c:tickLblPos val="nextTo"/>
        <c:crossAx val="-20457643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2046934384"/>
        <c:axId val="-2047430752"/>
      </c:lineChart>
      <c:catAx>
        <c:axId val="-204693438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47430752"/>
        <c:crosses val="autoZero"/>
        <c:auto val="1"/>
        <c:lblAlgn val="ctr"/>
        <c:lblOffset val="100"/>
        <c:tickLblSkip val="7"/>
        <c:noMultiLvlLbl val="1"/>
      </c:catAx>
      <c:valAx>
        <c:axId val="-2047430752"/>
        <c:scaling>
          <c:orientation val="minMax"/>
        </c:scaling>
        <c:delete val="0"/>
        <c:axPos val="l"/>
        <c:majorGridlines/>
        <c:numFmt formatCode="0.0\x" sourceLinked="0"/>
        <c:majorTickMark val="out"/>
        <c:minorTickMark val="none"/>
        <c:tickLblPos val="nextTo"/>
        <c:crossAx val="-20469343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36</xdr:row>
      <xdr:rowOff>0</xdr:rowOff>
    </xdr:from>
    <xdr:to>
      <xdr:col>11</xdr:col>
      <xdr:colOff>718343</xdr:colOff>
      <xdr:row>36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76</xdr:row>
      <xdr:rowOff>0</xdr:rowOff>
    </xdr:from>
    <xdr:to>
      <xdr:col>11</xdr:col>
      <xdr:colOff>718343</xdr:colOff>
      <xdr:row>76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113</xdr:row>
      <xdr:rowOff>0</xdr:rowOff>
    </xdr:from>
    <xdr:to>
      <xdr:col>11</xdr:col>
      <xdr:colOff>718343</xdr:colOff>
      <xdr:row>113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ephbrenner\Library\Containers\com.microsoft.Excel\Data\Documents\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by Analy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96"/>
  <sheetViews>
    <sheetView showGridLines="0" tabSelected="1" zoomScale="80" zoomScaleNormal="80" zoomScalePageLayoutView="80" workbookViewId="0">
      <selection activeCell="B2" sqref="B2:C2"/>
    </sheetView>
  </sheetViews>
  <sheetFormatPr defaultColWidth="8.77734375" defaultRowHeight="14.4" outlineLevelRow="1" outlineLevelCol="1" x14ac:dyDescent="0.3"/>
  <cols>
    <col min="1" max="1" width="1.77734375" customWidth="1"/>
    <col min="2" max="2" width="31.6640625" customWidth="1"/>
    <col min="3" max="3" width="26.109375" style="11" customWidth="1"/>
    <col min="4" max="4" width="11.33203125" style="1" hidden="1" customWidth="1" outlineLevel="1"/>
    <col min="5" max="7" width="11.44140625" style="1" hidden="1" customWidth="1" outlineLevel="1"/>
    <col min="8" max="8" width="11.44140625" style="1" customWidth="1" collapsed="1"/>
    <col min="9" max="10" width="11.44140625" style="1" hidden="1" customWidth="1" outlineLevel="1"/>
    <col min="11" max="12" width="11.44140625" style="3" hidden="1" customWidth="1" outlineLevel="1"/>
    <col min="13" max="13" width="11.44140625" style="3" customWidth="1" collapsed="1"/>
    <col min="14" max="15" width="11.44140625" style="1" customWidth="1" outlineLevel="1"/>
    <col min="16" max="17" width="11.44140625" style="3" customWidth="1" outlineLevel="1"/>
    <col min="18" max="18" width="11.44140625" style="3" customWidth="1"/>
    <col min="19" max="20" width="11.44140625" style="1" customWidth="1" outlineLevel="1"/>
    <col min="21" max="22" width="11.44140625" style="3" customWidth="1" outlineLevel="1"/>
    <col min="23" max="23" width="11.44140625" style="3" customWidth="1"/>
    <col min="24" max="24" width="4.33203125" customWidth="1"/>
    <col min="25" max="25" width="16.109375" customWidth="1"/>
  </cols>
  <sheetData>
    <row r="1" spans="1:30" s="49" customFormat="1" x14ac:dyDescent="0.3">
      <c r="A1" s="84"/>
      <c r="C1" s="50"/>
      <c r="D1" s="1"/>
      <c r="E1" s="1"/>
      <c r="F1" s="1"/>
      <c r="G1" s="1"/>
      <c r="H1" s="1"/>
      <c r="I1" s="1"/>
      <c r="J1" s="1"/>
      <c r="K1" s="3"/>
      <c r="L1" s="3"/>
      <c r="M1" s="3"/>
      <c r="N1" s="1"/>
      <c r="O1" s="1"/>
      <c r="P1" s="3"/>
      <c r="Q1" s="3"/>
      <c r="R1" s="3"/>
      <c r="S1" s="1"/>
      <c r="T1" s="1"/>
      <c r="U1" s="3"/>
      <c r="V1" s="3"/>
      <c r="W1" s="3"/>
      <c r="AD1" s="84" t="s">
        <v>54</v>
      </c>
    </row>
    <row r="2" spans="1:30" ht="46.2" customHeight="1" x14ac:dyDescent="0.3">
      <c r="B2" s="306" t="s">
        <v>53</v>
      </c>
      <c r="C2" s="307"/>
    </row>
    <row r="3" spans="1:30" x14ac:dyDescent="0.3">
      <c r="B3" s="308" t="s">
        <v>39</v>
      </c>
      <c r="C3" s="309"/>
      <c r="I3" s="12"/>
    </row>
    <row r="4" spans="1:30" x14ac:dyDescent="0.3">
      <c r="B4" s="310" t="s">
        <v>84</v>
      </c>
      <c r="C4" s="311"/>
      <c r="D4" s="8"/>
      <c r="I4" s="12"/>
    </row>
    <row r="5" spans="1:30" x14ac:dyDescent="0.3">
      <c r="B5" s="312" t="s">
        <v>197</v>
      </c>
      <c r="C5" s="313"/>
      <c r="D5" s="8"/>
      <c r="G5" s="70"/>
      <c r="I5" s="12"/>
      <c r="J5" s="12"/>
      <c r="K5" s="12"/>
      <c r="L5" s="70"/>
      <c r="N5" s="198"/>
      <c r="O5" s="17"/>
      <c r="P5" s="17"/>
      <c r="Q5" s="17"/>
      <c r="R5" s="17"/>
      <c r="S5" s="17"/>
      <c r="T5" s="17"/>
      <c r="U5" s="17"/>
      <c r="V5" s="17"/>
      <c r="W5" s="17"/>
    </row>
    <row r="6" spans="1:30" x14ac:dyDescent="0.3">
      <c r="B6" s="78" t="s">
        <v>17</v>
      </c>
      <c r="C6" s="79">
        <f>C168</f>
        <v>34.999958672854213</v>
      </c>
      <c r="I6" s="12"/>
      <c r="J6" s="12"/>
      <c r="K6" s="12"/>
      <c r="L6" s="12"/>
      <c r="N6" s="12"/>
      <c r="O6" s="12"/>
      <c r="P6" s="12"/>
      <c r="Q6" s="12"/>
      <c r="R6" s="12"/>
      <c r="S6" s="12"/>
      <c r="T6" s="12"/>
      <c r="U6" s="12"/>
      <c r="V6" s="12"/>
      <c r="W6" s="12"/>
    </row>
    <row r="7" spans="1:30" s="49" customFormat="1" x14ac:dyDescent="0.3">
      <c r="B7" s="56" t="s">
        <v>46</v>
      </c>
      <c r="C7" s="73" t="str">
        <f>TEXT(C177,"$0")&amp;" to "&amp;TEXT(C176,"$0")</f>
        <v>$28 to $42</v>
      </c>
      <c r="D7" s="1"/>
      <c r="E7" s="1"/>
      <c r="F7" s="1"/>
      <c r="G7" s="1"/>
      <c r="H7" s="1"/>
      <c r="I7" s="1"/>
      <c r="J7" s="1"/>
      <c r="K7" s="1"/>
      <c r="L7" s="1"/>
      <c r="M7" s="132"/>
      <c r="N7" s="12"/>
      <c r="O7" s="12"/>
      <c r="P7" s="12"/>
      <c r="Q7" s="12"/>
      <c r="R7" s="83"/>
      <c r="S7" s="12"/>
      <c r="T7" s="12"/>
      <c r="U7" s="12"/>
      <c r="V7" s="12"/>
      <c r="W7" s="12"/>
    </row>
    <row r="8" spans="1:30" ht="4.5" customHeight="1" x14ac:dyDescent="0.3">
      <c r="C8" s="19"/>
      <c r="D8" s="8"/>
      <c r="E8" s="8"/>
      <c r="F8" s="8"/>
      <c r="G8" s="8"/>
      <c r="H8" s="8"/>
      <c r="I8" s="8"/>
      <c r="J8" s="8"/>
      <c r="K8" s="8"/>
      <c r="L8" s="15"/>
      <c r="M8" s="16"/>
      <c r="N8" s="15"/>
      <c r="O8" s="15"/>
      <c r="P8" s="15"/>
      <c r="Q8" s="17"/>
      <c r="R8" s="17"/>
      <c r="S8" s="15"/>
      <c r="T8" s="15"/>
      <c r="U8" s="15"/>
      <c r="V8" s="17"/>
      <c r="W8" s="17"/>
    </row>
    <row r="9" spans="1:30" ht="15.6" x14ac:dyDescent="0.3">
      <c r="B9" s="291" t="s">
        <v>83</v>
      </c>
      <c r="C9" s="292"/>
      <c r="D9" s="52" t="s">
        <v>174</v>
      </c>
      <c r="E9" s="52" t="s">
        <v>175</v>
      </c>
      <c r="F9" s="52" t="s">
        <v>176</v>
      </c>
      <c r="G9" s="52" t="s">
        <v>177</v>
      </c>
      <c r="H9" s="52" t="s">
        <v>177</v>
      </c>
      <c r="I9" s="52" t="s">
        <v>178</v>
      </c>
      <c r="J9" s="52" t="s">
        <v>179</v>
      </c>
      <c r="K9" s="52" t="s">
        <v>180</v>
      </c>
      <c r="L9" s="52" t="s">
        <v>181</v>
      </c>
      <c r="M9" s="52" t="s">
        <v>181</v>
      </c>
      <c r="N9" s="52" t="s">
        <v>185</v>
      </c>
      <c r="O9" s="54" t="s">
        <v>184</v>
      </c>
      <c r="P9" s="54" t="s">
        <v>183</v>
      </c>
      <c r="Q9" s="54" t="s">
        <v>182</v>
      </c>
      <c r="R9" s="54" t="s">
        <v>182</v>
      </c>
      <c r="S9" s="54" t="s">
        <v>186</v>
      </c>
      <c r="T9" s="54" t="s">
        <v>187</v>
      </c>
      <c r="U9" s="54" t="s">
        <v>188</v>
      </c>
      <c r="V9" s="54" t="s">
        <v>189</v>
      </c>
      <c r="W9" s="57" t="s">
        <v>189</v>
      </c>
    </row>
    <row r="10" spans="1:30" ht="16.2" x14ac:dyDescent="0.45">
      <c r="B10" s="293" t="s">
        <v>0</v>
      </c>
      <c r="C10" s="294"/>
      <c r="D10" s="53" t="s">
        <v>85</v>
      </c>
      <c r="E10" s="53" t="s">
        <v>86</v>
      </c>
      <c r="F10" s="53" t="s">
        <v>87</v>
      </c>
      <c r="G10" s="53" t="s">
        <v>88</v>
      </c>
      <c r="H10" s="53" t="s">
        <v>13</v>
      </c>
      <c r="I10" s="53" t="s">
        <v>89</v>
      </c>
      <c r="J10" s="53" t="s">
        <v>90</v>
      </c>
      <c r="K10" s="53" t="s">
        <v>91</v>
      </c>
      <c r="L10" s="53" t="s">
        <v>92</v>
      </c>
      <c r="M10" s="53" t="s">
        <v>45</v>
      </c>
      <c r="N10" s="53" t="s">
        <v>161</v>
      </c>
      <c r="O10" s="55" t="s">
        <v>93</v>
      </c>
      <c r="P10" s="55" t="s">
        <v>94</v>
      </c>
      <c r="Q10" s="55" t="s">
        <v>95</v>
      </c>
      <c r="R10" s="44" t="s">
        <v>14</v>
      </c>
      <c r="S10" s="44" t="s">
        <v>24</v>
      </c>
      <c r="T10" s="44" t="s">
        <v>25</v>
      </c>
      <c r="U10" s="44" t="s">
        <v>26</v>
      </c>
      <c r="V10" s="44" t="s">
        <v>27</v>
      </c>
      <c r="W10" s="58" t="s">
        <v>15</v>
      </c>
    </row>
    <row r="11" spans="1:30" s="50" customFormat="1" x14ac:dyDescent="0.3">
      <c r="B11" s="299" t="s">
        <v>96</v>
      </c>
      <c r="C11" s="300"/>
      <c r="D11" s="156">
        <v>6279</v>
      </c>
      <c r="E11" s="157">
        <v>6267</v>
      </c>
      <c r="F11" s="157">
        <v>6195</v>
      </c>
      <c r="G11" s="158">
        <v>9364</v>
      </c>
      <c r="H11" s="159">
        <f>SUM(D11:G11)</f>
        <v>28105</v>
      </c>
      <c r="I11" s="156">
        <v>6232</v>
      </c>
      <c r="J11" s="160">
        <v>6104</v>
      </c>
      <c r="K11" s="160">
        <v>5874</v>
      </c>
      <c r="L11" s="160">
        <v>8869</v>
      </c>
      <c r="M11" s="159">
        <v>27079</v>
      </c>
      <c r="N11" s="160">
        <v>5771</v>
      </c>
      <c r="O11" s="228">
        <f>O47+O55</f>
        <v>5730.0000000000009</v>
      </c>
      <c r="P11" s="228">
        <f t="shared" ref="P11:Q11" si="0">P47+P55</f>
        <v>5609.9999999999991</v>
      </c>
      <c r="Q11" s="228">
        <f t="shared" si="0"/>
        <v>8700</v>
      </c>
      <c r="R11" s="159">
        <f>SUM(N11:Q11)</f>
        <v>25811</v>
      </c>
      <c r="S11" s="228">
        <f t="shared" ref="S11:V11" si="1">S47+S55</f>
        <v>5799.9999999999982</v>
      </c>
      <c r="T11" s="160">
        <f t="shared" si="1"/>
        <v>5772.5999999999995</v>
      </c>
      <c r="U11" s="160">
        <f t="shared" si="1"/>
        <v>5637.5249999999987</v>
      </c>
      <c r="V11" s="160">
        <f t="shared" si="1"/>
        <v>8691.6511019999998</v>
      </c>
      <c r="W11" s="159">
        <f>SUM(S11:V11)</f>
        <v>25901.776101999996</v>
      </c>
    </row>
    <row r="12" spans="1:30" s="43" customFormat="1" ht="17.25" customHeight="1" x14ac:dyDescent="0.45">
      <c r="B12" s="299" t="s">
        <v>97</v>
      </c>
      <c r="C12" s="300"/>
      <c r="D12" s="161">
        <v>3836</v>
      </c>
      <c r="E12" s="162">
        <v>3672</v>
      </c>
      <c r="F12" s="162">
        <v>3766</v>
      </c>
      <c r="G12" s="163">
        <v>5589</v>
      </c>
      <c r="H12" s="164">
        <f>SUM(D12:G12)</f>
        <v>16863</v>
      </c>
      <c r="I12" s="161">
        <v>3800</v>
      </c>
      <c r="J12" s="165">
        <v>3610</v>
      </c>
      <c r="K12" s="165">
        <v>3537</v>
      </c>
      <c r="L12" s="165">
        <v>5549</v>
      </c>
      <c r="M12" s="164">
        <v>16496</v>
      </c>
      <c r="N12" s="165">
        <v>3516</v>
      </c>
      <c r="O12" s="165">
        <f>O11*(1-O58)</f>
        <v>3466.6500000000005</v>
      </c>
      <c r="P12" s="165">
        <f>P11*(1-P58)</f>
        <v>3436.1249999999995</v>
      </c>
      <c r="Q12" s="165">
        <f>Q11*(1-Q58)</f>
        <v>5446.2</v>
      </c>
      <c r="R12" s="164">
        <f>SUM(N12:Q12)</f>
        <v>15864.974999999999</v>
      </c>
      <c r="S12" s="165">
        <f>S11*(1-S58)</f>
        <v>3572.7999999999988</v>
      </c>
      <c r="T12" s="165">
        <f>T11*(1-T58)</f>
        <v>3521.2859999999996</v>
      </c>
      <c r="U12" s="165">
        <f>U11*(1-U58)</f>
        <v>3438.890249999999</v>
      </c>
      <c r="V12" s="165">
        <f>V11*(1-V58)</f>
        <v>5388.8236832399998</v>
      </c>
      <c r="W12" s="164">
        <f>SUM(S12:V12)</f>
        <v>15921.799933239998</v>
      </c>
    </row>
    <row r="13" spans="1:30" x14ac:dyDescent="0.3">
      <c r="B13" s="297" t="s">
        <v>98</v>
      </c>
      <c r="C13" s="298"/>
      <c r="D13" s="166">
        <f t="shared" ref="D13:R13" si="2">D11-D12</f>
        <v>2443</v>
      </c>
      <c r="E13" s="167">
        <f t="shared" si="2"/>
        <v>2595</v>
      </c>
      <c r="F13" s="167">
        <f t="shared" si="2"/>
        <v>2429</v>
      </c>
      <c r="G13" s="168">
        <f t="shared" si="2"/>
        <v>3775</v>
      </c>
      <c r="H13" s="169">
        <f t="shared" si="2"/>
        <v>11242</v>
      </c>
      <c r="I13" s="166">
        <f>I11-I12</f>
        <v>2432</v>
      </c>
      <c r="J13" s="170">
        <f>J11-J12</f>
        <v>2494</v>
      </c>
      <c r="K13" s="170">
        <f>K11-K12</f>
        <v>2337</v>
      </c>
      <c r="L13" s="170">
        <f t="shared" si="2"/>
        <v>3320</v>
      </c>
      <c r="M13" s="169">
        <f t="shared" si="2"/>
        <v>10583</v>
      </c>
      <c r="N13" s="170">
        <f t="shared" si="2"/>
        <v>2255</v>
      </c>
      <c r="O13" s="170">
        <f t="shared" si="2"/>
        <v>2263.3500000000004</v>
      </c>
      <c r="P13" s="170">
        <f t="shared" si="2"/>
        <v>2173.8749999999995</v>
      </c>
      <c r="Q13" s="170">
        <f t="shared" si="2"/>
        <v>3253.8</v>
      </c>
      <c r="R13" s="169">
        <f t="shared" si="2"/>
        <v>9946.0250000000015</v>
      </c>
      <c r="S13" s="170">
        <f>S11-S12</f>
        <v>2227.1999999999994</v>
      </c>
      <c r="T13" s="170">
        <f>T11-T12</f>
        <v>2251.3139999999999</v>
      </c>
      <c r="U13" s="170">
        <f>U11-U12</f>
        <v>2198.6347499999997</v>
      </c>
      <c r="V13" s="170">
        <f>V11-V12</f>
        <v>3302.82741876</v>
      </c>
      <c r="W13" s="169">
        <f>W11-W12</f>
        <v>9979.9761687599985</v>
      </c>
    </row>
    <row r="14" spans="1:30" s="49" customFormat="1" x14ac:dyDescent="0.3">
      <c r="B14" s="59" t="s">
        <v>99</v>
      </c>
      <c r="C14" s="251"/>
      <c r="D14" s="156">
        <v>2000</v>
      </c>
      <c r="E14" s="157">
        <v>2024</v>
      </c>
      <c r="F14" s="157">
        <v>2007</v>
      </c>
      <c r="G14" s="158">
        <v>2324</v>
      </c>
      <c r="H14" s="159">
        <f>SUM(D14:G14)</f>
        <v>8355</v>
      </c>
      <c r="I14" s="156">
        <v>2032</v>
      </c>
      <c r="J14" s="160">
        <v>2058</v>
      </c>
      <c r="K14" s="160">
        <v>1968</v>
      </c>
      <c r="L14" s="171">
        <v>2207</v>
      </c>
      <c r="M14" s="159">
        <v>8256</v>
      </c>
      <c r="N14" s="172">
        <v>1966</v>
      </c>
      <c r="O14" s="160">
        <f>O11*O59</f>
        <v>1948.2000000000005</v>
      </c>
      <c r="P14" s="160">
        <f>P11*P59</f>
        <v>1907.3999999999999</v>
      </c>
      <c r="Q14" s="171">
        <f>Q11*Q59</f>
        <v>2175</v>
      </c>
      <c r="R14" s="159">
        <f>SUM(N14:Q14)</f>
        <v>7996.6</v>
      </c>
      <c r="S14" s="172">
        <f>S11*S59</f>
        <v>1942.9999999999995</v>
      </c>
      <c r="T14" s="160">
        <f>T11*T59</f>
        <v>1962.684</v>
      </c>
      <c r="U14" s="160">
        <f>U11*U59</f>
        <v>1916.7584999999997</v>
      </c>
      <c r="V14" s="171">
        <f>V11*V59</f>
        <v>2129.4545199899999</v>
      </c>
      <c r="W14" s="159">
        <f>SUM(S14:V14)</f>
        <v>7951.8970199899995</v>
      </c>
    </row>
    <row r="15" spans="1:30" s="49" customFormat="1" ht="16.2" x14ac:dyDescent="0.45">
      <c r="B15" s="62" t="s">
        <v>192</v>
      </c>
      <c r="C15" s="251"/>
      <c r="D15" s="161">
        <v>0</v>
      </c>
      <c r="E15" s="162">
        <v>0</v>
      </c>
      <c r="F15" s="162">
        <v>0</v>
      </c>
      <c r="G15" s="163">
        <v>87</v>
      </c>
      <c r="H15" s="164">
        <f>SUM(D15:G15)</f>
        <v>87</v>
      </c>
      <c r="I15" s="161">
        <v>-9</v>
      </c>
      <c r="J15" s="165">
        <v>0</v>
      </c>
      <c r="K15" s="165">
        <v>111</v>
      </c>
      <c r="L15" s="173">
        <v>177</v>
      </c>
      <c r="M15" s="164">
        <v>288</v>
      </c>
      <c r="N15" s="174">
        <v>13</v>
      </c>
      <c r="O15" s="165">
        <f>O11*O60</f>
        <v>5.7300000000000013</v>
      </c>
      <c r="P15" s="165">
        <f>P11*P60</f>
        <v>5.6099999999999994</v>
      </c>
      <c r="Q15" s="173">
        <f>Q11*Q60</f>
        <v>8.7000000000000011</v>
      </c>
      <c r="R15" s="164">
        <f>SUM(N15:Q15)</f>
        <v>33.04</v>
      </c>
      <c r="S15" s="174">
        <f>S11*S60</f>
        <v>5.799999999999998</v>
      </c>
      <c r="T15" s="165">
        <f>T11*T60</f>
        <v>5.7725999999999997</v>
      </c>
      <c r="U15" s="165">
        <f>U11*U60</f>
        <v>5.6375249999999992</v>
      </c>
      <c r="V15" s="173">
        <f>V11*V60</f>
        <v>8.6916511019999998</v>
      </c>
      <c r="W15" s="164">
        <f>SUM(S15:V15)</f>
        <v>25.901776101999999</v>
      </c>
    </row>
    <row r="16" spans="1:30" s="18" customFormat="1" ht="16.2" x14ac:dyDescent="0.45">
      <c r="B16" s="26" t="s">
        <v>35</v>
      </c>
      <c r="C16" s="252"/>
      <c r="D16" s="175">
        <f t="shared" ref="D16:W16" si="3">SUM(D14:D15)</f>
        <v>2000</v>
      </c>
      <c r="E16" s="176">
        <f t="shared" si="3"/>
        <v>2024</v>
      </c>
      <c r="F16" s="176">
        <f t="shared" si="3"/>
        <v>2007</v>
      </c>
      <c r="G16" s="177">
        <f t="shared" si="3"/>
        <v>2411</v>
      </c>
      <c r="H16" s="178">
        <f t="shared" si="3"/>
        <v>8442</v>
      </c>
      <c r="I16" s="175">
        <f t="shared" si="3"/>
        <v>2023</v>
      </c>
      <c r="J16" s="179">
        <f t="shared" si="3"/>
        <v>2058</v>
      </c>
      <c r="K16" s="179">
        <f t="shared" si="3"/>
        <v>2079</v>
      </c>
      <c r="L16" s="180">
        <f t="shared" si="3"/>
        <v>2384</v>
      </c>
      <c r="M16" s="178">
        <f t="shared" si="3"/>
        <v>8544</v>
      </c>
      <c r="N16" s="181">
        <f t="shared" si="3"/>
        <v>1979</v>
      </c>
      <c r="O16" s="179">
        <f t="shared" si="3"/>
        <v>1953.9300000000005</v>
      </c>
      <c r="P16" s="179">
        <f t="shared" si="3"/>
        <v>1913.0099999999998</v>
      </c>
      <c r="Q16" s="180">
        <f t="shared" si="3"/>
        <v>2183.6999999999998</v>
      </c>
      <c r="R16" s="178">
        <f t="shared" si="3"/>
        <v>8029.64</v>
      </c>
      <c r="S16" s="181">
        <f t="shared" si="3"/>
        <v>1948.7999999999995</v>
      </c>
      <c r="T16" s="179">
        <f t="shared" si="3"/>
        <v>1968.4566</v>
      </c>
      <c r="U16" s="179">
        <f t="shared" si="3"/>
        <v>1922.3960249999998</v>
      </c>
      <c r="V16" s="180">
        <f t="shared" si="3"/>
        <v>2138.1461710919998</v>
      </c>
      <c r="W16" s="178">
        <f t="shared" si="3"/>
        <v>7977.798796092</v>
      </c>
    </row>
    <row r="17" spans="2:23" x14ac:dyDescent="0.3">
      <c r="B17" s="297" t="s">
        <v>31</v>
      </c>
      <c r="C17" s="298"/>
      <c r="D17" s="166">
        <f t="shared" ref="D17:W17" si="4">D13-D16</f>
        <v>443</v>
      </c>
      <c r="E17" s="167">
        <f t="shared" si="4"/>
        <v>571</v>
      </c>
      <c r="F17" s="167">
        <f t="shared" si="4"/>
        <v>422</v>
      </c>
      <c r="G17" s="168">
        <f t="shared" si="4"/>
        <v>1364</v>
      </c>
      <c r="H17" s="169">
        <f t="shared" si="4"/>
        <v>2800</v>
      </c>
      <c r="I17" s="166">
        <f t="shared" si="4"/>
        <v>409</v>
      </c>
      <c r="J17" s="170">
        <f t="shared" si="4"/>
        <v>436</v>
      </c>
      <c r="K17" s="170">
        <f t="shared" si="4"/>
        <v>258</v>
      </c>
      <c r="L17" s="182">
        <f t="shared" si="4"/>
        <v>936</v>
      </c>
      <c r="M17" s="169">
        <f t="shared" si="4"/>
        <v>2039</v>
      </c>
      <c r="N17" s="183">
        <f t="shared" si="4"/>
        <v>276</v>
      </c>
      <c r="O17" s="170">
        <f t="shared" si="4"/>
        <v>309.41999999999985</v>
      </c>
      <c r="P17" s="170">
        <f t="shared" si="4"/>
        <v>260.86499999999978</v>
      </c>
      <c r="Q17" s="182">
        <f t="shared" si="4"/>
        <v>1070.1000000000004</v>
      </c>
      <c r="R17" s="169">
        <f t="shared" si="4"/>
        <v>1916.3850000000011</v>
      </c>
      <c r="S17" s="183">
        <f t="shared" si="4"/>
        <v>278.39999999999986</v>
      </c>
      <c r="T17" s="170">
        <f t="shared" si="4"/>
        <v>282.85739999999987</v>
      </c>
      <c r="U17" s="170">
        <f t="shared" si="4"/>
        <v>276.23872499999993</v>
      </c>
      <c r="V17" s="182">
        <f t="shared" si="4"/>
        <v>1164.6812476680002</v>
      </c>
      <c r="W17" s="169">
        <f t="shared" si="4"/>
        <v>2002.1773726679985</v>
      </c>
    </row>
    <row r="18" spans="2:23" s="50" customFormat="1" ht="16.2" x14ac:dyDescent="0.45">
      <c r="B18" s="60" t="s">
        <v>41</v>
      </c>
      <c r="C18" s="251"/>
      <c r="D18" s="161">
        <f>-D66</f>
        <v>0</v>
      </c>
      <c r="E18" s="162">
        <f t="shared" ref="E18:G18" si="5">-E66</f>
        <v>0</v>
      </c>
      <c r="F18" s="162">
        <f t="shared" si="5"/>
        <v>0</v>
      </c>
      <c r="G18" s="163">
        <f t="shared" si="5"/>
        <v>-87</v>
      </c>
      <c r="H18" s="164">
        <f>SUM(D18:G18)</f>
        <v>-87</v>
      </c>
      <c r="I18" s="161">
        <f t="shared" ref="I18:L18" si="6">-I66</f>
        <v>0</v>
      </c>
      <c r="J18" s="165">
        <f t="shared" si="6"/>
        <v>0</v>
      </c>
      <c r="K18" s="165">
        <f t="shared" si="6"/>
        <v>-111</v>
      </c>
      <c r="L18" s="165">
        <f t="shared" si="6"/>
        <v>-177</v>
      </c>
      <c r="M18" s="164">
        <f>SUM(I18:L18)</f>
        <v>-288</v>
      </c>
      <c r="N18" s="165">
        <f t="shared" ref="N18:Q18" si="7">-N66</f>
        <v>-13</v>
      </c>
      <c r="O18" s="165">
        <f t="shared" si="7"/>
        <v>-13</v>
      </c>
      <c r="P18" s="165">
        <f t="shared" si="7"/>
        <v>-13</v>
      </c>
      <c r="Q18" s="165">
        <f t="shared" si="7"/>
        <v>-13</v>
      </c>
      <c r="R18" s="164">
        <f>SUM(N18:Q18)</f>
        <v>-52</v>
      </c>
      <c r="S18" s="165">
        <f t="shared" ref="S18:V18" si="8">-S66</f>
        <v>-13</v>
      </c>
      <c r="T18" s="165">
        <f t="shared" si="8"/>
        <v>-13</v>
      </c>
      <c r="U18" s="165">
        <f t="shared" si="8"/>
        <v>-13</v>
      </c>
      <c r="V18" s="165">
        <f t="shared" si="8"/>
        <v>-13</v>
      </c>
      <c r="W18" s="164">
        <f>SUM(S18:V18)</f>
        <v>-52</v>
      </c>
    </row>
    <row r="19" spans="2:23" s="45" customFormat="1" x14ac:dyDescent="0.3">
      <c r="B19" s="297" t="s">
        <v>32</v>
      </c>
      <c r="C19" s="298"/>
      <c r="D19" s="166">
        <f t="shared" ref="D19:M19" si="9">D17-D18</f>
        <v>443</v>
      </c>
      <c r="E19" s="167">
        <f t="shared" si="9"/>
        <v>571</v>
      </c>
      <c r="F19" s="167">
        <f t="shared" si="9"/>
        <v>422</v>
      </c>
      <c r="G19" s="168">
        <f t="shared" si="9"/>
        <v>1451</v>
      </c>
      <c r="H19" s="169">
        <f t="shared" si="9"/>
        <v>2887</v>
      </c>
      <c r="I19" s="166">
        <f t="shared" si="9"/>
        <v>409</v>
      </c>
      <c r="J19" s="170">
        <f t="shared" si="9"/>
        <v>436</v>
      </c>
      <c r="K19" s="170">
        <f t="shared" si="9"/>
        <v>369</v>
      </c>
      <c r="L19" s="170">
        <f t="shared" si="9"/>
        <v>1113</v>
      </c>
      <c r="M19" s="169">
        <f t="shared" si="9"/>
        <v>2327</v>
      </c>
      <c r="N19" s="170">
        <f>N17-N18</f>
        <v>289</v>
      </c>
      <c r="O19" s="170">
        <f t="shared" ref="O19:W19" si="10">O17-O18</f>
        <v>322.41999999999985</v>
      </c>
      <c r="P19" s="170">
        <f t="shared" si="10"/>
        <v>273.86499999999978</v>
      </c>
      <c r="Q19" s="170">
        <f t="shared" si="10"/>
        <v>1083.1000000000004</v>
      </c>
      <c r="R19" s="169">
        <f t="shared" si="10"/>
        <v>1968.3850000000011</v>
      </c>
      <c r="S19" s="170">
        <f t="shared" si="10"/>
        <v>291.39999999999986</v>
      </c>
      <c r="T19" s="170">
        <f t="shared" si="10"/>
        <v>295.85739999999987</v>
      </c>
      <c r="U19" s="170">
        <f t="shared" si="10"/>
        <v>289.23872499999993</v>
      </c>
      <c r="V19" s="170">
        <f t="shared" si="10"/>
        <v>1177.6812476680002</v>
      </c>
      <c r="W19" s="169">
        <f t="shared" si="10"/>
        <v>2054.1773726679985</v>
      </c>
    </row>
    <row r="20" spans="2:23" s="49" customFormat="1" x14ac:dyDescent="0.3">
      <c r="B20" s="59" t="s">
        <v>138</v>
      </c>
      <c r="C20" s="251"/>
      <c r="D20" s="156">
        <v>-100</v>
      </c>
      <c r="E20" s="157">
        <v>-100</v>
      </c>
      <c r="F20" s="157">
        <v>-97</v>
      </c>
      <c r="G20" s="158">
        <v>-97</v>
      </c>
      <c r="H20" s="159">
        <f>SUM(D20:G20)</f>
        <v>-394</v>
      </c>
      <c r="I20" s="156">
        <v>-95</v>
      </c>
      <c r="J20" s="160">
        <f>-94+1</f>
        <v>-93</v>
      </c>
      <c r="K20" s="160">
        <v>-80</v>
      </c>
      <c r="L20" s="160">
        <v>-93</v>
      </c>
      <c r="M20" s="159">
        <v>-361</v>
      </c>
      <c r="N20" s="160">
        <v>-98</v>
      </c>
      <c r="O20" s="160">
        <f>O61</f>
        <v>-95.5</v>
      </c>
      <c r="P20" s="160">
        <f>P61</f>
        <v>-95.5</v>
      </c>
      <c r="Q20" s="160">
        <f>Q61</f>
        <v>-95.5</v>
      </c>
      <c r="R20" s="159">
        <f>SUM(N20:Q20)</f>
        <v>-384.5</v>
      </c>
      <c r="S20" s="160">
        <f>S61</f>
        <v>-95.5</v>
      </c>
      <c r="T20" s="160">
        <f>T61</f>
        <v>-95.5</v>
      </c>
      <c r="U20" s="160">
        <f>U61</f>
        <v>-95.5</v>
      </c>
      <c r="V20" s="160">
        <f>V61</f>
        <v>-95.5</v>
      </c>
      <c r="W20" s="159">
        <f>SUM(S20:V20)</f>
        <v>-382</v>
      </c>
    </row>
    <row r="21" spans="2:23" ht="16.2" x14ac:dyDescent="0.45">
      <c r="B21" s="299" t="s">
        <v>101</v>
      </c>
      <c r="C21" s="300"/>
      <c r="D21" s="161">
        <v>0</v>
      </c>
      <c r="E21" s="162">
        <v>0</v>
      </c>
      <c r="F21" s="162">
        <v>1</v>
      </c>
      <c r="G21" s="163">
        <v>-17</v>
      </c>
      <c r="H21" s="164">
        <f>SUM(D21:G21)</f>
        <v>-16</v>
      </c>
      <c r="I21" s="161">
        <v>0</v>
      </c>
      <c r="J21" s="165">
        <v>0</v>
      </c>
      <c r="K21" s="165">
        <v>0</v>
      </c>
      <c r="L21" s="165">
        <v>0</v>
      </c>
      <c r="M21" s="164">
        <v>0</v>
      </c>
      <c r="N21" s="165">
        <v>0</v>
      </c>
      <c r="O21" s="165">
        <f>N21</f>
        <v>0</v>
      </c>
      <c r="P21" s="165">
        <f>O21</f>
        <v>0</v>
      </c>
      <c r="Q21" s="165">
        <f>P21</f>
        <v>0</v>
      </c>
      <c r="R21" s="164">
        <f>SUM(N21:Q21)</f>
        <v>0</v>
      </c>
      <c r="S21" s="165">
        <f>Q21</f>
        <v>0</v>
      </c>
      <c r="T21" s="165">
        <f>S21</f>
        <v>0</v>
      </c>
      <c r="U21" s="165">
        <f>T21</f>
        <v>0</v>
      </c>
      <c r="V21" s="165">
        <f>U21</f>
        <v>0</v>
      </c>
      <c r="W21" s="164">
        <f>SUM(S21:V21)</f>
        <v>0</v>
      </c>
    </row>
    <row r="22" spans="2:23" x14ac:dyDescent="0.3">
      <c r="B22" s="297" t="s">
        <v>28</v>
      </c>
      <c r="C22" s="298"/>
      <c r="D22" s="166">
        <f t="shared" ref="D22:W22" si="11">D17+D21+D20</f>
        <v>343</v>
      </c>
      <c r="E22" s="167">
        <f t="shared" si="11"/>
        <v>471</v>
      </c>
      <c r="F22" s="167">
        <f t="shared" si="11"/>
        <v>326</v>
      </c>
      <c r="G22" s="168">
        <f t="shared" si="11"/>
        <v>1250</v>
      </c>
      <c r="H22" s="169">
        <f t="shared" si="11"/>
        <v>2390</v>
      </c>
      <c r="I22" s="166">
        <f t="shared" si="11"/>
        <v>314</v>
      </c>
      <c r="J22" s="170">
        <f t="shared" si="11"/>
        <v>343</v>
      </c>
      <c r="K22" s="170">
        <f t="shared" si="11"/>
        <v>178</v>
      </c>
      <c r="L22" s="170">
        <f t="shared" si="11"/>
        <v>843</v>
      </c>
      <c r="M22" s="169">
        <f t="shared" si="11"/>
        <v>1678</v>
      </c>
      <c r="N22" s="170">
        <f t="shared" si="11"/>
        <v>178</v>
      </c>
      <c r="O22" s="170">
        <f t="shared" si="11"/>
        <v>213.91999999999985</v>
      </c>
      <c r="P22" s="170">
        <f t="shared" si="11"/>
        <v>165.36499999999978</v>
      </c>
      <c r="Q22" s="170">
        <f t="shared" si="11"/>
        <v>974.60000000000036</v>
      </c>
      <c r="R22" s="169">
        <f t="shared" si="11"/>
        <v>1531.8850000000011</v>
      </c>
      <c r="S22" s="170">
        <f t="shared" si="11"/>
        <v>182.89999999999986</v>
      </c>
      <c r="T22" s="170">
        <f t="shared" si="11"/>
        <v>187.35739999999987</v>
      </c>
      <c r="U22" s="170">
        <f t="shared" si="11"/>
        <v>180.73872499999993</v>
      </c>
      <c r="V22" s="170">
        <f t="shared" si="11"/>
        <v>1069.1812476680002</v>
      </c>
      <c r="W22" s="169">
        <f t="shared" si="11"/>
        <v>1620.1773726679985</v>
      </c>
    </row>
    <row r="23" spans="2:23" ht="16.2" x14ac:dyDescent="0.45">
      <c r="B23" s="299" t="s">
        <v>100</v>
      </c>
      <c r="C23" s="300"/>
      <c r="D23" s="161">
        <v>119</v>
      </c>
      <c r="E23" s="162">
        <v>179</v>
      </c>
      <c r="F23" s="162">
        <v>109</v>
      </c>
      <c r="G23" s="163">
        <v>457</v>
      </c>
      <c r="H23" s="164">
        <f>SUM(D23:G23)</f>
        <v>864</v>
      </c>
      <c r="I23" s="161">
        <v>121</v>
      </c>
      <c r="J23" s="165">
        <v>126</v>
      </c>
      <c r="K23" s="165">
        <v>61</v>
      </c>
      <c r="L23" s="165">
        <v>300</v>
      </c>
      <c r="M23" s="191">
        <v>608</v>
      </c>
      <c r="N23" s="165">
        <v>63</v>
      </c>
      <c r="O23" s="165">
        <f>O22*O62</f>
        <v>77.011199999999945</v>
      </c>
      <c r="P23" s="165">
        <f>P22*P62</f>
        <v>59.53139999999992</v>
      </c>
      <c r="Q23" s="165">
        <f>Q22*Q62</f>
        <v>350.85600000000011</v>
      </c>
      <c r="R23" s="164">
        <f>SUM(N23:Q23)</f>
        <v>550.39859999999999</v>
      </c>
      <c r="S23" s="165">
        <f>S22*S62</f>
        <v>65.843999999999951</v>
      </c>
      <c r="T23" s="165">
        <f>T22*T62</f>
        <v>67.448663999999951</v>
      </c>
      <c r="U23" s="165">
        <f>U22*U62</f>
        <v>65.065940999999967</v>
      </c>
      <c r="V23" s="165">
        <f>V22*V62</f>
        <v>384.90524916048008</v>
      </c>
      <c r="W23" s="164">
        <f>SUM(S23:V23)</f>
        <v>583.26385416047992</v>
      </c>
    </row>
    <row r="24" spans="2:23" x14ac:dyDescent="0.3">
      <c r="B24" s="297" t="s">
        <v>36</v>
      </c>
      <c r="C24" s="298"/>
      <c r="D24" s="166">
        <f t="shared" ref="D24:W24" si="12">D22-D23</f>
        <v>224</v>
      </c>
      <c r="E24" s="167">
        <f t="shared" si="12"/>
        <v>292</v>
      </c>
      <c r="F24" s="167">
        <f t="shared" si="12"/>
        <v>217</v>
      </c>
      <c r="G24" s="168">
        <f t="shared" si="12"/>
        <v>793</v>
      </c>
      <c r="H24" s="169">
        <f t="shared" si="12"/>
        <v>1526</v>
      </c>
      <c r="I24" s="166">
        <f t="shared" si="12"/>
        <v>193</v>
      </c>
      <c r="J24" s="170">
        <f t="shared" si="12"/>
        <v>217</v>
      </c>
      <c r="K24" s="170">
        <f t="shared" si="12"/>
        <v>117</v>
      </c>
      <c r="L24" s="170">
        <f t="shared" si="12"/>
        <v>543</v>
      </c>
      <c r="M24" s="169">
        <f t="shared" si="12"/>
        <v>1070</v>
      </c>
      <c r="N24" s="170">
        <f t="shared" si="12"/>
        <v>115</v>
      </c>
      <c r="O24" s="170">
        <f t="shared" si="12"/>
        <v>136.9087999999999</v>
      </c>
      <c r="P24" s="170">
        <f t="shared" si="12"/>
        <v>105.83359999999986</v>
      </c>
      <c r="Q24" s="170">
        <f t="shared" si="12"/>
        <v>623.74400000000026</v>
      </c>
      <c r="R24" s="169">
        <f t="shared" si="12"/>
        <v>981.48640000000114</v>
      </c>
      <c r="S24" s="170">
        <f t="shared" si="12"/>
        <v>117.05599999999991</v>
      </c>
      <c r="T24" s="170">
        <f t="shared" si="12"/>
        <v>119.90873599999992</v>
      </c>
      <c r="U24" s="170">
        <f t="shared" si="12"/>
        <v>115.67278399999996</v>
      </c>
      <c r="V24" s="170">
        <f t="shared" si="12"/>
        <v>684.27599850752017</v>
      </c>
      <c r="W24" s="169">
        <f t="shared" si="12"/>
        <v>1036.9135185075186</v>
      </c>
    </row>
    <row r="25" spans="2:23" s="50" customFormat="1" ht="16.2" x14ac:dyDescent="0.45">
      <c r="B25" s="192" t="s">
        <v>163</v>
      </c>
      <c r="C25" s="251"/>
      <c r="D25" s="161">
        <v>0</v>
      </c>
      <c r="E25" s="162">
        <v>0</v>
      </c>
      <c r="F25" s="162">
        <v>0</v>
      </c>
      <c r="G25" s="163">
        <v>0</v>
      </c>
      <c r="H25" s="164">
        <f>SUM(D25:G25)</f>
        <v>0</v>
      </c>
      <c r="I25" s="161">
        <v>0</v>
      </c>
      <c r="J25" s="165">
        <v>0</v>
      </c>
      <c r="K25" s="165">
        <v>1</v>
      </c>
      <c r="L25" s="165">
        <f>K25</f>
        <v>1</v>
      </c>
      <c r="M25" s="164">
        <f>SUM(I25:L25)</f>
        <v>2</v>
      </c>
      <c r="N25" s="165">
        <v>1</v>
      </c>
      <c r="O25" s="254">
        <f>N25</f>
        <v>1</v>
      </c>
      <c r="P25" s="254">
        <f>O25</f>
        <v>1</v>
      </c>
      <c r="Q25" s="254">
        <f>P25</f>
        <v>1</v>
      </c>
      <c r="R25" s="164">
        <f>SUM(N25:Q25)</f>
        <v>4</v>
      </c>
      <c r="S25" s="254">
        <f>Q25</f>
        <v>1</v>
      </c>
      <c r="T25" s="254">
        <f>S25</f>
        <v>1</v>
      </c>
      <c r="U25" s="254">
        <f>T25</f>
        <v>1</v>
      </c>
      <c r="V25" s="254">
        <f>U25</f>
        <v>1</v>
      </c>
      <c r="W25" s="164">
        <f>SUM(S25:V25)</f>
        <v>4</v>
      </c>
    </row>
    <row r="26" spans="2:23" s="49" customFormat="1" x14ac:dyDescent="0.3">
      <c r="B26" s="116" t="s">
        <v>162</v>
      </c>
      <c r="C26" s="252"/>
      <c r="D26" s="166">
        <f t="shared" ref="D26:M26" si="13">D24+D25</f>
        <v>224</v>
      </c>
      <c r="E26" s="167">
        <f t="shared" si="13"/>
        <v>292</v>
      </c>
      <c r="F26" s="167">
        <f t="shared" si="13"/>
        <v>217</v>
      </c>
      <c r="G26" s="168">
        <f t="shared" si="13"/>
        <v>793</v>
      </c>
      <c r="H26" s="169">
        <f t="shared" si="13"/>
        <v>1526</v>
      </c>
      <c r="I26" s="166">
        <f t="shared" si="13"/>
        <v>193</v>
      </c>
      <c r="J26" s="170">
        <f t="shared" si="13"/>
        <v>217</v>
      </c>
      <c r="K26" s="170">
        <f t="shared" si="13"/>
        <v>118</v>
      </c>
      <c r="L26" s="170">
        <f t="shared" si="13"/>
        <v>544</v>
      </c>
      <c r="M26" s="169">
        <f t="shared" si="13"/>
        <v>1072</v>
      </c>
      <c r="N26" s="170">
        <f>N24+N25</f>
        <v>116</v>
      </c>
      <c r="O26" s="170">
        <f t="shared" ref="O26:W26" si="14">O24+O25</f>
        <v>137.9087999999999</v>
      </c>
      <c r="P26" s="170">
        <f t="shared" si="14"/>
        <v>106.83359999999986</v>
      </c>
      <c r="Q26" s="170">
        <f t="shared" si="14"/>
        <v>624.74400000000026</v>
      </c>
      <c r="R26" s="169">
        <f t="shared" si="14"/>
        <v>985.48640000000114</v>
      </c>
      <c r="S26" s="170">
        <f t="shared" si="14"/>
        <v>118.05599999999991</v>
      </c>
      <c r="T26" s="170">
        <f t="shared" si="14"/>
        <v>120.90873599999992</v>
      </c>
      <c r="U26" s="170">
        <f t="shared" si="14"/>
        <v>116.67278399999996</v>
      </c>
      <c r="V26" s="170">
        <f t="shared" si="14"/>
        <v>685.27599850752017</v>
      </c>
      <c r="W26" s="169">
        <f t="shared" si="14"/>
        <v>1040.9135185075186</v>
      </c>
    </row>
    <row r="27" spans="2:23" s="50" customFormat="1" ht="16.2" x14ac:dyDescent="0.45">
      <c r="B27" s="62" t="s">
        <v>43</v>
      </c>
      <c r="C27" s="251"/>
      <c r="D27" s="161">
        <f t="shared" ref="D27:G27" si="15">-D67</f>
        <v>0</v>
      </c>
      <c r="E27" s="162">
        <f t="shared" si="15"/>
        <v>0</v>
      </c>
      <c r="F27" s="162">
        <f t="shared" si="15"/>
        <v>0</v>
      </c>
      <c r="G27" s="163">
        <f t="shared" si="15"/>
        <v>-23</v>
      </c>
      <c r="H27" s="164">
        <f>SUM(D27:G27)</f>
        <v>-23</v>
      </c>
      <c r="I27" s="161">
        <f t="shared" ref="I27:L27" si="16">-I67</f>
        <v>0</v>
      </c>
      <c r="J27" s="165">
        <f t="shared" si="16"/>
        <v>0</v>
      </c>
      <c r="K27" s="165">
        <f t="shared" si="16"/>
        <v>-43</v>
      </c>
      <c r="L27" s="165">
        <f t="shared" si="16"/>
        <v>-62</v>
      </c>
      <c r="M27" s="164">
        <f>SUM(I27:L27)</f>
        <v>-105</v>
      </c>
      <c r="N27" s="165">
        <f>-N67</f>
        <v>-4</v>
      </c>
      <c r="O27" s="165">
        <f t="shared" ref="O27:Q27" si="17">-O67</f>
        <v>-4</v>
      </c>
      <c r="P27" s="165">
        <f t="shared" si="17"/>
        <v>-4</v>
      </c>
      <c r="Q27" s="165">
        <f t="shared" si="17"/>
        <v>-4</v>
      </c>
      <c r="R27" s="164">
        <f>SUM(N27:Q27)</f>
        <v>-16</v>
      </c>
      <c r="S27" s="165">
        <f t="shared" ref="S27:V27" si="18">-S67</f>
        <v>-4</v>
      </c>
      <c r="T27" s="165">
        <f t="shared" si="18"/>
        <v>-4</v>
      </c>
      <c r="U27" s="165">
        <f t="shared" si="18"/>
        <v>-4</v>
      </c>
      <c r="V27" s="165">
        <f t="shared" si="18"/>
        <v>-4</v>
      </c>
      <c r="W27" s="164">
        <f>SUM(S27:V27)</f>
        <v>-16</v>
      </c>
    </row>
    <row r="28" spans="2:23" s="24" customFormat="1" x14ac:dyDescent="0.3">
      <c r="B28" s="297" t="s">
        <v>9</v>
      </c>
      <c r="C28" s="298"/>
      <c r="D28" s="166">
        <f>D19+D20+D21-D23+D27</f>
        <v>224</v>
      </c>
      <c r="E28" s="167">
        <f t="shared" ref="E28:W28" si="19">E19+E20+E21-E23+E27</f>
        <v>292</v>
      </c>
      <c r="F28" s="167">
        <f t="shared" si="19"/>
        <v>217</v>
      </c>
      <c r="G28" s="168">
        <f t="shared" si="19"/>
        <v>857</v>
      </c>
      <c r="H28" s="169">
        <f t="shared" si="19"/>
        <v>1590</v>
      </c>
      <c r="I28" s="166">
        <f t="shared" si="19"/>
        <v>193</v>
      </c>
      <c r="J28" s="170">
        <f t="shared" si="19"/>
        <v>217</v>
      </c>
      <c r="K28" s="170">
        <f t="shared" si="19"/>
        <v>185</v>
      </c>
      <c r="L28" s="170">
        <f t="shared" si="19"/>
        <v>658</v>
      </c>
      <c r="M28" s="169">
        <f t="shared" si="19"/>
        <v>1253</v>
      </c>
      <c r="N28" s="170">
        <f t="shared" si="19"/>
        <v>124</v>
      </c>
      <c r="O28" s="170">
        <f t="shared" si="19"/>
        <v>145.9087999999999</v>
      </c>
      <c r="P28" s="170">
        <f t="shared" si="19"/>
        <v>114.83359999999986</v>
      </c>
      <c r="Q28" s="170">
        <f t="shared" si="19"/>
        <v>632.74400000000026</v>
      </c>
      <c r="R28" s="169">
        <f t="shared" si="19"/>
        <v>1017.4864000000011</v>
      </c>
      <c r="S28" s="170">
        <f t="shared" si="19"/>
        <v>126.05599999999993</v>
      </c>
      <c r="T28" s="170">
        <f t="shared" si="19"/>
        <v>128.90873599999992</v>
      </c>
      <c r="U28" s="170">
        <f t="shared" si="19"/>
        <v>124.67278399999998</v>
      </c>
      <c r="V28" s="170">
        <f t="shared" si="19"/>
        <v>693.27599850752017</v>
      </c>
      <c r="W28" s="169">
        <f t="shared" si="19"/>
        <v>1072.9135185075186</v>
      </c>
    </row>
    <row r="29" spans="2:23" x14ac:dyDescent="0.3">
      <c r="B29" s="285" t="s">
        <v>6</v>
      </c>
      <c r="C29" s="301"/>
      <c r="D29" s="156">
        <v>365.9</v>
      </c>
      <c r="E29" s="157">
        <v>359.2</v>
      </c>
      <c r="F29" s="157">
        <v>351.6</v>
      </c>
      <c r="G29" s="158">
        <v>344.3</v>
      </c>
      <c r="H29" s="159">
        <v>355.2</v>
      </c>
      <c r="I29" s="156">
        <v>340.7</v>
      </c>
      <c r="J29" s="160">
        <v>335.7</v>
      </c>
      <c r="K29" s="160">
        <v>325.3</v>
      </c>
      <c r="L29" s="160">
        <v>312.2</v>
      </c>
      <c r="M29" s="159">
        <v>328.4</v>
      </c>
      <c r="N29" s="160">
        <v>310.60000000000002</v>
      </c>
      <c r="O29" s="160">
        <f>N29*(1+O69)-O73</f>
        <v>307.70720982852555</v>
      </c>
      <c r="P29" s="160">
        <f>O29*(1+P69)-P73</f>
        <v>304.80144658175396</v>
      </c>
      <c r="Q29" s="160">
        <f>P29*(1+Q69)-Q73</f>
        <v>301.88265208032459</v>
      </c>
      <c r="R29" s="159">
        <f>((N29*N24/R24)+(O29*O24/R24)+(P29*P24/R24)+(Q29*Q24/R24))</f>
        <v>304.0312654002297</v>
      </c>
      <c r="S29" s="160">
        <f>Q29*(1+S69)-S73</f>
        <v>298.95076788396426</v>
      </c>
      <c r="T29" s="160">
        <f>S29*(1+T69)-T73</f>
        <v>296.0057352903172</v>
      </c>
      <c r="U29" s="160">
        <f>T29*(1+U69)-U73</f>
        <v>293.04749533376958</v>
      </c>
      <c r="V29" s="160">
        <f>U29*(1+V69)-V73</f>
        <v>290.07598878426899</v>
      </c>
      <c r="W29" s="159">
        <f>((S29*S24/W24)+(T29*T24/W24)+(U29*U24/W24)+(V29*V24/W24))</f>
        <v>292.09505493445613</v>
      </c>
    </row>
    <row r="30" spans="2:23" ht="15.75" customHeight="1" x14ac:dyDescent="0.3">
      <c r="B30" s="285" t="s">
        <v>7</v>
      </c>
      <c r="C30" s="301"/>
      <c r="D30" s="156">
        <v>372.6</v>
      </c>
      <c r="E30" s="157">
        <v>365.4</v>
      </c>
      <c r="F30" s="157">
        <v>357.7</v>
      </c>
      <c r="G30" s="158">
        <v>350.9</v>
      </c>
      <c r="H30" s="159">
        <v>361.7</v>
      </c>
      <c r="I30" s="156">
        <v>346.5</v>
      </c>
      <c r="J30" s="160">
        <v>341.1</v>
      </c>
      <c r="K30" s="160">
        <v>329.7</v>
      </c>
      <c r="L30" s="160">
        <v>314.8</v>
      </c>
      <c r="M30" s="159">
        <v>333</v>
      </c>
      <c r="N30" s="160">
        <v>313.5</v>
      </c>
      <c r="O30" s="160">
        <f>N30*(1+O70)-O73</f>
        <v>310.90736448509517</v>
      </c>
      <c r="P30" s="160">
        <f>O30*(1+P70)-P73</f>
        <v>308.3007272599807</v>
      </c>
      <c r="Q30" s="160">
        <f>P30*(1+Q70)-Q73</f>
        <v>305.68001270743707</v>
      </c>
      <c r="R30" s="159">
        <f>((N30*N24/R24)+(O30*O24/R24)+(P30*P24/R24)+(Q30*Q24/R24))</f>
        <v>307.60803601307788</v>
      </c>
      <c r="S30" s="160">
        <f>Q30*(1+S70)-S73</f>
        <v>303.04514480186867</v>
      </c>
      <c r="T30" s="160">
        <f>S30*(1+T70)-T73</f>
        <v>300.39604710709835</v>
      </c>
      <c r="U30" s="160">
        <f>T30*(1+U70)-U73</f>
        <v>297.73264277415001</v>
      </c>
      <c r="V30" s="160">
        <f>U30*(1+V70)-V73</f>
        <v>295.05485453901917</v>
      </c>
      <c r="W30" s="159">
        <f>((S30*S24/W24)+(T30*T24/W24)+(U30*U24/W24)+(V30*V24/W24))</f>
        <v>296.87324561314983</v>
      </c>
    </row>
    <row r="31" spans="2:23" s="50" customFormat="1" ht="15.75" customHeight="1" x14ac:dyDescent="0.3">
      <c r="B31" s="285" t="s">
        <v>4</v>
      </c>
      <c r="C31" s="301"/>
      <c r="D31" s="63">
        <f t="shared" ref="D31:W31" si="20">D26/D29</f>
        <v>0.61218912271112325</v>
      </c>
      <c r="E31" s="40">
        <f t="shared" si="20"/>
        <v>0.81291759465478841</v>
      </c>
      <c r="F31" s="40">
        <f t="shared" si="20"/>
        <v>0.61717861205915814</v>
      </c>
      <c r="G31" s="35">
        <f t="shared" si="20"/>
        <v>2.3032239326169037</v>
      </c>
      <c r="H31" s="36">
        <f t="shared" si="20"/>
        <v>4.2961711711711716</v>
      </c>
      <c r="I31" s="63">
        <f t="shared" si="20"/>
        <v>0.56648077487525683</v>
      </c>
      <c r="J31" s="34">
        <f t="shared" si="20"/>
        <v>0.64641048555257674</v>
      </c>
      <c r="K31" s="34">
        <f t="shared" si="20"/>
        <v>0.36274208422994159</v>
      </c>
      <c r="L31" s="34">
        <f t="shared" si="20"/>
        <v>1.7424727738629084</v>
      </c>
      <c r="M31" s="36">
        <f t="shared" si="20"/>
        <v>3.2643118148599273</v>
      </c>
      <c r="N31" s="34">
        <f t="shared" si="20"/>
        <v>0.37347070186735348</v>
      </c>
      <c r="O31" s="34">
        <f t="shared" si="20"/>
        <v>0.44818189368020217</v>
      </c>
      <c r="P31" s="34">
        <f t="shared" si="20"/>
        <v>0.35050227352298641</v>
      </c>
      <c r="Q31" s="34">
        <f t="shared" si="20"/>
        <v>2.0694928830616246</v>
      </c>
      <c r="R31" s="36">
        <f t="shared" si="20"/>
        <v>3.2413982118013331</v>
      </c>
      <c r="S31" s="34">
        <f t="shared" si="20"/>
        <v>0.3949011432070399</v>
      </c>
      <c r="T31" s="34">
        <f t="shared" si="20"/>
        <v>0.40846754500014926</v>
      </c>
      <c r="U31" s="34">
        <f t="shared" si="20"/>
        <v>0.39813609008025902</v>
      </c>
      <c r="V31" s="34">
        <f t="shared" si="20"/>
        <v>2.362401663714274</v>
      </c>
      <c r="W31" s="36">
        <f t="shared" si="20"/>
        <v>3.5636122588281802</v>
      </c>
    </row>
    <row r="32" spans="2:23" s="50" customFormat="1" x14ac:dyDescent="0.3">
      <c r="B32" s="285" t="s">
        <v>5</v>
      </c>
      <c r="C32" s="301"/>
      <c r="D32" s="63">
        <f t="shared" ref="D32:W32" si="21">D26/D30</f>
        <v>0.6011808910359635</v>
      </c>
      <c r="E32" s="40">
        <f t="shared" si="21"/>
        <v>0.79912424740010957</v>
      </c>
      <c r="F32" s="40">
        <f t="shared" si="21"/>
        <v>0.60665362035225046</v>
      </c>
      <c r="G32" s="35">
        <f t="shared" si="21"/>
        <v>2.2599031062980908</v>
      </c>
      <c r="H32" s="36">
        <f t="shared" si="21"/>
        <v>4.2189659939176112</v>
      </c>
      <c r="I32" s="63">
        <f t="shared" si="21"/>
        <v>0.55699855699855705</v>
      </c>
      <c r="J32" s="34">
        <f t="shared" si="21"/>
        <v>0.63617707417179703</v>
      </c>
      <c r="K32" s="34">
        <f t="shared" si="21"/>
        <v>0.35790112223233245</v>
      </c>
      <c r="L32" s="34">
        <f t="shared" si="21"/>
        <v>1.7280813214739517</v>
      </c>
      <c r="M32" s="36">
        <f t="shared" si="21"/>
        <v>3.2192192192192191</v>
      </c>
      <c r="N32" s="34">
        <f t="shared" si="21"/>
        <v>0.37001594896331741</v>
      </c>
      <c r="O32" s="34">
        <f t="shared" si="21"/>
        <v>0.44356877884959595</v>
      </c>
      <c r="P32" s="34">
        <f t="shared" si="21"/>
        <v>0.34652399606540762</v>
      </c>
      <c r="Q32" s="34">
        <f t="shared" si="21"/>
        <v>2.0437842646844424</v>
      </c>
      <c r="R32" s="36">
        <f t="shared" si="21"/>
        <v>3.2037082410880302</v>
      </c>
      <c r="S32" s="34">
        <f t="shared" si="21"/>
        <v>0.38956571991009814</v>
      </c>
      <c r="T32" s="34">
        <f t="shared" si="21"/>
        <v>0.40249775975545066</v>
      </c>
      <c r="U32" s="34">
        <f t="shared" si="21"/>
        <v>0.39187098503170853</v>
      </c>
      <c r="V32" s="34">
        <f t="shared" si="21"/>
        <v>2.3225376161939972</v>
      </c>
      <c r="W32" s="36">
        <f t="shared" si="21"/>
        <v>3.5062557299754595</v>
      </c>
    </row>
    <row r="33" spans="2:23" s="51" customFormat="1" x14ac:dyDescent="0.3">
      <c r="B33" s="289" t="s">
        <v>8</v>
      </c>
      <c r="C33" s="314"/>
      <c r="D33" s="242">
        <f t="shared" ref="D33:W33" si="22">D28/D30</f>
        <v>0.6011808910359635</v>
      </c>
      <c r="E33" s="64">
        <f t="shared" si="22"/>
        <v>0.79912424740010957</v>
      </c>
      <c r="F33" s="64">
        <f t="shared" si="22"/>
        <v>0.60665362035225046</v>
      </c>
      <c r="G33" s="64">
        <f t="shared" si="22"/>
        <v>2.4422912510686805</v>
      </c>
      <c r="H33" s="47">
        <f t="shared" si="22"/>
        <v>4.3959082112247723</v>
      </c>
      <c r="I33" s="64">
        <f t="shared" si="22"/>
        <v>0.55699855699855705</v>
      </c>
      <c r="J33" s="9">
        <f t="shared" si="22"/>
        <v>0.63617707417179703</v>
      </c>
      <c r="K33" s="9">
        <f t="shared" si="22"/>
        <v>0.56111616621170768</v>
      </c>
      <c r="L33" s="9">
        <f t="shared" si="22"/>
        <v>2.0902160101651841</v>
      </c>
      <c r="M33" s="47">
        <f t="shared" si="22"/>
        <v>3.7627627627627627</v>
      </c>
      <c r="N33" s="9">
        <f t="shared" si="22"/>
        <v>0.39553429027113235</v>
      </c>
      <c r="O33" s="276">
        <f t="shared" si="22"/>
        <v>0.46929991588216219</v>
      </c>
      <c r="P33" s="276">
        <f t="shared" si="22"/>
        <v>0.37247268607045531</v>
      </c>
      <c r="Q33" s="276">
        <f t="shared" si="22"/>
        <v>2.0699554229788406</v>
      </c>
      <c r="R33" s="47">
        <f t="shared" si="22"/>
        <v>3.3077367327189817</v>
      </c>
      <c r="S33" s="276">
        <f t="shared" si="22"/>
        <v>0.41596442695828539</v>
      </c>
      <c r="T33" s="9">
        <f t="shared" si="22"/>
        <v>0.42912926864860135</v>
      </c>
      <c r="U33" s="9">
        <f t="shared" si="22"/>
        <v>0.41874072939517271</v>
      </c>
      <c r="V33" s="9">
        <f t="shared" si="22"/>
        <v>2.3496512185527818</v>
      </c>
      <c r="W33" s="47">
        <f t="shared" si="22"/>
        <v>3.6140458406467952</v>
      </c>
    </row>
    <row r="34" spans="2:23" s="113" customFormat="1" x14ac:dyDescent="0.3">
      <c r="B34" s="256" t="s">
        <v>136</v>
      </c>
      <c r="C34" s="257"/>
      <c r="D34" s="262">
        <v>0.25</v>
      </c>
      <c r="E34" s="263">
        <v>0.3125</v>
      </c>
      <c r="F34" s="263">
        <v>0.3125</v>
      </c>
      <c r="G34" s="263">
        <v>0.3125</v>
      </c>
      <c r="H34" s="264">
        <f>SUM(D34:G34)</f>
        <v>1.1875</v>
      </c>
      <c r="I34" s="263">
        <v>0.313</v>
      </c>
      <c r="J34" s="263">
        <v>0.36</v>
      </c>
      <c r="K34" s="265">
        <v>0.36</v>
      </c>
      <c r="L34" s="265">
        <v>0.36</v>
      </c>
      <c r="M34" s="266">
        <f>SUM(I34:L34)</f>
        <v>1.3929999999999998</v>
      </c>
      <c r="N34" s="263">
        <v>0.3775</v>
      </c>
      <c r="O34" s="267">
        <f>N34</f>
        <v>0.3775</v>
      </c>
      <c r="P34" s="268">
        <f>O34</f>
        <v>0.3775</v>
      </c>
      <c r="Q34" s="268">
        <f>P34</f>
        <v>0.3775</v>
      </c>
      <c r="R34" s="266">
        <f>SUM(N34:Q34)</f>
        <v>1.51</v>
      </c>
      <c r="S34" s="267">
        <f>Q34</f>
        <v>0.3775</v>
      </c>
      <c r="T34" s="267">
        <f>S34</f>
        <v>0.3775</v>
      </c>
      <c r="U34" s="268">
        <f>T34</f>
        <v>0.3775</v>
      </c>
      <c r="V34" s="268">
        <f>U34</f>
        <v>0.3775</v>
      </c>
      <c r="W34" s="266">
        <f>SUM(S34:V34)</f>
        <v>1.51</v>
      </c>
    </row>
    <row r="35" spans="2:23" x14ac:dyDescent="0.3">
      <c r="B35" s="20"/>
      <c r="C35" s="23"/>
      <c r="D35" s="255">
        <f>D11-D55-D47</f>
        <v>0</v>
      </c>
      <c r="E35" s="255">
        <f t="shared" ref="E35:V35" si="23">E11-E55-E47</f>
        <v>0</v>
      </c>
      <c r="F35" s="255">
        <f t="shared" si="23"/>
        <v>0</v>
      </c>
      <c r="G35" s="255">
        <f t="shared" si="23"/>
        <v>0</v>
      </c>
      <c r="H35" s="255">
        <f t="shared" si="23"/>
        <v>0</v>
      </c>
      <c r="I35" s="255">
        <f t="shared" si="23"/>
        <v>0</v>
      </c>
      <c r="J35" s="255">
        <f t="shared" si="23"/>
        <v>0</v>
      </c>
      <c r="K35" s="255">
        <f t="shared" si="23"/>
        <v>0</v>
      </c>
      <c r="L35" s="255">
        <f t="shared" si="23"/>
        <v>0</v>
      </c>
      <c r="M35" s="255">
        <f t="shared" si="23"/>
        <v>0</v>
      </c>
      <c r="N35" s="255">
        <f t="shared" si="23"/>
        <v>0</v>
      </c>
      <c r="O35" s="255">
        <f t="shared" si="23"/>
        <v>0</v>
      </c>
      <c r="P35" s="255">
        <f t="shared" si="23"/>
        <v>0</v>
      </c>
      <c r="Q35" s="255">
        <f t="shared" si="23"/>
        <v>0</v>
      </c>
      <c r="R35" s="255">
        <f t="shared" si="23"/>
        <v>0</v>
      </c>
      <c r="S35" s="255">
        <f t="shared" si="23"/>
        <v>0</v>
      </c>
      <c r="T35" s="255">
        <f t="shared" si="23"/>
        <v>0</v>
      </c>
      <c r="U35" s="255">
        <f t="shared" si="23"/>
        <v>0</v>
      </c>
      <c r="V35" s="255">
        <f t="shared" si="23"/>
        <v>0</v>
      </c>
      <c r="W35" s="255">
        <f>W11-W55-W47</f>
        <v>0</v>
      </c>
    </row>
    <row r="36" spans="2:23" ht="15.6" x14ac:dyDescent="0.3">
      <c r="B36" s="291" t="s">
        <v>3</v>
      </c>
      <c r="C36" s="292"/>
      <c r="D36" s="52" t="s">
        <v>174</v>
      </c>
      <c r="E36" s="52" t="s">
        <v>175</v>
      </c>
      <c r="F36" s="52" t="s">
        <v>176</v>
      </c>
      <c r="G36" s="52" t="s">
        <v>177</v>
      </c>
      <c r="H36" s="52" t="s">
        <v>177</v>
      </c>
      <c r="I36" s="52" t="s">
        <v>178</v>
      </c>
      <c r="J36" s="52" t="s">
        <v>179</v>
      </c>
      <c r="K36" s="52" t="s">
        <v>180</v>
      </c>
      <c r="L36" s="52" t="s">
        <v>181</v>
      </c>
      <c r="M36" s="52" t="s">
        <v>181</v>
      </c>
      <c r="N36" s="52" t="s">
        <v>185</v>
      </c>
      <c r="O36" s="54" t="s">
        <v>184</v>
      </c>
      <c r="P36" s="54" t="s">
        <v>183</v>
      </c>
      <c r="Q36" s="54" t="s">
        <v>182</v>
      </c>
      <c r="R36" s="54" t="s">
        <v>182</v>
      </c>
      <c r="S36" s="54" t="s">
        <v>186</v>
      </c>
      <c r="T36" s="54" t="s">
        <v>187</v>
      </c>
      <c r="U36" s="54" t="s">
        <v>188</v>
      </c>
      <c r="V36" s="54" t="s">
        <v>189</v>
      </c>
      <c r="W36" s="57" t="s">
        <v>189</v>
      </c>
    </row>
    <row r="37" spans="2:23" ht="16.2" x14ac:dyDescent="0.45">
      <c r="B37" s="293" t="s">
        <v>37</v>
      </c>
      <c r="C37" s="294"/>
      <c r="D37" s="53" t="s">
        <v>85</v>
      </c>
      <c r="E37" s="53" t="s">
        <v>86</v>
      </c>
      <c r="F37" s="53" t="s">
        <v>87</v>
      </c>
      <c r="G37" s="53" t="s">
        <v>88</v>
      </c>
      <c r="H37" s="53" t="s">
        <v>13</v>
      </c>
      <c r="I37" s="53" t="s">
        <v>89</v>
      </c>
      <c r="J37" s="53" t="s">
        <v>90</v>
      </c>
      <c r="K37" s="53" t="s">
        <v>91</v>
      </c>
      <c r="L37" s="53" t="s">
        <v>92</v>
      </c>
      <c r="M37" s="53" t="s">
        <v>45</v>
      </c>
      <c r="N37" s="53" t="s">
        <v>161</v>
      </c>
      <c r="O37" s="55" t="s">
        <v>93</v>
      </c>
      <c r="P37" s="55" t="s">
        <v>94</v>
      </c>
      <c r="Q37" s="55" t="s">
        <v>95</v>
      </c>
      <c r="R37" s="55" t="s">
        <v>14</v>
      </c>
      <c r="S37" s="55" t="s">
        <v>24</v>
      </c>
      <c r="T37" s="55" t="s">
        <v>25</v>
      </c>
      <c r="U37" s="55" t="s">
        <v>26</v>
      </c>
      <c r="V37" s="55" t="s">
        <v>27</v>
      </c>
      <c r="W37" s="58" t="s">
        <v>15</v>
      </c>
    </row>
    <row r="38" spans="2:23" s="61" customFormat="1" x14ac:dyDescent="0.3">
      <c r="B38" s="315" t="s">
        <v>152</v>
      </c>
      <c r="C38" s="316"/>
      <c r="D38" s="117"/>
      <c r="E38" s="117"/>
      <c r="F38" s="117"/>
      <c r="G38" s="117"/>
      <c r="H38" s="118"/>
      <c r="I38" s="119"/>
      <c r="J38" s="119"/>
      <c r="K38" s="119"/>
      <c r="L38" s="119"/>
      <c r="M38" s="120"/>
      <c r="N38" s="119"/>
      <c r="O38" s="119"/>
      <c r="P38" s="119"/>
      <c r="Q38" s="119"/>
      <c r="R38" s="120"/>
      <c r="S38" s="119"/>
      <c r="T38" s="119"/>
      <c r="U38" s="119"/>
      <c r="V38" s="119"/>
      <c r="W38" s="120"/>
    </row>
    <row r="39" spans="2:23" s="61" customFormat="1" outlineLevel="1" x14ac:dyDescent="0.3">
      <c r="B39" s="317" t="s">
        <v>153</v>
      </c>
      <c r="C39" s="318"/>
      <c r="D39" s="117"/>
      <c r="E39" s="117"/>
      <c r="F39" s="117"/>
      <c r="G39" s="117"/>
      <c r="H39" s="118">
        <v>5</v>
      </c>
      <c r="I39" s="119"/>
      <c r="J39" s="119"/>
      <c r="K39" s="119"/>
      <c r="L39" s="119"/>
      <c r="M39" s="120">
        <v>88</v>
      </c>
      <c r="N39" s="119"/>
      <c r="O39" s="119"/>
      <c r="P39" s="119"/>
      <c r="Q39" s="119"/>
      <c r="R39" s="120"/>
      <c r="S39" s="119"/>
      <c r="T39" s="119"/>
      <c r="U39" s="119"/>
      <c r="V39" s="119"/>
      <c r="W39" s="120"/>
    </row>
    <row r="40" spans="2:23" s="61" customFormat="1" outlineLevel="1" x14ac:dyDescent="0.3">
      <c r="B40" s="317" t="s">
        <v>154</v>
      </c>
      <c r="C40" s="318"/>
      <c r="D40" s="121"/>
      <c r="E40" s="121"/>
      <c r="F40" s="121"/>
      <c r="G40" s="121"/>
      <c r="H40" s="122">
        <v>-22</v>
      </c>
      <c r="I40" s="123"/>
      <c r="J40" s="123"/>
      <c r="K40" s="123"/>
      <c r="L40" s="123"/>
      <c r="M40" s="124">
        <v>-41</v>
      </c>
      <c r="N40" s="123"/>
      <c r="O40" s="123"/>
      <c r="P40" s="123"/>
      <c r="Q40" s="123"/>
      <c r="R40" s="124"/>
      <c r="S40" s="123"/>
      <c r="T40" s="123"/>
      <c r="U40" s="123"/>
      <c r="V40" s="123"/>
      <c r="W40" s="124"/>
    </row>
    <row r="41" spans="2:23" s="129" customFormat="1" outlineLevel="1" x14ac:dyDescent="0.3">
      <c r="B41" s="319" t="s">
        <v>165</v>
      </c>
      <c r="C41" s="320"/>
      <c r="D41" s="125">
        <v>840</v>
      </c>
      <c r="E41" s="125">
        <v>840</v>
      </c>
      <c r="F41" s="125">
        <v>840</v>
      </c>
      <c r="G41" s="125">
        <v>823</v>
      </c>
      <c r="H41" s="126">
        <f>+H40+H39+840</f>
        <v>823</v>
      </c>
      <c r="I41" s="131">
        <v>885</v>
      </c>
      <c r="J41" s="131">
        <v>885</v>
      </c>
      <c r="K41" s="131">
        <v>900</v>
      </c>
      <c r="L41" s="131">
        <v>870</v>
      </c>
      <c r="M41" s="128">
        <f>M39+M40+H41</f>
        <v>870</v>
      </c>
      <c r="N41" s="127">
        <v>870</v>
      </c>
      <c r="O41" s="127">
        <f>O45+O53</f>
        <v>870</v>
      </c>
      <c r="P41" s="127">
        <f t="shared" ref="P41:Q41" si="24">P45+P53</f>
        <v>870</v>
      </c>
      <c r="Q41" s="127">
        <f t="shared" si="24"/>
        <v>870</v>
      </c>
      <c r="R41" s="128">
        <f>Q41</f>
        <v>870</v>
      </c>
      <c r="S41" s="127">
        <f t="shared" ref="S41:V41" si="25">S45+S53</f>
        <v>870</v>
      </c>
      <c r="T41" s="127">
        <f t="shared" si="25"/>
        <v>870</v>
      </c>
      <c r="U41" s="127">
        <f t="shared" si="25"/>
        <v>870</v>
      </c>
      <c r="V41" s="127">
        <f t="shared" si="25"/>
        <v>870</v>
      </c>
      <c r="W41" s="128">
        <f>V41</f>
        <v>870</v>
      </c>
    </row>
    <row r="42" spans="2:23" s="130" customFormat="1" outlineLevel="1" x14ac:dyDescent="0.3">
      <c r="B42" s="137" t="s">
        <v>155</v>
      </c>
      <c r="C42" s="138"/>
      <c r="D42" s="117"/>
      <c r="E42" s="117"/>
      <c r="F42" s="117"/>
      <c r="G42" s="117"/>
      <c r="H42" s="118">
        <v>447</v>
      </c>
      <c r="I42" s="119"/>
      <c r="J42" s="119"/>
      <c r="K42" s="119"/>
      <c r="M42" s="120">
        <v>426</v>
      </c>
      <c r="N42" s="119"/>
      <c r="O42" s="119"/>
      <c r="P42" s="119"/>
      <c r="Q42" s="119"/>
      <c r="R42" s="120"/>
      <c r="S42" s="119"/>
      <c r="T42" s="119"/>
      <c r="U42" s="119"/>
      <c r="V42" s="119"/>
      <c r="W42" s="120"/>
    </row>
    <row r="43" spans="2:23" s="130" customFormat="1" outlineLevel="1" x14ac:dyDescent="0.3">
      <c r="B43" s="137" t="s">
        <v>156</v>
      </c>
      <c r="C43" s="138"/>
      <c r="D43" s="117"/>
      <c r="E43" s="117"/>
      <c r="F43" s="117"/>
      <c r="G43" s="117"/>
      <c r="H43" s="118">
        <v>267</v>
      </c>
      <c r="I43" s="119"/>
      <c r="J43" s="119"/>
      <c r="K43" s="119"/>
      <c r="M43" s="120">
        <v>318</v>
      </c>
      <c r="N43" s="119"/>
      <c r="O43" s="119"/>
      <c r="P43" s="119"/>
      <c r="Q43" s="119"/>
      <c r="R43" s="120"/>
      <c r="S43" s="119"/>
      <c r="T43" s="119"/>
      <c r="U43" s="119"/>
      <c r="V43" s="119"/>
      <c r="W43" s="120"/>
    </row>
    <row r="44" spans="2:23" s="130" customFormat="1" outlineLevel="1" x14ac:dyDescent="0.3">
      <c r="B44" s="137" t="s">
        <v>157</v>
      </c>
      <c r="C44" s="138"/>
      <c r="D44" s="117"/>
      <c r="E44" s="117"/>
      <c r="F44" s="117"/>
      <c r="G44" s="117"/>
      <c r="H44" s="118">
        <v>109</v>
      </c>
      <c r="I44" s="119"/>
      <c r="J44" s="119"/>
      <c r="K44" s="119"/>
      <c r="M44" s="120">
        <f>122+4</f>
        <v>126</v>
      </c>
      <c r="N44" s="119"/>
      <c r="O44" s="119"/>
      <c r="P44" s="119"/>
      <c r="Q44" s="119"/>
      <c r="R44" s="120"/>
      <c r="S44" s="119"/>
      <c r="T44" s="119"/>
      <c r="U44" s="119"/>
      <c r="V44" s="119"/>
      <c r="W44" s="120"/>
    </row>
    <row r="45" spans="2:23" s="130" customFormat="1" outlineLevel="1" x14ac:dyDescent="0.3">
      <c r="B45" s="302" t="s">
        <v>167</v>
      </c>
      <c r="C45" s="303"/>
      <c r="D45" s="148">
        <v>820</v>
      </c>
      <c r="E45" s="148">
        <v>820</v>
      </c>
      <c r="F45" s="148">
        <v>820</v>
      </c>
      <c r="G45" s="148">
        <v>820</v>
      </c>
      <c r="H45" s="149">
        <f>G45</f>
        <v>820</v>
      </c>
      <c r="I45" s="150">
        <v>840</v>
      </c>
      <c r="J45" s="150">
        <v>840</v>
      </c>
      <c r="K45" s="150">
        <v>840</v>
      </c>
      <c r="L45" s="150">
        <v>840</v>
      </c>
      <c r="M45" s="147">
        <f>L45</f>
        <v>840</v>
      </c>
      <c r="N45" s="150">
        <v>840</v>
      </c>
      <c r="O45" s="150">
        <f>N45</f>
        <v>840</v>
      </c>
      <c r="P45" s="150">
        <f>O45</f>
        <v>840</v>
      </c>
      <c r="Q45" s="150">
        <f>P45</f>
        <v>840</v>
      </c>
      <c r="R45" s="147">
        <f>Q45</f>
        <v>840</v>
      </c>
      <c r="S45" s="150">
        <f>Q45</f>
        <v>840</v>
      </c>
      <c r="T45" s="150">
        <f>S45</f>
        <v>840</v>
      </c>
      <c r="U45" s="150">
        <f>T45</f>
        <v>840</v>
      </c>
      <c r="V45" s="150">
        <f>U45</f>
        <v>840</v>
      </c>
      <c r="W45" s="147">
        <f>V45</f>
        <v>840</v>
      </c>
    </row>
    <row r="46" spans="2:23" s="130" customFormat="1" ht="16.2" outlineLevel="1" x14ac:dyDescent="0.45">
      <c r="B46" s="137" t="s">
        <v>170</v>
      </c>
      <c r="C46" s="138"/>
      <c r="D46" s="218">
        <v>7</v>
      </c>
      <c r="E46" s="218">
        <v>7</v>
      </c>
      <c r="F46" s="218">
        <v>7</v>
      </c>
      <c r="G46" s="218">
        <v>10</v>
      </c>
      <c r="H46" s="219">
        <f>SUM(D46:G46)</f>
        <v>31</v>
      </c>
      <c r="I46" s="218">
        <v>6.9930000000000003</v>
      </c>
      <c r="J46" s="218">
        <v>6.8949999999999996</v>
      </c>
      <c r="K46" s="218">
        <v>6.7479999999999993</v>
      </c>
      <c r="L46" s="218">
        <v>9.5699999999999985</v>
      </c>
      <c r="M46" s="220">
        <f>SUM(I46:L46)</f>
        <v>30.205999999999996</v>
      </c>
      <c r="N46" s="218">
        <v>6.6013919999999988</v>
      </c>
      <c r="O46" s="221">
        <f>J46*(1+O48)</f>
        <v>6.5714285714285721</v>
      </c>
      <c r="P46" s="221">
        <f t="shared" ref="P46" si="26">K46*(1+P48)</f>
        <v>6.5535714285714279</v>
      </c>
      <c r="Q46" s="221">
        <f>L46*(1+Q48)</f>
        <v>9.407309999999999</v>
      </c>
      <c r="R46" s="220">
        <f>SUM(N46:Q46)</f>
        <v>29.133701999999996</v>
      </c>
      <c r="S46" s="221">
        <f>N46*(1+S48)</f>
        <v>6.6369047619047601</v>
      </c>
      <c r="T46" s="221">
        <f>O46*(1+T48)</f>
        <v>6.6042857142857141</v>
      </c>
      <c r="U46" s="221">
        <f t="shared" ref="U46" si="27">P46*(1+U48)</f>
        <v>6.586339285714284</v>
      </c>
      <c r="V46" s="221">
        <f>Q46*(1+V48)</f>
        <v>9.4543465499999986</v>
      </c>
      <c r="W46" s="220">
        <f>SUM(S46:V46)</f>
        <v>29.28187631190476</v>
      </c>
    </row>
    <row r="47" spans="2:23" s="129" customFormat="1" outlineLevel="1" x14ac:dyDescent="0.3">
      <c r="B47" s="195" t="s">
        <v>171</v>
      </c>
      <c r="C47" s="196"/>
      <c r="D47" s="127">
        <f>D45*D46</f>
        <v>5740</v>
      </c>
      <c r="E47" s="127">
        <f t="shared" ref="E47:W47" si="28">E45*E46</f>
        <v>5740</v>
      </c>
      <c r="F47" s="127">
        <f t="shared" si="28"/>
        <v>5740</v>
      </c>
      <c r="G47" s="127">
        <f t="shared" si="28"/>
        <v>8200</v>
      </c>
      <c r="H47" s="126">
        <f t="shared" si="28"/>
        <v>25420</v>
      </c>
      <c r="I47" s="127">
        <f t="shared" si="28"/>
        <v>5874.12</v>
      </c>
      <c r="J47" s="127">
        <f t="shared" si="28"/>
        <v>5791.7999999999993</v>
      </c>
      <c r="K47" s="127">
        <f t="shared" si="28"/>
        <v>5668.32</v>
      </c>
      <c r="L47" s="127">
        <f t="shared" si="28"/>
        <v>8038.7999999999984</v>
      </c>
      <c r="M47" s="128">
        <f t="shared" si="28"/>
        <v>25373.039999999997</v>
      </c>
      <c r="N47" s="127">
        <f t="shared" si="28"/>
        <v>5545.1692799999992</v>
      </c>
      <c r="O47" s="127">
        <f t="shared" si="28"/>
        <v>5520.0000000000009</v>
      </c>
      <c r="P47" s="127">
        <f t="shared" si="28"/>
        <v>5504.9999999999991</v>
      </c>
      <c r="Q47" s="127">
        <f t="shared" si="28"/>
        <v>7902.1403999999993</v>
      </c>
      <c r="R47" s="128">
        <f t="shared" si="28"/>
        <v>24472.309679999995</v>
      </c>
      <c r="S47" s="127">
        <f t="shared" si="28"/>
        <v>5574.9999999999982</v>
      </c>
      <c r="T47" s="127">
        <f t="shared" si="28"/>
        <v>5547.5999999999995</v>
      </c>
      <c r="U47" s="127">
        <f t="shared" si="28"/>
        <v>5532.5249999999987</v>
      </c>
      <c r="V47" s="127">
        <f t="shared" si="28"/>
        <v>7941.6511019999989</v>
      </c>
      <c r="W47" s="128">
        <f t="shared" si="28"/>
        <v>24596.776102</v>
      </c>
    </row>
    <row r="48" spans="2:23" s="130" customFormat="1" outlineLevel="1" x14ac:dyDescent="0.3">
      <c r="B48" s="137" t="s">
        <v>172</v>
      </c>
      <c r="C48" s="138"/>
      <c r="D48" s="142"/>
      <c r="E48" s="142"/>
      <c r="F48" s="142"/>
      <c r="G48" s="142"/>
      <c r="H48" s="141"/>
      <c r="I48" s="29">
        <f>I46/D46-1</f>
        <v>-1.0000000000000009E-3</v>
      </c>
      <c r="J48" s="29">
        <f t="shared" ref="J48:K48" si="29">J46/E46-1</f>
        <v>-1.5000000000000013E-2</v>
      </c>
      <c r="K48" s="29">
        <f t="shared" si="29"/>
        <v>-3.6000000000000143E-2</v>
      </c>
      <c r="L48" s="29">
        <f>L46/G46-1</f>
        <v>-4.3000000000000149E-2</v>
      </c>
      <c r="M48" s="38">
        <f>M46/H46-1</f>
        <v>-2.561290322580656E-2</v>
      </c>
      <c r="N48" s="29">
        <f>N46/I46-1</f>
        <v>-5.6000000000000161E-2</v>
      </c>
      <c r="O48" s="29">
        <f>O52</f>
        <v>-4.6928416036465262E-2</v>
      </c>
      <c r="P48" s="29">
        <f t="shared" ref="P48:Q48" si="30">P52</f>
        <v>-2.8812769921246466E-2</v>
      </c>
      <c r="Q48" s="29">
        <f t="shared" si="30"/>
        <v>-1.7000000000000001E-2</v>
      </c>
      <c r="R48" s="155">
        <f>R46/M46-1</f>
        <v>-3.5499503409918587E-2</v>
      </c>
      <c r="S48" s="29">
        <f t="shared" ref="S48:V48" si="31">S52</f>
        <v>5.3795868969396038E-3</v>
      </c>
      <c r="T48" s="29">
        <f t="shared" si="31"/>
        <v>5.0000000000000001E-3</v>
      </c>
      <c r="U48" s="29">
        <f t="shared" si="31"/>
        <v>5.0000000000000001E-3</v>
      </c>
      <c r="V48" s="29">
        <f t="shared" si="31"/>
        <v>5.0000000000000001E-3</v>
      </c>
      <c r="W48" s="38">
        <f>W46/R46-1</f>
        <v>5.0860104186130073E-3</v>
      </c>
    </row>
    <row r="49" spans="1:25" s="130" customFormat="1" outlineLevel="1" x14ac:dyDescent="0.3">
      <c r="B49" s="304" t="s">
        <v>164</v>
      </c>
      <c r="C49" s="305"/>
      <c r="D49" s="151"/>
      <c r="E49" s="151"/>
      <c r="F49" s="151"/>
      <c r="G49" s="151"/>
      <c r="H49" s="152"/>
      <c r="I49" s="153">
        <f>I48-I52</f>
        <v>0</v>
      </c>
      <c r="J49" s="153">
        <f t="shared" ref="J49:V49" si="32">J48-J52</f>
        <v>-1.3877787807814457E-17</v>
      </c>
      <c r="K49" s="153">
        <f t="shared" si="32"/>
        <v>-1.457167719820518E-16</v>
      </c>
      <c r="L49" s="153">
        <f t="shared" si="32"/>
        <v>-1.5265566588595902E-16</v>
      </c>
      <c r="M49" s="208">
        <f t="shared" si="32"/>
        <v>-6.1290322580655893E-4</v>
      </c>
      <c r="N49" s="153">
        <f>N48-N52</f>
        <v>-1.5959455978986625E-16</v>
      </c>
      <c r="O49" s="153">
        <f>O48-O52</f>
        <v>0</v>
      </c>
      <c r="P49" s="153">
        <f t="shared" si="32"/>
        <v>0</v>
      </c>
      <c r="Q49" s="153">
        <f>Q48-Q52</f>
        <v>0</v>
      </c>
      <c r="R49" s="210">
        <f>R48-R52</f>
        <v>-4.9950340991858355E-4</v>
      </c>
      <c r="S49" s="153">
        <f t="shared" si="32"/>
        <v>0</v>
      </c>
      <c r="T49" s="153">
        <f t="shared" si="32"/>
        <v>0</v>
      </c>
      <c r="U49" s="153">
        <f t="shared" si="32"/>
        <v>0</v>
      </c>
      <c r="V49" s="153">
        <f t="shared" si="32"/>
        <v>0</v>
      </c>
      <c r="W49" s="208"/>
    </row>
    <row r="50" spans="1:25" s="130" customFormat="1" outlineLevel="1" x14ac:dyDescent="0.3">
      <c r="B50" s="302" t="s">
        <v>158</v>
      </c>
      <c r="C50" s="303"/>
      <c r="D50" s="143"/>
      <c r="E50" s="143"/>
      <c r="F50" s="143"/>
      <c r="G50" s="143"/>
      <c r="H50" s="144">
        <v>7.0000000000000001E-3</v>
      </c>
      <c r="I50" s="145">
        <v>-7.0000000000000001E-3</v>
      </c>
      <c r="J50" s="145">
        <v>-2.1000000000000001E-2</v>
      </c>
      <c r="K50" s="145">
        <v>-3.9E-2</v>
      </c>
      <c r="L50" s="145">
        <v>-4.8000000000000001E-2</v>
      </c>
      <c r="M50" s="146">
        <v>-0.03</v>
      </c>
      <c r="N50" s="145">
        <v>-6.0999999999999999E-2</v>
      </c>
      <c r="O50" s="145">
        <f>O52-O51</f>
        <v>-5.1928416036465259E-2</v>
      </c>
      <c r="P50" s="145">
        <f t="shared" ref="P50:Q50" si="33">P52-P51</f>
        <v>-3.3812769921246467E-2</v>
      </c>
      <c r="Q50" s="145">
        <f t="shared" si="33"/>
        <v>-2.2000000000000002E-2</v>
      </c>
      <c r="R50" s="154">
        <v>-0.04</v>
      </c>
      <c r="S50" s="145">
        <f t="shared" ref="S50:U50" si="34">S52-S51</f>
        <v>3.7958689693960365E-4</v>
      </c>
      <c r="T50" s="145">
        <f t="shared" si="34"/>
        <v>0</v>
      </c>
      <c r="U50" s="145">
        <f t="shared" si="34"/>
        <v>0</v>
      </c>
      <c r="V50" s="145">
        <f>V52-V51</f>
        <v>0</v>
      </c>
      <c r="W50" s="38"/>
    </row>
    <row r="51" spans="1:25" s="130" customFormat="1" ht="14.4" customHeight="1" outlineLevel="1" x14ac:dyDescent="0.3">
      <c r="B51" s="321" t="s">
        <v>159</v>
      </c>
      <c r="C51" s="322"/>
      <c r="D51" s="117"/>
      <c r="E51" s="117"/>
      <c r="F51" s="117"/>
      <c r="G51" s="117"/>
      <c r="H51" s="115">
        <v>7.0000000000000001E-3</v>
      </c>
      <c r="I51" s="29">
        <v>6.0000000000000001E-3</v>
      </c>
      <c r="J51" s="29">
        <v>6.0000000000000001E-3</v>
      </c>
      <c r="K51" s="29">
        <v>3.0000000000000001E-3</v>
      </c>
      <c r="L51" s="29">
        <v>5.0000000000000001E-3</v>
      </c>
      <c r="M51" s="38">
        <v>5.0000000000000001E-3</v>
      </c>
      <c r="N51" s="29">
        <v>5.0000000000000001E-3</v>
      </c>
      <c r="O51" s="209">
        <v>5.0000000000000001E-3</v>
      </c>
      <c r="P51" s="209">
        <v>5.0000000000000001E-3</v>
      </c>
      <c r="Q51" s="209">
        <v>5.0000000000000001E-3</v>
      </c>
      <c r="R51" s="155">
        <f>AVERAGE(N51:Q51)</f>
        <v>5.0000000000000001E-3</v>
      </c>
      <c r="S51" s="209">
        <v>5.0000000000000001E-3</v>
      </c>
      <c r="T51" s="209">
        <v>5.0000000000000001E-3</v>
      </c>
      <c r="U51" s="209">
        <v>5.0000000000000001E-3</v>
      </c>
      <c r="V51" s="209">
        <v>5.0000000000000001E-3</v>
      </c>
      <c r="W51" s="38"/>
    </row>
    <row r="52" spans="1:25" s="130" customFormat="1" outlineLevel="1" x14ac:dyDescent="0.3">
      <c r="B52" s="323" t="s">
        <v>160</v>
      </c>
      <c r="C52" s="324"/>
      <c r="D52" s="211"/>
      <c r="E52" s="211"/>
      <c r="F52" s="211"/>
      <c r="G52" s="211"/>
      <c r="H52" s="212">
        <v>1.4E-2</v>
      </c>
      <c r="I52" s="153">
        <v>-1E-3</v>
      </c>
      <c r="J52" s="153">
        <v>-1.4999999999999999E-2</v>
      </c>
      <c r="K52" s="153">
        <v>-3.5999999999999997E-2</v>
      </c>
      <c r="L52" s="153">
        <v>-4.2999999999999997E-2</v>
      </c>
      <c r="M52" s="210">
        <v>-2.5000000000000001E-2</v>
      </c>
      <c r="N52" s="153">
        <v>-5.6000000000000001E-2</v>
      </c>
      <c r="O52" s="213">
        <v>-4.6928416036465262E-2</v>
      </c>
      <c r="P52" s="213">
        <v>-2.8812769921246466E-2</v>
      </c>
      <c r="Q52" s="213">
        <v>-1.7000000000000001E-2</v>
      </c>
      <c r="R52" s="214">
        <v>-3.5000000000000003E-2</v>
      </c>
      <c r="S52" s="213">
        <v>5.3795868969396038E-3</v>
      </c>
      <c r="T52" s="213">
        <v>5.0000000000000001E-3</v>
      </c>
      <c r="U52" s="213">
        <v>5.0000000000000001E-3</v>
      </c>
      <c r="V52" s="213">
        <v>5.0000000000000001E-3</v>
      </c>
      <c r="W52" s="210"/>
    </row>
    <row r="53" spans="1:25" s="130" customFormat="1" outlineLevel="1" x14ac:dyDescent="0.3">
      <c r="B53" s="193" t="s">
        <v>166</v>
      </c>
      <c r="C53" s="194"/>
      <c r="D53" s="215">
        <f>D41-D45</f>
        <v>20</v>
      </c>
      <c r="E53" s="110">
        <f t="shared" ref="E53:G53" si="35">E41-E45</f>
        <v>20</v>
      </c>
      <c r="F53" s="110">
        <f t="shared" si="35"/>
        <v>20</v>
      </c>
      <c r="G53" s="110">
        <f t="shared" si="35"/>
        <v>3</v>
      </c>
      <c r="H53" s="30">
        <f>G53</f>
        <v>3</v>
      </c>
      <c r="I53" s="110">
        <f t="shared" ref="I53:L53" si="36">I41-I45</f>
        <v>45</v>
      </c>
      <c r="J53" s="110">
        <f t="shared" si="36"/>
        <v>45</v>
      </c>
      <c r="K53" s="110">
        <f t="shared" si="36"/>
        <v>60</v>
      </c>
      <c r="L53" s="110">
        <f t="shared" si="36"/>
        <v>30</v>
      </c>
      <c r="M53" s="30">
        <f>L53</f>
        <v>30</v>
      </c>
      <c r="N53" s="110">
        <f>N41-N45</f>
        <v>30</v>
      </c>
      <c r="O53" s="110">
        <f>N53</f>
        <v>30</v>
      </c>
      <c r="P53" s="110">
        <f>O53</f>
        <v>30</v>
      </c>
      <c r="Q53" s="110">
        <f>P53</f>
        <v>30</v>
      </c>
      <c r="R53" s="30">
        <f>Q53</f>
        <v>30</v>
      </c>
      <c r="S53" s="110">
        <f>Q53</f>
        <v>30</v>
      </c>
      <c r="T53" s="110">
        <f>S53</f>
        <v>30</v>
      </c>
      <c r="U53" s="110">
        <f>T53</f>
        <v>30</v>
      </c>
      <c r="V53" s="110">
        <f>U53</f>
        <v>30</v>
      </c>
      <c r="W53" s="30">
        <f>V53</f>
        <v>30</v>
      </c>
    </row>
    <row r="54" spans="1:25" s="130" customFormat="1" ht="16.2" outlineLevel="1" x14ac:dyDescent="0.45">
      <c r="B54" s="193" t="s">
        <v>168</v>
      </c>
      <c r="C54" s="194"/>
      <c r="D54" s="222">
        <f>D55/D53</f>
        <v>26.95</v>
      </c>
      <c r="E54" s="223">
        <f t="shared" ref="E54:W54" si="37">E55/E53</f>
        <v>26.35</v>
      </c>
      <c r="F54" s="223">
        <f t="shared" si="37"/>
        <v>22.75</v>
      </c>
      <c r="G54" s="223">
        <f t="shared" si="37"/>
        <v>388</v>
      </c>
      <c r="H54" s="224">
        <f t="shared" si="37"/>
        <v>895</v>
      </c>
      <c r="I54" s="223">
        <f t="shared" si="37"/>
        <v>7.9528888888888911</v>
      </c>
      <c r="J54" s="223">
        <f t="shared" si="37"/>
        <v>6.9377777777777938</v>
      </c>
      <c r="K54" s="223">
        <f t="shared" si="37"/>
        <v>3.4280000000000048</v>
      </c>
      <c r="L54" s="223">
        <f t="shared" si="37"/>
        <v>27.673333333333389</v>
      </c>
      <c r="M54" s="224">
        <f t="shared" si="37"/>
        <v>56.865333333333425</v>
      </c>
      <c r="N54" s="223">
        <f t="shared" si="37"/>
        <v>7.527690666666695</v>
      </c>
      <c r="O54" s="227">
        <v>7</v>
      </c>
      <c r="P54" s="227">
        <v>3.5</v>
      </c>
      <c r="Q54" s="227">
        <v>26.595320000000012</v>
      </c>
      <c r="R54" s="224">
        <f t="shared" si="37"/>
        <v>44.623010666666836</v>
      </c>
      <c r="S54" s="227">
        <v>7.5</v>
      </c>
      <c r="T54" s="227">
        <v>7.5</v>
      </c>
      <c r="U54" s="227">
        <v>3.5</v>
      </c>
      <c r="V54" s="227">
        <v>25</v>
      </c>
      <c r="W54" s="224">
        <f t="shared" si="37"/>
        <v>43.499999999999879</v>
      </c>
    </row>
    <row r="55" spans="1:25" s="129" customFormat="1" ht="16.2" outlineLevel="1" x14ac:dyDescent="0.45">
      <c r="B55" s="195" t="s">
        <v>173</v>
      </c>
      <c r="C55" s="196"/>
      <c r="D55" s="225">
        <f t="shared" ref="D55:N55" si="38">D11-D47</f>
        <v>539</v>
      </c>
      <c r="E55" s="226">
        <f t="shared" si="38"/>
        <v>527</v>
      </c>
      <c r="F55" s="226">
        <f t="shared" si="38"/>
        <v>455</v>
      </c>
      <c r="G55" s="226">
        <f t="shared" si="38"/>
        <v>1164</v>
      </c>
      <c r="H55" s="37">
        <f t="shared" si="38"/>
        <v>2685</v>
      </c>
      <c r="I55" s="226">
        <f t="shared" si="38"/>
        <v>357.88000000000011</v>
      </c>
      <c r="J55" s="226">
        <f t="shared" si="38"/>
        <v>312.20000000000073</v>
      </c>
      <c r="K55" s="226">
        <f t="shared" si="38"/>
        <v>205.68000000000029</v>
      </c>
      <c r="L55" s="226">
        <f t="shared" si="38"/>
        <v>830.20000000000164</v>
      </c>
      <c r="M55" s="37">
        <f t="shared" si="38"/>
        <v>1705.9600000000028</v>
      </c>
      <c r="N55" s="226">
        <f t="shared" si="38"/>
        <v>225.83072000000084</v>
      </c>
      <c r="O55" s="226">
        <f>O53*O54</f>
        <v>210</v>
      </c>
      <c r="P55" s="226">
        <f t="shared" ref="P55:Q55" si="39">P53*P54</f>
        <v>105</v>
      </c>
      <c r="Q55" s="226">
        <f t="shared" si="39"/>
        <v>797.85960000000034</v>
      </c>
      <c r="R55" s="37">
        <f>R11-R47</f>
        <v>1338.6903200000052</v>
      </c>
      <c r="S55" s="226">
        <f t="shared" ref="S55:V55" si="40">S53*S54</f>
        <v>225</v>
      </c>
      <c r="T55" s="226">
        <f t="shared" si="40"/>
        <v>225</v>
      </c>
      <c r="U55" s="226">
        <f t="shared" si="40"/>
        <v>105</v>
      </c>
      <c r="V55" s="226">
        <f t="shared" si="40"/>
        <v>750</v>
      </c>
      <c r="W55" s="37">
        <f>W11-W47</f>
        <v>1304.9999999999964</v>
      </c>
    </row>
    <row r="56" spans="1:25" s="129" customFormat="1" outlineLevel="1" x14ac:dyDescent="0.3">
      <c r="B56" s="195" t="s">
        <v>169</v>
      </c>
      <c r="C56" s="196"/>
      <c r="D56" s="216">
        <f t="shared" ref="D56:W56" si="41">D11/D41</f>
        <v>7.4749999999999996</v>
      </c>
      <c r="E56" s="216">
        <f t="shared" si="41"/>
        <v>7.4607142857142854</v>
      </c>
      <c r="F56" s="216">
        <f t="shared" si="41"/>
        <v>7.375</v>
      </c>
      <c r="G56" s="216">
        <f t="shared" si="41"/>
        <v>11.377885783718105</v>
      </c>
      <c r="H56" s="217">
        <f t="shared" si="41"/>
        <v>34.149453219927096</v>
      </c>
      <c r="I56" s="216">
        <f t="shared" si="41"/>
        <v>7.0418079096045201</v>
      </c>
      <c r="J56" s="216">
        <f t="shared" si="41"/>
        <v>6.8971751412429381</v>
      </c>
      <c r="K56" s="216">
        <f t="shared" si="41"/>
        <v>6.5266666666666664</v>
      </c>
      <c r="L56" s="216">
        <f t="shared" si="41"/>
        <v>10.194252873563219</v>
      </c>
      <c r="M56" s="217">
        <f t="shared" si="41"/>
        <v>31.125287356321838</v>
      </c>
      <c r="N56" s="13">
        <f t="shared" si="41"/>
        <v>6.6333333333333337</v>
      </c>
      <c r="O56" s="13">
        <f t="shared" si="41"/>
        <v>6.5862068965517251</v>
      </c>
      <c r="P56" s="13">
        <f t="shared" si="41"/>
        <v>6.4482758620689644</v>
      </c>
      <c r="Q56" s="13">
        <f t="shared" si="41"/>
        <v>10</v>
      </c>
      <c r="R56" s="217">
        <f t="shared" si="41"/>
        <v>29.667816091954023</v>
      </c>
      <c r="S56" s="13">
        <f t="shared" si="41"/>
        <v>6.6666666666666643</v>
      </c>
      <c r="T56" s="13">
        <f t="shared" si="41"/>
        <v>6.6351724137931027</v>
      </c>
      <c r="U56" s="13">
        <f t="shared" si="41"/>
        <v>6.4799137931034467</v>
      </c>
      <c r="V56" s="13">
        <f t="shared" si="41"/>
        <v>9.9904035655172407</v>
      </c>
      <c r="W56" s="217">
        <f t="shared" si="41"/>
        <v>29.772156439080455</v>
      </c>
    </row>
    <row r="57" spans="1:25" s="114" customFormat="1" ht="15" customHeight="1" x14ac:dyDescent="0.3">
      <c r="B57" s="271" t="s">
        <v>40</v>
      </c>
      <c r="C57" s="272"/>
      <c r="D57" s="273"/>
      <c r="E57" s="274"/>
      <c r="F57" s="274"/>
      <c r="G57" s="274"/>
      <c r="H57" s="275"/>
      <c r="I57" s="274"/>
      <c r="J57" s="274"/>
      <c r="K57" s="274"/>
      <c r="L57" s="274"/>
      <c r="M57" s="275"/>
      <c r="N57" s="274"/>
      <c r="O57" s="274"/>
      <c r="P57" s="274"/>
      <c r="Q57" s="274"/>
      <c r="R57" s="275"/>
      <c r="S57" s="274"/>
      <c r="T57" s="274"/>
      <c r="U57" s="274"/>
      <c r="V57" s="274"/>
      <c r="W57" s="275"/>
    </row>
    <row r="58" spans="1:25" s="46" customFormat="1" outlineLevel="1" x14ac:dyDescent="0.3">
      <c r="A58" s="61"/>
      <c r="B58" s="285" t="s">
        <v>29</v>
      </c>
      <c r="C58" s="286"/>
      <c r="D58" s="29">
        <f t="shared" ref="D58:N58" si="42">D13/D11</f>
        <v>0.38907469342251949</v>
      </c>
      <c r="E58" s="29">
        <f t="shared" si="42"/>
        <v>0.4140737194830062</v>
      </c>
      <c r="F58" s="29">
        <f t="shared" si="42"/>
        <v>0.39209039548022601</v>
      </c>
      <c r="G58" s="29">
        <f t="shared" si="42"/>
        <v>0.40313968389577104</v>
      </c>
      <c r="H58" s="38">
        <f t="shared" si="42"/>
        <v>0.4</v>
      </c>
      <c r="I58" s="29">
        <f t="shared" si="42"/>
        <v>0.3902439024390244</v>
      </c>
      <c r="J58" s="29">
        <f t="shared" si="42"/>
        <v>0.40858453473132372</v>
      </c>
      <c r="K58" s="29">
        <f t="shared" si="42"/>
        <v>0.39785495403472931</v>
      </c>
      <c r="L58" s="29">
        <f t="shared" si="42"/>
        <v>0.37433758033600179</v>
      </c>
      <c r="M58" s="38">
        <f t="shared" si="42"/>
        <v>0.39081945418959341</v>
      </c>
      <c r="N58" s="29">
        <f t="shared" si="42"/>
        <v>0.39074683763645818</v>
      </c>
      <c r="O58" s="31">
        <v>0.39500000000000002</v>
      </c>
      <c r="P58" s="31">
        <v>0.38750000000000001</v>
      </c>
      <c r="Q58" s="31">
        <v>0.374</v>
      </c>
      <c r="R58" s="38">
        <f>R13/R11</f>
        <v>0.38534055247762589</v>
      </c>
      <c r="S58" s="31">
        <v>0.38400000000000001</v>
      </c>
      <c r="T58" s="31">
        <v>0.39</v>
      </c>
      <c r="U58" s="31">
        <v>0.39</v>
      </c>
      <c r="V58" s="31">
        <v>0.38</v>
      </c>
      <c r="W58" s="38">
        <f>W13/W11</f>
        <v>0.38530084305644963</v>
      </c>
      <c r="Y58" s="61"/>
    </row>
    <row r="59" spans="1:25" s="49" customFormat="1" outlineLevel="1" x14ac:dyDescent="0.3">
      <c r="A59" s="61"/>
      <c r="B59" s="133" t="s">
        <v>194</v>
      </c>
      <c r="C59" s="249"/>
      <c r="D59" s="250">
        <f t="shared" ref="D59:N59" si="43">D14/D11</f>
        <v>0.31852205765249242</v>
      </c>
      <c r="E59" s="29">
        <f t="shared" si="43"/>
        <v>0.32296154459869159</v>
      </c>
      <c r="F59" s="29">
        <f t="shared" si="43"/>
        <v>0.32397094430992734</v>
      </c>
      <c r="G59" s="29">
        <f t="shared" si="43"/>
        <v>0.24818453652285349</v>
      </c>
      <c r="H59" s="38">
        <f t="shared" si="43"/>
        <v>0.29727806440135207</v>
      </c>
      <c r="I59" s="29">
        <f t="shared" si="43"/>
        <v>0.32605905006418484</v>
      </c>
      <c r="J59" s="29">
        <f t="shared" si="43"/>
        <v>0.33715596330275227</v>
      </c>
      <c r="K59" s="29">
        <f t="shared" si="43"/>
        <v>0.33503575076608783</v>
      </c>
      <c r="L59" s="29">
        <f t="shared" si="43"/>
        <v>0.24884428909685422</v>
      </c>
      <c r="M59" s="38">
        <f t="shared" si="43"/>
        <v>0.3048857047896894</v>
      </c>
      <c r="N59" s="29">
        <f t="shared" si="43"/>
        <v>0.34066886154912496</v>
      </c>
      <c r="O59" s="31">
        <v>0.34</v>
      </c>
      <c r="P59" s="31">
        <v>0.34</v>
      </c>
      <c r="Q59" s="31">
        <v>0.25</v>
      </c>
      <c r="R59" s="38">
        <f>R14/R11</f>
        <v>0.30981364534500794</v>
      </c>
      <c r="S59" s="31">
        <v>0.33500000000000002</v>
      </c>
      <c r="T59" s="31">
        <v>0.34</v>
      </c>
      <c r="U59" s="31">
        <v>0.34</v>
      </c>
      <c r="V59" s="31">
        <v>0.245</v>
      </c>
      <c r="W59" s="38">
        <f>W14/W11</f>
        <v>0.30700199819023211</v>
      </c>
      <c r="Y59" s="61"/>
    </row>
    <row r="60" spans="1:25" s="49" customFormat="1" outlineLevel="1" x14ac:dyDescent="0.3">
      <c r="A60" s="61"/>
      <c r="B60" s="197" t="s">
        <v>193</v>
      </c>
      <c r="C60" s="134"/>
      <c r="D60" s="29">
        <f t="shared" ref="D60:N60" si="44">D15/D11</f>
        <v>0</v>
      </c>
      <c r="E60" s="29">
        <f t="shared" si="44"/>
        <v>0</v>
      </c>
      <c r="F60" s="29">
        <f t="shared" si="44"/>
        <v>0</v>
      </c>
      <c r="G60" s="29">
        <f t="shared" si="44"/>
        <v>9.2909013242204186E-3</v>
      </c>
      <c r="H60" s="38">
        <f t="shared" si="44"/>
        <v>3.0955346023839175E-3</v>
      </c>
      <c r="I60" s="29">
        <f t="shared" si="44"/>
        <v>-1.4441591784338896E-3</v>
      </c>
      <c r="J60" s="29">
        <f t="shared" si="44"/>
        <v>0</v>
      </c>
      <c r="K60" s="29">
        <f t="shared" si="44"/>
        <v>1.8896833503575076E-2</v>
      </c>
      <c r="L60" s="29">
        <f t="shared" si="44"/>
        <v>1.9957154132371181E-2</v>
      </c>
      <c r="M60" s="38">
        <f t="shared" si="44"/>
        <v>1.0635547841500795E-2</v>
      </c>
      <c r="N60" s="29">
        <f t="shared" si="44"/>
        <v>2.2526425229596257E-3</v>
      </c>
      <c r="O60" s="31">
        <v>1E-3</v>
      </c>
      <c r="P60" s="31">
        <v>1E-3</v>
      </c>
      <c r="Q60" s="31">
        <v>1E-3</v>
      </c>
      <c r="R60" s="38">
        <f>R15/R11</f>
        <v>1.2800743868893107E-3</v>
      </c>
      <c r="S60" s="31">
        <v>1E-3</v>
      </c>
      <c r="T60" s="31">
        <v>1E-3</v>
      </c>
      <c r="U60" s="31">
        <v>1E-3</v>
      </c>
      <c r="V60" s="31">
        <v>1E-3</v>
      </c>
      <c r="W60" s="38">
        <f>W15/W11</f>
        <v>1E-3</v>
      </c>
      <c r="Y60" s="61"/>
    </row>
    <row r="61" spans="1:25" s="49" customFormat="1" outlineLevel="1" x14ac:dyDescent="0.3">
      <c r="A61" s="61"/>
      <c r="B61" s="133" t="s">
        <v>38</v>
      </c>
      <c r="C61" s="134"/>
      <c r="D61" s="66"/>
      <c r="E61" s="66">
        <f>AVERAGE(E20,D20)</f>
        <v>-100</v>
      </c>
      <c r="F61" s="66">
        <f>AVERAGE(F20,E20)</f>
        <v>-98.5</v>
      </c>
      <c r="G61" s="66">
        <f>AVERAGE(G20,F20)</f>
        <v>-97</v>
      </c>
      <c r="H61" s="67"/>
      <c r="I61" s="66">
        <f>AVERAGE(I20,G20)</f>
        <v>-96</v>
      </c>
      <c r="J61" s="66">
        <f>AVERAGE(J20,I20)</f>
        <v>-94</v>
      </c>
      <c r="K61" s="66">
        <f>AVERAGE(K20,J20)</f>
        <v>-86.5</v>
      </c>
      <c r="L61" s="66">
        <f>AVERAGE(L20,K20)</f>
        <v>-86.5</v>
      </c>
      <c r="M61" s="67"/>
      <c r="N61" s="66">
        <f>AVERAGE(N20,L20)</f>
        <v>-95.5</v>
      </c>
      <c r="O61" s="69">
        <f>N61</f>
        <v>-95.5</v>
      </c>
      <c r="P61" s="69">
        <f>O61</f>
        <v>-95.5</v>
      </c>
      <c r="Q61" s="69">
        <f>P61</f>
        <v>-95.5</v>
      </c>
      <c r="R61" s="67"/>
      <c r="S61" s="69">
        <f>Q61</f>
        <v>-95.5</v>
      </c>
      <c r="T61" s="69">
        <f>S61</f>
        <v>-95.5</v>
      </c>
      <c r="U61" s="69">
        <f>T61</f>
        <v>-95.5</v>
      </c>
      <c r="V61" s="69">
        <f>U61</f>
        <v>-95.5</v>
      </c>
      <c r="W61" s="67"/>
      <c r="X61" s="68"/>
      <c r="Y61" s="199"/>
    </row>
    <row r="62" spans="1:25" s="46" customFormat="1" outlineLevel="1" x14ac:dyDescent="0.3">
      <c r="A62" s="61"/>
      <c r="B62" s="285" t="s">
        <v>30</v>
      </c>
      <c r="C62" s="286"/>
      <c r="D62" s="29">
        <f t="shared" ref="D62:N62" si="45">D23/D22</f>
        <v>0.34693877551020408</v>
      </c>
      <c r="E62" s="29">
        <f t="shared" si="45"/>
        <v>0.38004246284501064</v>
      </c>
      <c r="F62" s="29">
        <f t="shared" si="45"/>
        <v>0.33435582822085891</v>
      </c>
      <c r="G62" s="29">
        <f t="shared" si="45"/>
        <v>0.36559999999999998</v>
      </c>
      <c r="H62" s="38">
        <f t="shared" si="45"/>
        <v>0.36150627615062764</v>
      </c>
      <c r="I62" s="29">
        <f t="shared" si="45"/>
        <v>0.38535031847133761</v>
      </c>
      <c r="J62" s="29">
        <f t="shared" si="45"/>
        <v>0.36734693877551022</v>
      </c>
      <c r="K62" s="29">
        <f t="shared" si="45"/>
        <v>0.34269662921348315</v>
      </c>
      <c r="L62" s="29">
        <f t="shared" si="45"/>
        <v>0.35587188612099646</v>
      </c>
      <c r="M62" s="38">
        <f t="shared" si="45"/>
        <v>0.36233611442193087</v>
      </c>
      <c r="N62" s="29">
        <f t="shared" si="45"/>
        <v>0.3539325842696629</v>
      </c>
      <c r="O62" s="31">
        <v>0.36</v>
      </c>
      <c r="P62" s="31">
        <v>0.36</v>
      </c>
      <c r="Q62" s="31">
        <v>0.36</v>
      </c>
      <c r="R62" s="29">
        <f>R23/R22</f>
        <v>0.35929498624243961</v>
      </c>
      <c r="S62" s="31">
        <v>0.36</v>
      </c>
      <c r="T62" s="31">
        <v>0.36</v>
      </c>
      <c r="U62" s="31">
        <v>0.36</v>
      </c>
      <c r="V62" s="31">
        <v>0.36</v>
      </c>
      <c r="W62" s="29">
        <f>W23/W22</f>
        <v>0.36000000000000026</v>
      </c>
      <c r="Y62" s="61"/>
    </row>
    <row r="63" spans="1:25" s="49" customFormat="1" outlineLevel="1" x14ac:dyDescent="0.3">
      <c r="A63" s="61"/>
      <c r="B63" s="133" t="s">
        <v>33</v>
      </c>
      <c r="C63" s="134"/>
      <c r="D63" s="29">
        <f t="shared" ref="D63:W63" si="46">D17/D11</f>
        <v>7.0552635770027072E-2</v>
      </c>
      <c r="E63" s="29">
        <f t="shared" si="46"/>
        <v>9.1112174884314667E-2</v>
      </c>
      <c r="F63" s="29">
        <f t="shared" si="46"/>
        <v>6.8119451170298634E-2</v>
      </c>
      <c r="G63" s="29">
        <f t="shared" si="46"/>
        <v>0.14566424604869713</v>
      </c>
      <c r="H63" s="38">
        <f t="shared" si="46"/>
        <v>9.9626400996264006E-2</v>
      </c>
      <c r="I63" s="29">
        <f t="shared" si="46"/>
        <v>6.5629011553273428E-2</v>
      </c>
      <c r="J63" s="29">
        <f t="shared" si="46"/>
        <v>7.1428571428571425E-2</v>
      </c>
      <c r="K63" s="29">
        <f t="shared" si="46"/>
        <v>4.3922369765066395E-2</v>
      </c>
      <c r="L63" s="29">
        <f t="shared" si="46"/>
        <v>0.10553613710677641</v>
      </c>
      <c r="M63" s="38">
        <f t="shared" si="46"/>
        <v>7.5298201558403194E-2</v>
      </c>
      <c r="N63" s="29">
        <f t="shared" si="46"/>
        <v>4.7825333564373594E-2</v>
      </c>
      <c r="O63" s="29">
        <f t="shared" si="46"/>
        <v>5.3999999999999965E-2</v>
      </c>
      <c r="P63" s="29">
        <f t="shared" si="46"/>
        <v>4.6499999999999972E-2</v>
      </c>
      <c r="Q63" s="29">
        <f t="shared" si="46"/>
        <v>0.12300000000000004</v>
      </c>
      <c r="R63" s="38">
        <f t="shared" si="46"/>
        <v>7.4246832745728603E-2</v>
      </c>
      <c r="S63" s="29">
        <f t="shared" si="46"/>
        <v>4.7999999999999994E-2</v>
      </c>
      <c r="T63" s="29">
        <f t="shared" si="46"/>
        <v>4.8999999999999981E-2</v>
      </c>
      <c r="U63" s="29">
        <f t="shared" si="46"/>
        <v>4.9000000000000002E-2</v>
      </c>
      <c r="V63" s="29">
        <f t="shared" si="46"/>
        <v>0.13400000000000004</v>
      </c>
      <c r="W63" s="38">
        <f t="shared" si="46"/>
        <v>7.7298844866217534E-2</v>
      </c>
      <c r="Y63" s="61"/>
    </row>
    <row r="64" spans="1:25" s="49" customFormat="1" outlineLevel="1" x14ac:dyDescent="0.3">
      <c r="A64" s="61"/>
      <c r="B64" s="133" t="s">
        <v>34</v>
      </c>
      <c r="C64" s="134"/>
      <c r="D64" s="29">
        <f t="shared" ref="D64:W64" si="47">D19/D11</f>
        <v>7.0552635770027072E-2</v>
      </c>
      <c r="E64" s="29">
        <f t="shared" si="47"/>
        <v>9.1112174884314667E-2</v>
      </c>
      <c r="F64" s="29">
        <f t="shared" si="47"/>
        <v>6.8119451170298634E-2</v>
      </c>
      <c r="G64" s="29">
        <f t="shared" si="47"/>
        <v>0.15495514737291755</v>
      </c>
      <c r="H64" s="38">
        <f t="shared" si="47"/>
        <v>0.10272193559864792</v>
      </c>
      <c r="I64" s="29">
        <f t="shared" si="47"/>
        <v>6.5629011553273428E-2</v>
      </c>
      <c r="J64" s="29">
        <f t="shared" si="47"/>
        <v>7.1428571428571425E-2</v>
      </c>
      <c r="K64" s="29">
        <f t="shared" si="47"/>
        <v>6.2819203268641474E-2</v>
      </c>
      <c r="L64" s="29">
        <f t="shared" si="47"/>
        <v>0.1254932912391476</v>
      </c>
      <c r="M64" s="38">
        <f t="shared" si="47"/>
        <v>8.5933749399903989E-2</v>
      </c>
      <c r="N64" s="29">
        <f t="shared" si="47"/>
        <v>5.007797608733322E-2</v>
      </c>
      <c r="O64" s="29">
        <f t="shared" si="47"/>
        <v>5.626876090750433E-2</v>
      </c>
      <c r="P64" s="29">
        <f t="shared" si="47"/>
        <v>4.8817290552584637E-2</v>
      </c>
      <c r="Q64" s="29">
        <f t="shared" si="47"/>
        <v>0.12449425287356326</v>
      </c>
      <c r="R64" s="38">
        <f t="shared" si="47"/>
        <v>7.6261477664561664E-2</v>
      </c>
      <c r="S64" s="29">
        <f t="shared" si="47"/>
        <v>5.0241379310344822E-2</v>
      </c>
      <c r="T64" s="29">
        <f t="shared" si="47"/>
        <v>5.1252018154730954E-2</v>
      </c>
      <c r="U64" s="29">
        <f t="shared" si="47"/>
        <v>5.1305976470170864E-2</v>
      </c>
      <c r="V64" s="29">
        <f t="shared" si="47"/>
        <v>0.13549568820094596</v>
      </c>
      <c r="W64" s="38">
        <f t="shared" si="47"/>
        <v>7.9306429203107265E-2</v>
      </c>
      <c r="Y64" s="61"/>
    </row>
    <row r="65" spans="1:38" s="46" customFormat="1" x14ac:dyDescent="0.3">
      <c r="A65" s="61"/>
      <c r="B65" s="325" t="s">
        <v>42</v>
      </c>
      <c r="C65" s="326"/>
      <c r="D65" s="187"/>
      <c r="E65" s="187"/>
      <c r="F65" s="187"/>
      <c r="G65" s="187"/>
      <c r="H65" s="188"/>
      <c r="I65" s="187"/>
      <c r="J65" s="187"/>
      <c r="K65" s="187"/>
      <c r="L65" s="187"/>
      <c r="M65" s="188"/>
      <c r="N65" s="187"/>
      <c r="O65" s="187"/>
      <c r="P65" s="187"/>
      <c r="Q65" s="187"/>
      <c r="R65" s="188"/>
      <c r="S65" s="187"/>
      <c r="T65" s="187"/>
      <c r="U65" s="187"/>
      <c r="V65" s="187"/>
      <c r="W65" s="188"/>
      <c r="Y65" s="61"/>
    </row>
    <row r="66" spans="1:38" s="49" customFormat="1" ht="15" customHeight="1" outlineLevel="1" x14ac:dyDescent="0.3">
      <c r="A66" s="61"/>
      <c r="B66" s="133" t="s">
        <v>190</v>
      </c>
      <c r="C66" s="202"/>
      <c r="D66" s="41">
        <v>0</v>
      </c>
      <c r="E66" s="41">
        <v>0</v>
      </c>
      <c r="F66" s="41">
        <v>0</v>
      </c>
      <c r="G66" s="189">
        <v>87</v>
      </c>
      <c r="H66" s="30">
        <f>SUM(D66:G66)</f>
        <v>87</v>
      </c>
      <c r="I66" s="190">
        <v>0</v>
      </c>
      <c r="J66" s="41">
        <v>0</v>
      </c>
      <c r="K66" s="41">
        <v>111</v>
      </c>
      <c r="L66" s="189">
        <v>177</v>
      </c>
      <c r="M66" s="30">
        <f>SUM(I66:L66)</f>
        <v>288</v>
      </c>
      <c r="N66" s="190">
        <v>13</v>
      </c>
      <c r="O66" s="110">
        <f t="shared" ref="O66:Q67" si="48">N66</f>
        <v>13</v>
      </c>
      <c r="P66" s="110">
        <f t="shared" si="48"/>
        <v>13</v>
      </c>
      <c r="Q66" s="269">
        <f t="shared" si="48"/>
        <v>13</v>
      </c>
      <c r="R66" s="30"/>
      <c r="S66" s="270">
        <f>Q66</f>
        <v>13</v>
      </c>
      <c r="T66" s="110">
        <f t="shared" ref="T66:V67" si="49">S66</f>
        <v>13</v>
      </c>
      <c r="U66" s="110">
        <f t="shared" si="49"/>
        <v>13</v>
      </c>
      <c r="V66" s="269">
        <f t="shared" si="49"/>
        <v>13</v>
      </c>
      <c r="W66" s="30"/>
      <c r="X66" s="42"/>
      <c r="Y66" s="61"/>
    </row>
    <row r="67" spans="1:38" s="49" customFormat="1" ht="15" customHeight="1" outlineLevel="1" x14ac:dyDescent="0.3">
      <c r="A67" s="61"/>
      <c r="B67" s="133" t="s">
        <v>191</v>
      </c>
      <c r="C67" s="202"/>
      <c r="D67" s="41">
        <v>0</v>
      </c>
      <c r="E67" s="41">
        <v>0</v>
      </c>
      <c r="F67" s="41">
        <v>0</v>
      </c>
      <c r="G67" s="189">
        <f>87-54-10</f>
        <v>23</v>
      </c>
      <c r="H67" s="30">
        <f>SUM(D67:G67)</f>
        <v>23</v>
      </c>
      <c r="I67" s="190">
        <v>0</v>
      </c>
      <c r="J67" s="41">
        <v>0</v>
      </c>
      <c r="K67" s="41">
        <f>111-68</f>
        <v>43</v>
      </c>
      <c r="L67" s="189">
        <f>177-115</f>
        <v>62</v>
      </c>
      <c r="M67" s="30">
        <f>SUM(I67:L67)</f>
        <v>105</v>
      </c>
      <c r="N67" s="190">
        <f>13-9</f>
        <v>4</v>
      </c>
      <c r="O67" s="110">
        <f t="shared" si="48"/>
        <v>4</v>
      </c>
      <c r="P67" s="110">
        <f t="shared" si="48"/>
        <v>4</v>
      </c>
      <c r="Q67" s="269">
        <f t="shared" si="48"/>
        <v>4</v>
      </c>
      <c r="R67" s="30"/>
      <c r="S67" s="270">
        <f>Q67</f>
        <v>4</v>
      </c>
      <c r="T67" s="110">
        <f t="shared" si="49"/>
        <v>4</v>
      </c>
      <c r="U67" s="110">
        <f t="shared" si="49"/>
        <v>4</v>
      </c>
      <c r="V67" s="269">
        <f t="shared" si="49"/>
        <v>4</v>
      </c>
      <c r="W67" s="30"/>
      <c r="X67" s="42"/>
      <c r="Y67" s="61"/>
    </row>
    <row r="68" spans="1:38" s="49" customFormat="1" ht="15" customHeight="1" x14ac:dyDescent="0.3">
      <c r="A68" s="61"/>
      <c r="B68" s="201" t="s">
        <v>18</v>
      </c>
      <c r="C68" s="184"/>
      <c r="D68" s="185"/>
      <c r="E68" s="185"/>
      <c r="F68" s="185"/>
      <c r="G68" s="185"/>
      <c r="H68" s="186"/>
      <c r="I68" s="185"/>
      <c r="J68" s="185"/>
      <c r="K68" s="185"/>
      <c r="L68" s="185"/>
      <c r="M68" s="186"/>
      <c r="N68" s="185"/>
      <c r="O68" s="185"/>
      <c r="P68" s="185"/>
      <c r="Q68" s="185"/>
      <c r="R68" s="186"/>
      <c r="S68" s="185"/>
      <c r="T68" s="185"/>
      <c r="U68" s="185"/>
      <c r="V68" s="185"/>
      <c r="W68" s="186"/>
      <c r="X68" s="42"/>
      <c r="Y68" s="61"/>
    </row>
    <row r="69" spans="1:38" s="27" customFormat="1" ht="15" customHeight="1" outlineLevel="1" x14ac:dyDescent="0.45">
      <c r="A69" s="61"/>
      <c r="B69" s="285" t="s">
        <v>19</v>
      </c>
      <c r="C69" s="286"/>
      <c r="D69" s="2"/>
      <c r="E69" s="29"/>
      <c r="F69" s="29"/>
      <c r="G69" s="29"/>
      <c r="H69" s="38"/>
      <c r="I69" s="111">
        <f>(I29+I73)/G29-1</f>
        <v>6.7472463638595936E-3</v>
      </c>
      <c r="J69" s="111">
        <f>(J29+J73)/I29-1</f>
        <v>8.8055303969807319E-3</v>
      </c>
      <c r="K69" s="111">
        <f>(K29+K73)/J29-1</f>
        <v>1.8766836084044503E-2</v>
      </c>
      <c r="L69" s="111">
        <f>(L29+L73)/K29-1</f>
        <v>-1.5731522137034215E-2</v>
      </c>
      <c r="M69" s="10"/>
      <c r="N69" s="111">
        <f>(N29+N73)/L29-1</f>
        <v>4.4846236775266668E-3</v>
      </c>
      <c r="O69" s="31">
        <f t="shared" ref="O69:Q70" si="50">N69</f>
        <v>4.4846236775266668E-3</v>
      </c>
      <c r="P69" s="31">
        <f t="shared" si="50"/>
        <v>4.4846236775266668E-3</v>
      </c>
      <c r="Q69" s="31">
        <f t="shared" si="50"/>
        <v>4.4846236775266668E-3</v>
      </c>
      <c r="R69" s="10"/>
      <c r="S69" s="31">
        <f>Q69</f>
        <v>4.4846236775266668E-3</v>
      </c>
      <c r="T69" s="31">
        <f t="shared" ref="T69:V70" si="51">S69</f>
        <v>4.4846236775266668E-3</v>
      </c>
      <c r="U69" s="31">
        <f t="shared" si="51"/>
        <v>4.4846236775266668E-3</v>
      </c>
      <c r="V69" s="31">
        <f t="shared" si="51"/>
        <v>4.4846236775266668E-3</v>
      </c>
      <c r="W69" s="10"/>
      <c r="Y69" s="61"/>
    </row>
    <row r="70" spans="1:38" s="27" customFormat="1" ht="15" customHeight="1" outlineLevel="1" x14ac:dyDescent="0.45">
      <c r="A70" s="61"/>
      <c r="B70" s="285" t="s">
        <v>20</v>
      </c>
      <c r="C70" s="286"/>
      <c r="D70" s="2"/>
      <c r="E70" s="29"/>
      <c r="F70" s="29"/>
      <c r="G70" s="29"/>
      <c r="H70" s="38"/>
      <c r="I70" s="111">
        <f>(I30+I73)/G30-1</f>
        <v>4.340487099107726E-3</v>
      </c>
      <c r="J70" s="111">
        <f>(J30+J73)/I30-1</f>
        <v>7.5037350829765259E-3</v>
      </c>
      <c r="K70" s="111">
        <f>(K30+K73)/J30-1</f>
        <v>1.553804419060012E-2</v>
      </c>
      <c r="L70" s="111">
        <f>(L30+L73)/K30-1</f>
        <v>-2.0981086294137641E-2</v>
      </c>
      <c r="M70" s="10"/>
      <c r="N70" s="111">
        <f>(N30+N73)/L30-1</f>
        <v>5.4005702418165047E-3</v>
      </c>
      <c r="O70" s="31">
        <f t="shared" si="50"/>
        <v>5.4005702418165047E-3</v>
      </c>
      <c r="P70" s="31">
        <f t="shared" si="50"/>
        <v>5.4005702418165047E-3</v>
      </c>
      <c r="Q70" s="31">
        <f t="shared" si="50"/>
        <v>5.4005702418165047E-3</v>
      </c>
      <c r="R70" s="10"/>
      <c r="S70" s="31">
        <f>Q70</f>
        <v>5.4005702418165047E-3</v>
      </c>
      <c r="T70" s="31">
        <f t="shared" si="51"/>
        <v>5.4005702418165047E-3</v>
      </c>
      <c r="U70" s="31">
        <f t="shared" si="51"/>
        <v>5.4005702418165047E-3</v>
      </c>
      <c r="V70" s="31">
        <f t="shared" si="51"/>
        <v>5.4005702418165047E-3</v>
      </c>
      <c r="W70" s="10"/>
      <c r="Y70" s="61"/>
    </row>
    <row r="71" spans="1:38" s="61" customFormat="1" ht="15" customHeight="1" outlineLevel="1" x14ac:dyDescent="0.45">
      <c r="B71" s="285" t="s">
        <v>21</v>
      </c>
      <c r="C71" s="286"/>
      <c r="D71" s="109"/>
      <c r="E71" s="2"/>
      <c r="F71" s="2"/>
      <c r="G71" s="2"/>
      <c r="H71" s="10"/>
      <c r="I71" s="258">
        <v>65</v>
      </c>
      <c r="J71" s="258">
        <v>68.999618723189045</v>
      </c>
      <c r="K71" s="258">
        <v>53.892128846378689</v>
      </c>
      <c r="L71" s="258">
        <v>20.419576320980436</v>
      </c>
      <c r="M71" s="261">
        <f>(I71*I72/M72)+(J71*J72/M72)+(K71*K72/M72)+(L71*L72/M72)</f>
        <v>57.472048218630498</v>
      </c>
      <c r="N71" s="258">
        <v>42.998573706869287</v>
      </c>
      <c r="O71" s="259">
        <v>35</v>
      </c>
      <c r="P71" s="259">
        <v>35</v>
      </c>
      <c r="Q71" s="259">
        <v>35</v>
      </c>
      <c r="R71" s="261">
        <f>(N71*N72/R72)+(O71*O72/R72)+(P71*P72/R72)+(Q71*Q72/R72)</f>
        <v>36.782065644535649</v>
      </c>
      <c r="S71" s="259">
        <v>35</v>
      </c>
      <c r="T71" s="259">
        <v>35</v>
      </c>
      <c r="U71" s="259">
        <v>35</v>
      </c>
      <c r="V71" s="259">
        <v>35</v>
      </c>
      <c r="W71" s="261">
        <f>(S71*S72/W72)+(T71*T72/W72)+(U71*U72/W72)+(V71*V72/W72)</f>
        <v>35</v>
      </c>
      <c r="X71" s="16"/>
    </row>
    <row r="72" spans="1:38" s="61" customFormat="1" ht="15" customHeight="1" outlineLevel="1" x14ac:dyDescent="0.45">
      <c r="B72" s="285" t="s">
        <v>22</v>
      </c>
      <c r="C72" s="286"/>
      <c r="D72" s="109"/>
      <c r="E72" s="2"/>
      <c r="F72" s="2"/>
      <c r="G72" s="2"/>
      <c r="H72" s="10"/>
      <c r="I72" s="41">
        <v>385</v>
      </c>
      <c r="J72" s="39">
        <v>552</v>
      </c>
      <c r="K72" s="41">
        <v>900</v>
      </c>
      <c r="L72" s="41">
        <v>163</v>
      </c>
      <c r="M72" s="30">
        <f>SUM(I72:L72)</f>
        <v>2000</v>
      </c>
      <c r="N72" s="41">
        <v>129</v>
      </c>
      <c r="O72" s="110">
        <v>150</v>
      </c>
      <c r="P72" s="110">
        <v>150</v>
      </c>
      <c r="Q72" s="110">
        <v>150</v>
      </c>
      <c r="R72" s="30">
        <f>SUM(N72:Q72)</f>
        <v>579</v>
      </c>
      <c r="S72" s="110">
        <v>150</v>
      </c>
      <c r="T72" s="110">
        <v>150</v>
      </c>
      <c r="U72" s="110">
        <v>150</v>
      </c>
      <c r="V72" s="110">
        <v>150</v>
      </c>
      <c r="W72" s="30">
        <f>SUM(S72:V72)</f>
        <v>600</v>
      </c>
      <c r="X72" s="16"/>
    </row>
    <row r="73" spans="1:38" s="61" customFormat="1" ht="15" customHeight="1" x14ac:dyDescent="0.45">
      <c r="B73" s="287" t="s">
        <v>23</v>
      </c>
      <c r="C73" s="288"/>
      <c r="D73" s="253">
        <f>IF((D72)&gt;0,(D72/D71),0)</f>
        <v>0</v>
      </c>
      <c r="E73" s="253">
        <f>IF((E72)&gt;0,(E72/E71),0)</f>
        <v>0</v>
      </c>
      <c r="F73" s="253">
        <f>IF((F72)&gt;0,(F72/F71),0)</f>
        <v>0</v>
      </c>
      <c r="G73" s="253">
        <f>IF((G72)&gt;0,(G72/G71),0)</f>
        <v>0</v>
      </c>
      <c r="H73" s="108"/>
      <c r="I73" s="253">
        <f t="shared" ref="I73:W73" si="52">IF((I72)&gt;0,(I72/I71),0)</f>
        <v>5.9230769230769234</v>
      </c>
      <c r="J73" s="253">
        <f t="shared" si="52"/>
        <v>8.0000442062513404</v>
      </c>
      <c r="K73" s="253">
        <f t="shared" si="52"/>
        <v>16.700026873413741</v>
      </c>
      <c r="L73" s="253">
        <f t="shared" si="52"/>
        <v>7.982535848822824</v>
      </c>
      <c r="M73" s="260">
        <f t="shared" si="52"/>
        <v>34.799525369128354</v>
      </c>
      <c r="N73" s="253">
        <f t="shared" si="52"/>
        <v>3.000099512123851</v>
      </c>
      <c r="O73" s="253">
        <f t="shared" si="52"/>
        <v>4.2857142857142856</v>
      </c>
      <c r="P73" s="253">
        <f t="shared" si="52"/>
        <v>4.2857142857142856</v>
      </c>
      <c r="Q73" s="253">
        <f t="shared" si="52"/>
        <v>4.2857142857142856</v>
      </c>
      <c r="R73" s="260">
        <f t="shared" si="52"/>
        <v>15.741367154185816</v>
      </c>
      <c r="S73" s="253">
        <f t="shared" si="52"/>
        <v>4.2857142857142856</v>
      </c>
      <c r="T73" s="253">
        <f t="shared" si="52"/>
        <v>4.2857142857142856</v>
      </c>
      <c r="U73" s="253">
        <f t="shared" si="52"/>
        <v>4.2857142857142856</v>
      </c>
      <c r="V73" s="253">
        <f t="shared" si="52"/>
        <v>4.2857142857142856</v>
      </c>
      <c r="W73" s="260">
        <f t="shared" si="52"/>
        <v>17.142857142857142</v>
      </c>
      <c r="X73" s="16"/>
    </row>
    <row r="74" spans="1:38" s="49" customFormat="1" ht="15" customHeight="1" x14ac:dyDescent="0.3">
      <c r="A74" s="61"/>
      <c r="B74" s="23"/>
      <c r="C74" s="85"/>
      <c r="D74" s="41"/>
      <c r="E74" s="41"/>
      <c r="F74" s="41"/>
      <c r="G74" s="41"/>
      <c r="H74" s="41"/>
      <c r="I74" s="41"/>
      <c r="J74" s="41"/>
      <c r="K74" s="41"/>
      <c r="L74" s="41"/>
      <c r="M74" s="41"/>
      <c r="N74" s="41"/>
      <c r="O74" s="41"/>
      <c r="P74" s="41"/>
      <c r="Q74" s="41"/>
      <c r="R74" s="41"/>
      <c r="S74" s="41"/>
      <c r="T74" s="41"/>
      <c r="U74" s="41"/>
      <c r="V74" s="41"/>
      <c r="W74" s="41"/>
      <c r="X74" s="65"/>
      <c r="Y74" s="61"/>
    </row>
    <row r="75" spans="1:38" s="49" customFormat="1" ht="15.6" x14ac:dyDescent="0.3">
      <c r="A75" s="61"/>
      <c r="B75" s="291" t="s">
        <v>55</v>
      </c>
      <c r="C75" s="292"/>
      <c r="D75" s="86"/>
      <c r="E75" s="86"/>
      <c r="F75" s="86"/>
      <c r="G75" s="86"/>
      <c r="H75" s="86"/>
      <c r="I75" s="86"/>
      <c r="J75" s="86"/>
      <c r="K75" s="86"/>
      <c r="L75" s="86"/>
      <c r="M75" s="86"/>
      <c r="N75" s="86"/>
      <c r="O75" s="86"/>
      <c r="P75" s="86"/>
      <c r="Q75" s="86"/>
      <c r="R75" s="86"/>
      <c r="S75" s="86"/>
      <c r="T75" s="86"/>
      <c r="U75" s="86"/>
      <c r="V75" s="86"/>
      <c r="W75" s="86"/>
      <c r="X75" s="86"/>
      <c r="Y75" s="200"/>
      <c r="Z75" s="86"/>
      <c r="AA75" s="86"/>
      <c r="AB75" s="86"/>
      <c r="AC75" s="86"/>
      <c r="AD75" s="86"/>
      <c r="AE75" s="86"/>
      <c r="AF75" s="86"/>
      <c r="AG75" s="86"/>
      <c r="AH75" s="86"/>
      <c r="AI75" s="86"/>
      <c r="AJ75" s="86"/>
      <c r="AK75" s="86"/>
      <c r="AL75" s="86"/>
    </row>
    <row r="76" spans="1:38" s="49" customFormat="1" outlineLevel="1" x14ac:dyDescent="0.3">
      <c r="A76" s="61"/>
      <c r="B76" s="293" t="s">
        <v>0</v>
      </c>
      <c r="C76" s="294"/>
      <c r="D76" s="52" t="s">
        <v>174</v>
      </c>
      <c r="E76" s="52" t="s">
        <v>175</v>
      </c>
      <c r="F76" s="52" t="s">
        <v>176</v>
      </c>
      <c r="G76" s="52" t="s">
        <v>177</v>
      </c>
      <c r="H76" s="52" t="s">
        <v>177</v>
      </c>
      <c r="I76" s="52" t="s">
        <v>178</v>
      </c>
      <c r="J76" s="52" t="s">
        <v>179</v>
      </c>
      <c r="K76" s="52" t="s">
        <v>180</v>
      </c>
      <c r="L76" s="52" t="s">
        <v>181</v>
      </c>
      <c r="M76" s="52" t="s">
        <v>181</v>
      </c>
      <c r="N76" s="52" t="s">
        <v>185</v>
      </c>
      <c r="Y76" s="61"/>
    </row>
    <row r="77" spans="1:38" s="49" customFormat="1" ht="16.2" outlineLevel="1" x14ac:dyDescent="0.45">
      <c r="A77" s="61"/>
      <c r="B77" s="293"/>
      <c r="C77" s="294"/>
      <c r="D77" s="53" t="s">
        <v>85</v>
      </c>
      <c r="E77" s="53" t="s">
        <v>86</v>
      </c>
      <c r="F77" s="53" t="s">
        <v>87</v>
      </c>
      <c r="G77" s="53" t="s">
        <v>88</v>
      </c>
      <c r="H77" s="53" t="s">
        <v>13</v>
      </c>
      <c r="I77" s="53" t="s">
        <v>89</v>
      </c>
      <c r="J77" s="53" t="s">
        <v>90</v>
      </c>
      <c r="K77" s="53" t="s">
        <v>91</v>
      </c>
      <c r="L77" s="53" t="s">
        <v>92</v>
      </c>
      <c r="M77" s="53" t="s">
        <v>45</v>
      </c>
      <c r="N77" s="53" t="s">
        <v>161</v>
      </c>
      <c r="Y77" s="61"/>
    </row>
    <row r="78" spans="1:38" s="49" customFormat="1" outlineLevel="1" x14ac:dyDescent="0.3">
      <c r="A78" s="61"/>
      <c r="B78" s="283" t="s">
        <v>102</v>
      </c>
      <c r="C78" s="284"/>
      <c r="D78" s="87"/>
      <c r="E78" s="88"/>
      <c r="F78" s="88"/>
      <c r="G78" s="89"/>
      <c r="H78" s="90"/>
      <c r="I78" s="91"/>
      <c r="J78" s="92"/>
      <c r="K78" s="93"/>
      <c r="L78" s="93"/>
      <c r="M78" s="94"/>
      <c r="N78" s="94"/>
      <c r="Y78" s="61"/>
    </row>
    <row r="79" spans="1:38" s="49" customFormat="1" outlineLevel="1" x14ac:dyDescent="0.3">
      <c r="A79" s="61"/>
      <c r="B79" s="285" t="s">
        <v>56</v>
      </c>
      <c r="C79" s="286"/>
      <c r="D79" s="97">
        <v>1878</v>
      </c>
      <c r="E79" s="109">
        <v>1630</v>
      </c>
      <c r="F79" s="109">
        <v>1048</v>
      </c>
      <c r="G79" s="229">
        <v>2246</v>
      </c>
      <c r="H79" s="230">
        <f>G79</f>
        <v>2246</v>
      </c>
      <c r="I79" s="160">
        <v>1509</v>
      </c>
      <c r="J79" s="160">
        <v>843</v>
      </c>
      <c r="K79" s="231">
        <v>474</v>
      </c>
      <c r="L79" s="160">
        <v>1109</v>
      </c>
      <c r="M79" s="100">
        <v>1109</v>
      </c>
      <c r="N79" s="100">
        <v>734</v>
      </c>
      <c r="Y79" s="61"/>
    </row>
    <row r="80" spans="1:38" s="49" customFormat="1" outlineLevel="1" x14ac:dyDescent="0.3">
      <c r="A80" s="61"/>
      <c r="B80" s="285" t="s">
        <v>103</v>
      </c>
      <c r="C80" s="286"/>
      <c r="D80" s="97">
        <v>275</v>
      </c>
      <c r="E80" s="109">
        <v>352</v>
      </c>
      <c r="F80" s="109">
        <v>292</v>
      </c>
      <c r="G80" s="229">
        <v>424</v>
      </c>
      <c r="H80" s="230">
        <f>G80</f>
        <v>424</v>
      </c>
      <c r="I80" s="160">
        <v>259</v>
      </c>
      <c r="J80" s="160">
        <v>334</v>
      </c>
      <c r="K80" s="160">
        <v>200</v>
      </c>
      <c r="L80" s="160">
        <v>558</v>
      </c>
      <c r="M80" s="100">
        <v>558</v>
      </c>
      <c r="N80" s="100">
        <v>436</v>
      </c>
      <c r="Y80" s="61"/>
    </row>
    <row r="81" spans="1:25" s="49" customFormat="1" outlineLevel="1" x14ac:dyDescent="0.3">
      <c r="A81" s="61"/>
      <c r="B81" s="285" t="s">
        <v>104</v>
      </c>
      <c r="C81" s="286"/>
      <c r="D81" s="97">
        <v>5897</v>
      </c>
      <c r="E81" s="109">
        <v>5416</v>
      </c>
      <c r="F81" s="109">
        <v>7789</v>
      </c>
      <c r="G81" s="229">
        <v>5516</v>
      </c>
      <c r="H81" s="230">
        <f>G81</f>
        <v>5516</v>
      </c>
      <c r="I81" s="160">
        <v>6055</v>
      </c>
      <c r="J81" s="160">
        <v>5622</v>
      </c>
      <c r="K81" s="160">
        <v>8145</v>
      </c>
      <c r="L81" s="160">
        <v>5506</v>
      </c>
      <c r="M81" s="100">
        <v>5506</v>
      </c>
      <c r="N81" s="100">
        <v>5738</v>
      </c>
      <c r="Y81" s="61"/>
    </row>
    <row r="82" spans="1:25" s="49" customFormat="1" outlineLevel="1" x14ac:dyDescent="0.3">
      <c r="A82" s="61"/>
      <c r="B82" s="285" t="s">
        <v>68</v>
      </c>
      <c r="C82" s="286"/>
      <c r="D82" s="97">
        <v>454</v>
      </c>
      <c r="E82" s="109">
        <v>399</v>
      </c>
      <c r="F82" s="109">
        <v>424</v>
      </c>
      <c r="G82" s="229">
        <v>493</v>
      </c>
      <c r="H82" s="230">
        <f>G82</f>
        <v>493</v>
      </c>
      <c r="I82" s="160">
        <v>471</v>
      </c>
      <c r="J82" s="160">
        <v>437</v>
      </c>
      <c r="K82" s="160">
        <v>425</v>
      </c>
      <c r="L82" s="160">
        <v>479</v>
      </c>
      <c r="M82" s="100">
        <v>479</v>
      </c>
      <c r="N82" s="100">
        <f>19+490</f>
        <v>509</v>
      </c>
      <c r="Y82" s="61"/>
    </row>
    <row r="83" spans="1:25" s="49" customFormat="1" outlineLevel="1" x14ac:dyDescent="0.3">
      <c r="A83" s="61"/>
      <c r="B83" s="289" t="s">
        <v>57</v>
      </c>
      <c r="C83" s="290"/>
      <c r="D83" s="167">
        <f t="shared" ref="D83:M83" si="53">SUM(D79:D82)</f>
        <v>8504</v>
      </c>
      <c r="E83" s="167">
        <f t="shared" si="53"/>
        <v>7797</v>
      </c>
      <c r="F83" s="167">
        <f t="shared" si="53"/>
        <v>9553</v>
      </c>
      <c r="G83" s="168">
        <f t="shared" si="53"/>
        <v>8679</v>
      </c>
      <c r="H83" s="169">
        <f t="shared" si="53"/>
        <v>8679</v>
      </c>
      <c r="I83" s="170">
        <f t="shared" si="53"/>
        <v>8294</v>
      </c>
      <c r="J83" s="170">
        <f t="shared" si="53"/>
        <v>7236</v>
      </c>
      <c r="K83" s="170">
        <f t="shared" si="53"/>
        <v>9244</v>
      </c>
      <c r="L83" s="170">
        <f t="shared" si="53"/>
        <v>7652</v>
      </c>
      <c r="M83" s="232">
        <f t="shared" si="53"/>
        <v>7652</v>
      </c>
      <c r="N83" s="232">
        <f t="shared" ref="N83" si="54">SUM(N79:N82)</f>
        <v>7417</v>
      </c>
      <c r="Y83" s="61"/>
    </row>
    <row r="84" spans="1:25" s="49" customFormat="1" outlineLevel="1" x14ac:dyDescent="0.3">
      <c r="A84" s="61"/>
      <c r="B84" s="285" t="s">
        <v>139</v>
      </c>
      <c r="C84" s="286"/>
      <c r="D84" s="97">
        <v>7792</v>
      </c>
      <c r="E84" s="109">
        <v>7771</v>
      </c>
      <c r="F84" s="109">
        <v>7787</v>
      </c>
      <c r="G84" s="229">
        <v>7800</v>
      </c>
      <c r="H84" s="230">
        <f>G84</f>
        <v>7800</v>
      </c>
      <c r="I84" s="160">
        <v>7712</v>
      </c>
      <c r="J84" s="160">
        <v>7704</v>
      </c>
      <c r="K84" s="160">
        <v>7629</v>
      </c>
      <c r="L84" s="160">
        <v>7616</v>
      </c>
      <c r="M84" s="100">
        <v>7616</v>
      </c>
      <c r="N84" s="100">
        <v>7475</v>
      </c>
      <c r="Y84" s="61"/>
    </row>
    <row r="85" spans="1:25" s="49" customFormat="1" outlineLevel="1" x14ac:dyDescent="0.3">
      <c r="A85" s="61"/>
      <c r="B85" s="133" t="s">
        <v>79</v>
      </c>
      <c r="C85" s="134"/>
      <c r="D85" s="97">
        <v>3743</v>
      </c>
      <c r="E85" s="109">
        <v>3743</v>
      </c>
      <c r="F85" s="109">
        <v>3743</v>
      </c>
      <c r="G85" s="229">
        <v>3743</v>
      </c>
      <c r="H85" s="230">
        <f>G85</f>
        <v>3743</v>
      </c>
      <c r="I85" s="160">
        <v>3897</v>
      </c>
      <c r="J85" s="160">
        <v>3897</v>
      </c>
      <c r="K85" s="160">
        <v>3897</v>
      </c>
      <c r="L85" s="160">
        <v>3897</v>
      </c>
      <c r="M85" s="100">
        <v>3897</v>
      </c>
      <c r="N85" s="100">
        <v>3897</v>
      </c>
      <c r="Y85" s="61"/>
    </row>
    <row r="86" spans="1:25" s="49" customFormat="1" outlineLevel="1" x14ac:dyDescent="0.3">
      <c r="A86" s="61"/>
      <c r="B86" s="133" t="s">
        <v>105</v>
      </c>
      <c r="C86" s="134"/>
      <c r="D86" s="97">
        <v>519</v>
      </c>
      <c r="E86" s="109">
        <v>512</v>
      </c>
      <c r="F86" s="109">
        <v>504</v>
      </c>
      <c r="G86" s="229">
        <v>496</v>
      </c>
      <c r="H86" s="230">
        <f>G86</f>
        <v>496</v>
      </c>
      <c r="I86" s="160">
        <v>531</v>
      </c>
      <c r="J86" s="160">
        <v>523</v>
      </c>
      <c r="K86" s="160">
        <v>518</v>
      </c>
      <c r="L86" s="160">
        <v>514</v>
      </c>
      <c r="M86" s="100">
        <v>514</v>
      </c>
      <c r="N86" s="100">
        <v>511</v>
      </c>
      <c r="Y86" s="61"/>
    </row>
    <row r="87" spans="1:25" s="49" customFormat="1" outlineLevel="1" x14ac:dyDescent="0.3">
      <c r="A87" s="61"/>
      <c r="B87" s="285" t="s">
        <v>80</v>
      </c>
      <c r="C87" s="286"/>
      <c r="D87" s="97">
        <v>760</v>
      </c>
      <c r="E87" s="109">
        <v>796</v>
      </c>
      <c r="F87" s="109">
        <v>838</v>
      </c>
      <c r="G87" s="229">
        <v>743</v>
      </c>
      <c r="H87" s="230">
        <f>G87</f>
        <v>743</v>
      </c>
      <c r="I87" s="160">
        <v>741</v>
      </c>
      <c r="J87" s="160">
        <v>756</v>
      </c>
      <c r="K87" s="160">
        <v>798</v>
      </c>
      <c r="L87" s="160">
        <v>897</v>
      </c>
      <c r="M87" s="100">
        <v>897</v>
      </c>
      <c r="N87" s="100">
        <v>898</v>
      </c>
      <c r="Y87" s="61"/>
    </row>
    <row r="88" spans="1:25" s="49" customFormat="1" outlineLevel="1" x14ac:dyDescent="0.3">
      <c r="A88" s="61"/>
      <c r="B88" s="289" t="s">
        <v>58</v>
      </c>
      <c r="C88" s="290"/>
      <c r="D88" s="167">
        <f t="shared" ref="D88:I88" si="55">SUM(D83:D87)</f>
        <v>21318</v>
      </c>
      <c r="E88" s="167">
        <f t="shared" si="55"/>
        <v>20619</v>
      </c>
      <c r="F88" s="167">
        <f t="shared" si="55"/>
        <v>22425</v>
      </c>
      <c r="G88" s="168">
        <f t="shared" si="55"/>
        <v>21461</v>
      </c>
      <c r="H88" s="169">
        <f t="shared" si="55"/>
        <v>21461</v>
      </c>
      <c r="I88" s="170">
        <f t="shared" si="55"/>
        <v>21175</v>
      </c>
      <c r="J88" s="170">
        <f>SUM(J83:J87)</f>
        <v>20116</v>
      </c>
      <c r="K88" s="170">
        <f>SUM(K83:K87)</f>
        <v>22086</v>
      </c>
      <c r="L88" s="170">
        <f>SUM(L83:L87)</f>
        <v>20576</v>
      </c>
      <c r="M88" s="232">
        <f>SUM(M83:M87)</f>
        <v>20576</v>
      </c>
      <c r="N88" s="232">
        <f>SUM(N83:N87)</f>
        <v>20198</v>
      </c>
      <c r="Y88" s="61"/>
    </row>
    <row r="89" spans="1:25" s="49" customFormat="1" ht="6.75" customHeight="1" outlineLevel="1" x14ac:dyDescent="0.3">
      <c r="A89" s="61"/>
      <c r="B89" s="281"/>
      <c r="C89" s="282"/>
      <c r="D89" s="97"/>
      <c r="E89" s="109"/>
      <c r="F89" s="109"/>
      <c r="G89" s="229"/>
      <c r="H89" s="230"/>
      <c r="I89" s="160"/>
      <c r="J89" s="160"/>
      <c r="K89" s="160"/>
      <c r="L89" s="160"/>
      <c r="M89" s="100"/>
      <c r="N89" s="100"/>
      <c r="Y89" s="61"/>
    </row>
    <row r="90" spans="1:25" s="49" customFormat="1" outlineLevel="1" x14ac:dyDescent="0.3">
      <c r="A90" s="61"/>
      <c r="B90" s="283" t="s">
        <v>106</v>
      </c>
      <c r="C90" s="284"/>
      <c r="D90" s="97"/>
      <c r="E90" s="109"/>
      <c r="F90" s="109"/>
      <c r="G90" s="229"/>
      <c r="H90" s="230"/>
      <c r="I90" s="160"/>
      <c r="J90" s="160"/>
      <c r="K90" s="160"/>
      <c r="L90" s="160"/>
      <c r="M90" s="100"/>
      <c r="N90" s="100"/>
      <c r="Y90" s="61"/>
    </row>
    <row r="91" spans="1:25" s="49" customFormat="1" outlineLevel="1" x14ac:dyDescent="0.3">
      <c r="A91" s="61"/>
      <c r="B91" s="285" t="s">
        <v>107</v>
      </c>
      <c r="C91" s="286"/>
      <c r="D91" s="156">
        <v>8</v>
      </c>
      <c r="E91" s="157">
        <v>483</v>
      </c>
      <c r="F91" s="157">
        <v>76</v>
      </c>
      <c r="G91" s="158">
        <v>76</v>
      </c>
      <c r="H91" s="159">
        <f>G91</f>
        <v>76</v>
      </c>
      <c r="I91" s="160">
        <v>76</v>
      </c>
      <c r="J91" s="160">
        <v>83</v>
      </c>
      <c r="K91" s="160">
        <v>857</v>
      </c>
      <c r="L91" s="160">
        <v>642</v>
      </c>
      <c r="M91" s="100">
        <v>642</v>
      </c>
      <c r="N91" s="100">
        <v>642</v>
      </c>
      <c r="Y91" s="61"/>
    </row>
    <row r="92" spans="1:25" s="49" customFormat="1" outlineLevel="1" x14ac:dyDescent="0.3">
      <c r="A92" s="61"/>
      <c r="B92" s="285" t="s">
        <v>108</v>
      </c>
      <c r="C92" s="286"/>
      <c r="D92" s="156">
        <v>2390</v>
      </c>
      <c r="E92" s="157">
        <v>1990</v>
      </c>
      <c r="F92" s="157">
        <v>3814</v>
      </c>
      <c r="G92" s="158">
        <v>1693</v>
      </c>
      <c r="H92" s="159">
        <f>G92</f>
        <v>1693</v>
      </c>
      <c r="I92" s="160">
        <v>2512</v>
      </c>
      <c r="J92" s="160">
        <v>2067</v>
      </c>
      <c r="K92" s="160">
        <v>3776</v>
      </c>
      <c r="L92" s="160">
        <v>1526</v>
      </c>
      <c r="M92" s="100">
        <v>1526</v>
      </c>
      <c r="N92" s="100">
        <v>2052</v>
      </c>
      <c r="Y92" s="61"/>
    </row>
    <row r="93" spans="1:25" s="49" customFormat="1" outlineLevel="1" x14ac:dyDescent="0.3">
      <c r="A93" s="61"/>
      <c r="B93" s="285" t="s">
        <v>109</v>
      </c>
      <c r="C93" s="286"/>
      <c r="D93" s="156">
        <v>2220</v>
      </c>
      <c r="E93" s="157">
        <v>2150</v>
      </c>
      <c r="F93" s="157">
        <v>2563</v>
      </c>
      <c r="G93" s="158">
        <v>3109</v>
      </c>
      <c r="H93" s="159">
        <f>G93</f>
        <v>3109</v>
      </c>
      <c r="I93" s="160">
        <v>2411</v>
      </c>
      <c r="J93" s="160">
        <v>2278</v>
      </c>
      <c r="K93" s="160">
        <v>2692</v>
      </c>
      <c r="L93" s="160">
        <v>3333</v>
      </c>
      <c r="M93" s="100">
        <v>3333</v>
      </c>
      <c r="N93" s="100">
        <v>2690</v>
      </c>
      <c r="Y93" s="61"/>
    </row>
    <row r="94" spans="1:25" s="49" customFormat="1" outlineLevel="1" x14ac:dyDescent="0.3">
      <c r="A94" s="61"/>
      <c r="B94" s="133" t="s">
        <v>110</v>
      </c>
      <c r="C94" s="134"/>
      <c r="D94" s="157">
        <v>105</v>
      </c>
      <c r="E94" s="157">
        <v>120</v>
      </c>
      <c r="F94" s="157">
        <v>114</v>
      </c>
      <c r="G94" s="158">
        <v>296</v>
      </c>
      <c r="H94" s="159">
        <v>296</v>
      </c>
      <c r="I94" s="160">
        <v>74</v>
      </c>
      <c r="J94" s="160">
        <v>64</v>
      </c>
      <c r="K94" s="160">
        <v>102</v>
      </c>
      <c r="L94" s="160">
        <v>227</v>
      </c>
      <c r="M94" s="100">
        <v>227</v>
      </c>
      <c r="N94" s="100">
        <v>0</v>
      </c>
      <c r="Y94" s="61"/>
    </row>
    <row r="95" spans="1:25" s="49" customFormat="1" outlineLevel="1" x14ac:dyDescent="0.3">
      <c r="A95" s="61"/>
      <c r="B95" s="133" t="s">
        <v>82</v>
      </c>
      <c r="C95" s="134"/>
      <c r="D95" s="157">
        <v>381</v>
      </c>
      <c r="E95" s="157">
        <v>393</v>
      </c>
      <c r="F95" s="157">
        <v>396</v>
      </c>
      <c r="G95" s="158">
        <v>362</v>
      </c>
      <c r="H95" s="159">
        <v>362</v>
      </c>
      <c r="I95" s="160">
        <v>370</v>
      </c>
      <c r="J95" s="160">
        <v>367</v>
      </c>
      <c r="K95" s="160">
        <v>375</v>
      </c>
      <c r="L95" s="160">
        <v>0</v>
      </c>
      <c r="M95" s="100">
        <v>0</v>
      </c>
      <c r="N95" s="100">
        <v>0</v>
      </c>
      <c r="Y95" s="61"/>
    </row>
    <row r="96" spans="1:25" s="49" customFormat="1" outlineLevel="1" x14ac:dyDescent="0.3">
      <c r="A96" s="61"/>
      <c r="B96" s="289" t="s">
        <v>59</v>
      </c>
      <c r="C96" s="290"/>
      <c r="D96" s="167">
        <f t="shared" ref="D96:M96" si="56">SUM(D91:D95)</f>
        <v>5104</v>
      </c>
      <c r="E96" s="167">
        <f t="shared" si="56"/>
        <v>5136</v>
      </c>
      <c r="F96" s="167">
        <f t="shared" si="56"/>
        <v>6963</v>
      </c>
      <c r="G96" s="168">
        <f t="shared" si="56"/>
        <v>5536</v>
      </c>
      <c r="H96" s="169">
        <f t="shared" si="56"/>
        <v>5536</v>
      </c>
      <c r="I96" s="170">
        <f t="shared" si="56"/>
        <v>5443</v>
      </c>
      <c r="J96" s="170">
        <f t="shared" si="56"/>
        <v>4859</v>
      </c>
      <c r="K96" s="170">
        <f t="shared" si="56"/>
        <v>7802</v>
      </c>
      <c r="L96" s="170">
        <f t="shared" si="56"/>
        <v>5728</v>
      </c>
      <c r="M96" s="232">
        <f t="shared" si="56"/>
        <v>5728</v>
      </c>
      <c r="N96" s="232">
        <f t="shared" ref="N96" si="57">SUM(N91:N95)</f>
        <v>5384</v>
      </c>
      <c r="Y96" s="61"/>
    </row>
    <row r="97" spans="1:25" s="50" customFormat="1" outlineLevel="1" x14ac:dyDescent="0.3">
      <c r="A97" s="130"/>
      <c r="B97" s="133" t="s">
        <v>111</v>
      </c>
      <c r="C97" s="134"/>
      <c r="D97" s="156">
        <v>7175</v>
      </c>
      <c r="E97" s="157">
        <v>6742</v>
      </c>
      <c r="F97" s="157">
        <v>7143</v>
      </c>
      <c r="G97" s="158">
        <v>7265</v>
      </c>
      <c r="H97" s="159">
        <f>G97</f>
        <v>7265</v>
      </c>
      <c r="I97" s="160">
        <v>7260</v>
      </c>
      <c r="J97" s="160">
        <v>7181</v>
      </c>
      <c r="K97" s="160">
        <v>7106</v>
      </c>
      <c r="L97" s="160">
        <v>6995</v>
      </c>
      <c r="M97" s="233">
        <v>6995</v>
      </c>
      <c r="N97" s="233">
        <v>6990</v>
      </c>
      <c r="Y97" s="130"/>
    </row>
    <row r="98" spans="1:25" s="50" customFormat="1" outlineLevel="1" x14ac:dyDescent="0.3">
      <c r="A98" s="130"/>
      <c r="B98" s="133" t="s">
        <v>112</v>
      </c>
      <c r="C98" s="134"/>
      <c r="D98" s="156">
        <v>1304</v>
      </c>
      <c r="E98" s="157">
        <v>1287</v>
      </c>
      <c r="F98" s="157">
        <v>1314</v>
      </c>
      <c r="G98" s="158">
        <v>1081</v>
      </c>
      <c r="H98" s="159">
        <f>G98</f>
        <v>1081</v>
      </c>
      <c r="I98" s="160">
        <v>1086</v>
      </c>
      <c r="J98" s="160">
        <v>1082</v>
      </c>
      <c r="K98" s="160">
        <v>1078</v>
      </c>
      <c r="L98" s="160">
        <v>1477</v>
      </c>
      <c r="M98" s="233">
        <v>1477</v>
      </c>
      <c r="N98" s="233">
        <v>1536</v>
      </c>
      <c r="Y98" s="130"/>
    </row>
    <row r="99" spans="1:25" s="50" customFormat="1" outlineLevel="1" x14ac:dyDescent="0.3">
      <c r="A99" s="130"/>
      <c r="B99" s="133" t="s">
        <v>113</v>
      </c>
      <c r="C99" s="134"/>
      <c r="D99" s="156">
        <v>1635</v>
      </c>
      <c r="E99" s="157">
        <v>1647</v>
      </c>
      <c r="F99" s="157">
        <v>1654</v>
      </c>
      <c r="G99" s="158">
        <v>2201</v>
      </c>
      <c r="H99" s="159">
        <f>G99</f>
        <v>2201</v>
      </c>
      <c r="I99" s="160">
        <v>2179</v>
      </c>
      <c r="J99" s="160">
        <v>2150</v>
      </c>
      <c r="K99" s="160">
        <v>2125</v>
      </c>
      <c r="L99" s="160">
        <v>2123</v>
      </c>
      <c r="M99" s="233">
        <v>2123</v>
      </c>
      <c r="N99" s="233">
        <v>2134</v>
      </c>
      <c r="Y99" s="130"/>
    </row>
    <row r="100" spans="1:25" s="49" customFormat="1" outlineLevel="1" x14ac:dyDescent="0.3">
      <c r="A100" s="61"/>
      <c r="B100" s="289" t="s">
        <v>60</v>
      </c>
      <c r="C100" s="290"/>
      <c r="D100" s="167">
        <f t="shared" ref="D100:M100" si="58">SUM(D96:D99)</f>
        <v>15218</v>
      </c>
      <c r="E100" s="167">
        <f t="shared" si="58"/>
        <v>14812</v>
      </c>
      <c r="F100" s="167">
        <f t="shared" si="58"/>
        <v>17074</v>
      </c>
      <c r="G100" s="168">
        <f t="shared" si="58"/>
        <v>16083</v>
      </c>
      <c r="H100" s="169">
        <f t="shared" si="58"/>
        <v>16083</v>
      </c>
      <c r="I100" s="170">
        <f t="shared" si="58"/>
        <v>15968</v>
      </c>
      <c r="J100" s="170">
        <f t="shared" si="58"/>
        <v>15272</v>
      </c>
      <c r="K100" s="234">
        <f t="shared" si="58"/>
        <v>18111</v>
      </c>
      <c r="L100" s="170">
        <f t="shared" si="58"/>
        <v>16323</v>
      </c>
      <c r="M100" s="232">
        <f t="shared" si="58"/>
        <v>16323</v>
      </c>
      <c r="N100" s="232">
        <f t="shared" ref="N100" si="59">SUM(N96:N99)</f>
        <v>16044</v>
      </c>
      <c r="Y100" s="61"/>
    </row>
    <row r="101" spans="1:25" s="49" customFormat="1" ht="6.75" customHeight="1" outlineLevel="1" x14ac:dyDescent="0.3">
      <c r="A101" s="61"/>
      <c r="B101" s="281"/>
      <c r="C101" s="282"/>
      <c r="D101" s="156"/>
      <c r="E101" s="157"/>
      <c r="F101" s="157"/>
      <c r="G101" s="158"/>
      <c r="H101" s="159"/>
      <c r="I101" s="160"/>
      <c r="J101" s="160"/>
      <c r="K101" s="231"/>
      <c r="L101" s="160"/>
      <c r="M101" s="100"/>
      <c r="N101" s="100"/>
      <c r="Y101" s="61"/>
    </row>
    <row r="102" spans="1:25" s="49" customFormat="1" outlineLevel="1" x14ac:dyDescent="0.3">
      <c r="A102" s="61"/>
      <c r="B102" s="283" t="s">
        <v>144</v>
      </c>
      <c r="C102" s="284"/>
      <c r="D102" s="156"/>
      <c r="E102" s="157"/>
      <c r="F102" s="157"/>
      <c r="G102" s="158"/>
      <c r="H102" s="159"/>
      <c r="I102" s="160"/>
      <c r="J102" s="160"/>
      <c r="K102" s="231"/>
      <c r="L102" s="160"/>
      <c r="M102" s="100"/>
      <c r="N102" s="100"/>
      <c r="Y102" s="61"/>
    </row>
    <row r="103" spans="1:25" s="50" customFormat="1" outlineLevel="1" x14ac:dyDescent="0.3">
      <c r="A103" s="130"/>
      <c r="B103" s="133" t="s">
        <v>145</v>
      </c>
      <c r="C103" s="134"/>
      <c r="D103" s="97"/>
      <c r="E103" s="109"/>
      <c r="F103" s="109"/>
      <c r="G103" s="229"/>
      <c r="H103" s="230">
        <v>4</v>
      </c>
      <c r="I103" s="160"/>
      <c r="J103" s="160"/>
      <c r="K103" s="231"/>
      <c r="L103" s="231"/>
      <c r="M103" s="100">
        <v>3</v>
      </c>
      <c r="N103" s="100"/>
      <c r="Y103" s="130"/>
    </row>
    <row r="104" spans="1:25" s="49" customFormat="1" outlineLevel="1" x14ac:dyDescent="0.3">
      <c r="A104" s="61"/>
      <c r="B104" s="285" t="s">
        <v>81</v>
      </c>
      <c r="C104" s="286"/>
      <c r="D104" s="156"/>
      <c r="E104" s="235"/>
      <c r="F104" s="157"/>
      <c r="G104" s="158"/>
      <c r="H104" s="159">
        <v>1048</v>
      </c>
      <c r="I104" s="160"/>
      <c r="J104" s="160"/>
      <c r="K104" s="231"/>
      <c r="L104" s="231"/>
      <c r="M104" s="100">
        <v>621</v>
      </c>
      <c r="N104" s="100"/>
      <c r="Y104" s="61"/>
    </row>
    <row r="105" spans="1:25" s="49" customFormat="1" outlineLevel="1" x14ac:dyDescent="0.3">
      <c r="A105" s="61"/>
      <c r="B105" s="133" t="s">
        <v>146</v>
      </c>
      <c r="C105" s="134"/>
      <c r="D105" s="156"/>
      <c r="E105" s="235"/>
      <c r="F105" s="157"/>
      <c r="G105" s="158"/>
      <c r="H105" s="159">
        <v>7340</v>
      </c>
      <c r="I105" s="160"/>
      <c r="J105" s="160"/>
      <c r="K105" s="231"/>
      <c r="L105" s="231"/>
      <c r="M105" s="100">
        <v>6334</v>
      </c>
      <c r="N105" s="100"/>
      <c r="Y105" s="61"/>
    </row>
    <row r="106" spans="1:25" s="49" customFormat="1" outlineLevel="1" x14ac:dyDescent="0.3">
      <c r="A106" s="61"/>
      <c r="B106" s="133" t="s">
        <v>147</v>
      </c>
      <c r="C106" s="134"/>
      <c r="D106" s="156"/>
      <c r="E106" s="235"/>
      <c r="F106" s="157"/>
      <c r="G106" s="158"/>
      <c r="H106" s="230">
        <v>-1942</v>
      </c>
      <c r="I106" s="160"/>
      <c r="J106" s="160"/>
      <c r="K106" s="231"/>
      <c r="L106" s="231"/>
      <c r="M106" s="100">
        <v>-1665</v>
      </c>
      <c r="N106" s="100"/>
      <c r="Y106" s="61"/>
    </row>
    <row r="107" spans="1:25" s="49" customFormat="1" outlineLevel="1" x14ac:dyDescent="0.3">
      <c r="A107" s="61"/>
      <c r="B107" s="295" t="s">
        <v>148</v>
      </c>
      <c r="C107" s="296"/>
      <c r="D107" s="156"/>
      <c r="E107" s="235"/>
      <c r="F107" s="157"/>
      <c r="G107" s="158"/>
      <c r="H107" s="230">
        <v>-1072</v>
      </c>
      <c r="I107" s="160"/>
      <c r="J107" s="160"/>
      <c r="K107" s="160"/>
      <c r="L107" s="160"/>
      <c r="M107" s="100">
        <v>-1043</v>
      </c>
      <c r="N107" s="100"/>
      <c r="Y107" s="61"/>
    </row>
    <row r="108" spans="1:25" s="49" customFormat="1" outlineLevel="1" x14ac:dyDescent="0.3">
      <c r="A108" s="61"/>
      <c r="B108" s="135" t="s">
        <v>149</v>
      </c>
      <c r="C108" s="136"/>
      <c r="D108" s="157"/>
      <c r="E108" s="235"/>
      <c r="F108" s="157"/>
      <c r="G108" s="158"/>
      <c r="H108" s="230"/>
      <c r="I108" s="160"/>
      <c r="J108" s="160"/>
      <c r="K108" s="160"/>
      <c r="L108" s="160"/>
      <c r="M108" s="100">
        <v>3</v>
      </c>
      <c r="N108" s="100"/>
      <c r="Y108" s="61"/>
    </row>
    <row r="109" spans="1:25" s="49" customFormat="1" outlineLevel="1" x14ac:dyDescent="0.3">
      <c r="A109" s="61"/>
      <c r="B109" s="289" t="s">
        <v>61</v>
      </c>
      <c r="C109" s="290"/>
      <c r="D109" s="167">
        <v>6100</v>
      </c>
      <c r="E109" s="167">
        <v>5807</v>
      </c>
      <c r="F109" s="167">
        <v>5351</v>
      </c>
      <c r="G109" s="168">
        <v>5378</v>
      </c>
      <c r="H109" s="169">
        <v>5378</v>
      </c>
      <c r="I109" s="167">
        <v>5207</v>
      </c>
      <c r="J109" s="167">
        <v>4844</v>
      </c>
      <c r="K109" s="236">
        <v>3975</v>
      </c>
      <c r="L109" s="236">
        <v>4253</v>
      </c>
      <c r="M109" s="232">
        <f>SUM(M103:M108)</f>
        <v>4253</v>
      </c>
      <c r="N109" s="232">
        <v>4154</v>
      </c>
      <c r="Y109" s="61"/>
    </row>
    <row r="110" spans="1:25" s="49" customFormat="1" outlineLevel="1" x14ac:dyDescent="0.3">
      <c r="A110" s="61"/>
      <c r="B110" s="335" t="s">
        <v>62</v>
      </c>
      <c r="C110" s="336"/>
      <c r="D110" s="237">
        <f t="shared" ref="D110:M110" si="60">D109+D100</f>
        <v>21318</v>
      </c>
      <c r="E110" s="237">
        <f t="shared" si="60"/>
        <v>20619</v>
      </c>
      <c r="F110" s="237">
        <f t="shared" si="60"/>
        <v>22425</v>
      </c>
      <c r="G110" s="238">
        <f t="shared" si="60"/>
        <v>21461</v>
      </c>
      <c r="H110" s="239">
        <f t="shared" si="60"/>
        <v>21461</v>
      </c>
      <c r="I110" s="237">
        <f t="shared" si="60"/>
        <v>21175</v>
      </c>
      <c r="J110" s="237">
        <f t="shared" si="60"/>
        <v>20116</v>
      </c>
      <c r="K110" s="240">
        <f t="shared" si="60"/>
        <v>22086</v>
      </c>
      <c r="L110" s="240">
        <f t="shared" si="60"/>
        <v>20576</v>
      </c>
      <c r="M110" s="241">
        <f t="shared" si="60"/>
        <v>20576</v>
      </c>
      <c r="N110" s="241">
        <f t="shared" ref="N110" si="61">N109+N100</f>
        <v>20198</v>
      </c>
      <c r="Y110" s="61"/>
    </row>
    <row r="111" spans="1:25" s="49" customFormat="1" x14ac:dyDescent="0.3">
      <c r="A111" s="61"/>
      <c r="B111" s="203"/>
      <c r="C111" s="204"/>
      <c r="D111" s="1">
        <f t="shared" ref="D111:M111" si="62">D110-D88</f>
        <v>0</v>
      </c>
      <c r="E111" s="1">
        <f t="shared" si="62"/>
        <v>0</v>
      </c>
      <c r="F111" s="1">
        <f t="shared" si="62"/>
        <v>0</v>
      </c>
      <c r="G111" s="1">
        <f t="shared" si="62"/>
        <v>0</v>
      </c>
      <c r="H111" s="1">
        <f t="shared" si="62"/>
        <v>0</v>
      </c>
      <c r="I111" s="1">
        <f t="shared" si="62"/>
        <v>0</v>
      </c>
      <c r="J111" s="1">
        <f t="shared" si="62"/>
        <v>0</v>
      </c>
      <c r="K111" s="1">
        <f t="shared" si="62"/>
        <v>0</v>
      </c>
      <c r="L111" s="1">
        <f t="shared" si="62"/>
        <v>0</v>
      </c>
      <c r="M111" s="1">
        <f t="shared" si="62"/>
        <v>0</v>
      </c>
      <c r="N111" s="1">
        <f t="shared" ref="N111" si="63">N110-N88</f>
        <v>0</v>
      </c>
      <c r="Y111" s="61"/>
    </row>
    <row r="112" spans="1:25" s="49" customFormat="1" ht="15.6" x14ac:dyDescent="0.3">
      <c r="A112" s="61"/>
      <c r="B112" s="291" t="s">
        <v>63</v>
      </c>
      <c r="C112" s="292"/>
      <c r="D112" s="1"/>
      <c r="E112" s="1"/>
      <c r="F112" s="1"/>
      <c r="G112" s="1"/>
      <c r="H112" s="1"/>
      <c r="I112" s="8"/>
      <c r="J112" s="1"/>
      <c r="K112" s="3"/>
      <c r="L112" s="3"/>
      <c r="M112" s="96"/>
      <c r="N112" s="96"/>
      <c r="Y112" s="61"/>
    </row>
    <row r="113" spans="1:25" s="49" customFormat="1" outlineLevel="1" x14ac:dyDescent="0.3">
      <c r="A113" s="61"/>
      <c r="B113" s="293" t="s">
        <v>0</v>
      </c>
      <c r="C113" s="294"/>
      <c r="D113" s="52" t="s">
        <v>174</v>
      </c>
      <c r="E113" s="52" t="s">
        <v>175</v>
      </c>
      <c r="F113" s="52" t="s">
        <v>176</v>
      </c>
      <c r="G113" s="52" t="s">
        <v>177</v>
      </c>
      <c r="H113" s="52" t="s">
        <v>177</v>
      </c>
      <c r="I113" s="52" t="s">
        <v>178</v>
      </c>
      <c r="J113" s="52" t="s">
        <v>179</v>
      </c>
      <c r="K113" s="52" t="s">
        <v>180</v>
      </c>
      <c r="L113" s="52" t="s">
        <v>181</v>
      </c>
      <c r="M113" s="52" t="s">
        <v>181</v>
      </c>
      <c r="N113" s="52" t="s">
        <v>185</v>
      </c>
      <c r="X113" s="61"/>
    </row>
    <row r="114" spans="1:25" s="49" customFormat="1" ht="16.2" outlineLevel="1" x14ac:dyDescent="0.45">
      <c r="A114" s="61"/>
      <c r="B114" s="293"/>
      <c r="C114" s="294"/>
      <c r="D114" s="53" t="s">
        <v>85</v>
      </c>
      <c r="E114" s="53" t="s">
        <v>86</v>
      </c>
      <c r="F114" s="53" t="s">
        <v>87</v>
      </c>
      <c r="G114" s="53" t="s">
        <v>88</v>
      </c>
      <c r="H114" s="53" t="s">
        <v>13</v>
      </c>
      <c r="I114" s="53" t="s">
        <v>89</v>
      </c>
      <c r="J114" s="53" t="s">
        <v>90</v>
      </c>
      <c r="K114" s="53" t="s">
        <v>91</v>
      </c>
      <c r="L114" s="53" t="s">
        <v>92</v>
      </c>
      <c r="M114" s="53" t="s">
        <v>45</v>
      </c>
      <c r="N114" s="53" t="s">
        <v>161</v>
      </c>
      <c r="X114" s="61"/>
    </row>
    <row r="115" spans="1:25" s="49" customFormat="1" outlineLevel="1" x14ac:dyDescent="0.3">
      <c r="A115" s="61"/>
      <c r="B115" s="283" t="s">
        <v>64</v>
      </c>
      <c r="C115" s="284"/>
      <c r="D115" s="97"/>
      <c r="E115" s="98"/>
      <c r="F115" s="98"/>
      <c r="G115" s="99"/>
      <c r="H115" s="100"/>
      <c r="I115" s="101"/>
      <c r="J115" s="95"/>
      <c r="K115" s="93"/>
      <c r="L115" s="93"/>
      <c r="M115" s="94"/>
      <c r="N115" s="94"/>
      <c r="Y115" s="61"/>
    </row>
    <row r="116" spans="1:25" s="49" customFormat="1" outlineLevel="1" x14ac:dyDescent="0.3">
      <c r="A116" s="61"/>
      <c r="B116" s="285" t="s">
        <v>65</v>
      </c>
      <c r="C116" s="286"/>
      <c r="D116" s="97">
        <f>D24</f>
        <v>224</v>
      </c>
      <c r="E116" s="109">
        <f>E24</f>
        <v>292</v>
      </c>
      <c r="F116" s="109">
        <f>F24</f>
        <v>217</v>
      </c>
      <c r="G116" s="229">
        <f>G24</f>
        <v>793</v>
      </c>
      <c r="H116" s="100">
        <f>SUM(D116:G116)</f>
        <v>1526</v>
      </c>
      <c r="I116" s="97">
        <f>I24</f>
        <v>193</v>
      </c>
      <c r="J116" s="109">
        <f>J24</f>
        <v>217</v>
      </c>
      <c r="K116" s="109">
        <f>K24</f>
        <v>117</v>
      </c>
      <c r="L116" s="229">
        <f>L24</f>
        <v>543</v>
      </c>
      <c r="M116" s="230">
        <f>M24</f>
        <v>1070</v>
      </c>
      <c r="N116" s="230">
        <f>N24</f>
        <v>115</v>
      </c>
      <c r="Y116" s="61"/>
    </row>
    <row r="117" spans="1:25" s="49" customFormat="1" outlineLevel="1" x14ac:dyDescent="0.3">
      <c r="A117" s="61"/>
      <c r="B117" s="133" t="s">
        <v>137</v>
      </c>
      <c r="C117" s="134"/>
      <c r="D117" s="97">
        <v>0</v>
      </c>
      <c r="E117" s="109">
        <v>0</v>
      </c>
      <c r="F117" s="109">
        <v>0</v>
      </c>
      <c r="G117" s="229">
        <v>87</v>
      </c>
      <c r="H117" s="100">
        <v>87</v>
      </c>
      <c r="I117" s="97">
        <v>0</v>
      </c>
      <c r="J117" s="109">
        <v>0</v>
      </c>
      <c r="K117" s="109">
        <v>111</v>
      </c>
      <c r="L117" s="109">
        <f>288-(SUM(I117:K117))</f>
        <v>177</v>
      </c>
      <c r="M117" s="230">
        <f>SUM(I117:L117)</f>
        <v>288</v>
      </c>
      <c r="N117" s="230"/>
      <c r="Y117" s="61"/>
    </row>
    <row r="118" spans="1:25" s="49" customFormat="1" outlineLevel="1" x14ac:dyDescent="0.3">
      <c r="A118" s="61"/>
      <c r="B118" s="285" t="s">
        <v>66</v>
      </c>
      <c r="C118" s="286"/>
      <c r="D118" s="97">
        <v>253</v>
      </c>
      <c r="E118" s="109">
        <f>507-D118</f>
        <v>254</v>
      </c>
      <c r="F118" s="109">
        <f>770-(SUM(D118:E118))</f>
        <v>263</v>
      </c>
      <c r="G118" s="229">
        <f>1036-(SUM(D118:F118))</f>
        <v>266</v>
      </c>
      <c r="H118" s="100">
        <f t="shared" ref="H118:H131" si="64">SUM(D118:G118)</f>
        <v>1036</v>
      </c>
      <c r="I118" s="97">
        <v>259</v>
      </c>
      <c r="J118" s="109">
        <f>520-(SUM(I118))</f>
        <v>261</v>
      </c>
      <c r="K118" s="109">
        <f>791-(SUM(I118:J118))</f>
        <v>271</v>
      </c>
      <c r="L118" s="109">
        <f>1061-(SUM(I118:K118))</f>
        <v>270</v>
      </c>
      <c r="M118" s="230">
        <f>SUM(I118:L118)</f>
        <v>1061</v>
      </c>
      <c r="N118" s="230">
        <v>260</v>
      </c>
      <c r="Y118" s="61"/>
    </row>
    <row r="119" spans="1:25" s="49" customFormat="1" outlineLevel="1" x14ac:dyDescent="0.3">
      <c r="A119" s="61"/>
      <c r="B119" s="133" t="s">
        <v>67</v>
      </c>
      <c r="C119" s="134"/>
      <c r="D119" s="97">
        <v>21</v>
      </c>
      <c r="E119" s="98">
        <f>38-D119</f>
        <v>17</v>
      </c>
      <c r="F119" s="109">
        <f>55-(SUM(D119:E119))</f>
        <v>17</v>
      </c>
      <c r="G119" s="229">
        <f>73-(SUM(D119:F119))</f>
        <v>18</v>
      </c>
      <c r="H119" s="100">
        <f>SUM(D119:G119)</f>
        <v>73</v>
      </c>
      <c r="I119" s="243">
        <v>18</v>
      </c>
      <c r="J119" s="109">
        <f>47-(SUM(I119))</f>
        <v>29</v>
      </c>
      <c r="K119" s="109">
        <f>65-(SUM(I119:J119))</f>
        <v>18</v>
      </c>
      <c r="L119" s="109">
        <f>65-(SUM(I119:K119))</f>
        <v>0</v>
      </c>
      <c r="M119" s="230">
        <f>SUM(I119:L119)</f>
        <v>65</v>
      </c>
      <c r="N119" s="230">
        <v>16</v>
      </c>
      <c r="Y119" s="61"/>
    </row>
    <row r="120" spans="1:25" s="49" customFormat="1" outlineLevel="1" x14ac:dyDescent="0.3">
      <c r="A120" s="61"/>
      <c r="B120" s="133" t="s">
        <v>114</v>
      </c>
      <c r="C120" s="134"/>
      <c r="D120" s="97">
        <v>-2</v>
      </c>
      <c r="E120" s="98">
        <f>-3-D120</f>
        <v>-1</v>
      </c>
      <c r="F120" s="109">
        <f>-4-(SUM(D120:E120))</f>
        <v>-1</v>
      </c>
      <c r="G120" s="229">
        <f>-5-(SUM(D120:F120))</f>
        <v>-1</v>
      </c>
      <c r="H120" s="100">
        <f>SUM(D120:G120)</f>
        <v>-5</v>
      </c>
      <c r="I120" s="243">
        <v>-1</v>
      </c>
      <c r="J120" s="109">
        <f>-2-(SUM(I120))</f>
        <v>-1</v>
      </c>
      <c r="K120" s="109">
        <f>-14-(SUM(I120:J120))</f>
        <v>-12</v>
      </c>
      <c r="L120" s="109">
        <f>-14-(SUM(I120:K120))</f>
        <v>0</v>
      </c>
      <c r="M120" s="230">
        <f>SUM(I120:L120)</f>
        <v>-14</v>
      </c>
      <c r="N120" s="230">
        <f>13-1</f>
        <v>12</v>
      </c>
      <c r="Y120" s="61"/>
    </row>
    <row r="121" spans="1:25" s="49" customFormat="1" ht="4.5" customHeight="1" outlineLevel="1" x14ac:dyDescent="0.3">
      <c r="A121" s="61"/>
      <c r="B121" s="281"/>
      <c r="C121" s="282"/>
      <c r="D121" s="97"/>
      <c r="E121" s="98"/>
      <c r="F121" s="109"/>
      <c r="G121" s="229"/>
      <c r="H121" s="100"/>
      <c r="I121" s="243"/>
      <c r="J121" s="98"/>
      <c r="K121" s="109"/>
      <c r="L121" s="109"/>
      <c r="M121" s="230"/>
      <c r="N121" s="230"/>
      <c r="Y121" s="61"/>
    </row>
    <row r="122" spans="1:25" s="49" customFormat="1" outlineLevel="1" x14ac:dyDescent="0.3">
      <c r="A122" s="61"/>
      <c r="B122" s="283" t="s">
        <v>115</v>
      </c>
      <c r="C122" s="284"/>
      <c r="D122" s="97"/>
      <c r="E122" s="98"/>
      <c r="F122" s="109"/>
      <c r="G122" s="229"/>
      <c r="H122" s="100"/>
      <c r="I122" s="243"/>
      <c r="J122" s="98"/>
      <c r="K122" s="109"/>
      <c r="L122" s="109"/>
      <c r="M122" s="230"/>
      <c r="N122" s="230"/>
      <c r="Y122" s="61"/>
    </row>
    <row r="123" spans="1:25" s="49" customFormat="1" outlineLevel="1" x14ac:dyDescent="0.3">
      <c r="A123" s="61"/>
      <c r="B123" s="285" t="s">
        <v>118</v>
      </c>
      <c r="C123" s="286"/>
      <c r="D123" s="97">
        <v>163</v>
      </c>
      <c r="E123" s="109">
        <f>86-D123</f>
        <v>-77</v>
      </c>
      <c r="F123" s="109">
        <f>154-(SUM(D123:E123))</f>
        <v>68</v>
      </c>
      <c r="G123" s="229">
        <f>22-(SUM(D123:F123))</f>
        <v>-132</v>
      </c>
      <c r="H123" s="100">
        <f t="shared" si="64"/>
        <v>22</v>
      </c>
      <c r="I123" s="97">
        <v>167</v>
      </c>
      <c r="J123" s="109">
        <f>92-(SUM(I123))</f>
        <v>-75</v>
      </c>
      <c r="K123" s="109">
        <f>226-(SUM(I123:J123))</f>
        <v>134</v>
      </c>
      <c r="L123" s="109">
        <f>-45-(SUM(I123:K123))</f>
        <v>-271</v>
      </c>
      <c r="M123" s="100">
        <f t="shared" ref="M123:N139" si="65">SUM(I123:L123)</f>
        <v>-45</v>
      </c>
      <c r="N123" s="100">
        <v>122</v>
      </c>
      <c r="Y123" s="61"/>
    </row>
    <row r="124" spans="1:25" s="49" customFormat="1" outlineLevel="1" x14ac:dyDescent="0.3">
      <c r="A124" s="61"/>
      <c r="B124" s="285" t="s">
        <v>119</v>
      </c>
      <c r="C124" s="286"/>
      <c r="D124" s="97">
        <v>-340</v>
      </c>
      <c r="E124" s="109">
        <f>141-D124</f>
        <v>481</v>
      </c>
      <c r="F124" s="109">
        <f>-2232-(SUM(D124:E124))</f>
        <v>-2373</v>
      </c>
      <c r="G124" s="229">
        <f>40-(SUM(D124:F124))</f>
        <v>2272</v>
      </c>
      <c r="H124" s="100">
        <f>SUM(D124:G124)</f>
        <v>40</v>
      </c>
      <c r="I124" s="97">
        <v>-511</v>
      </c>
      <c r="J124" s="109">
        <f>-77-(SUM(I124))</f>
        <v>434</v>
      </c>
      <c r="K124" s="109">
        <f>-2600-(SUM(I124:J124))</f>
        <v>-2523</v>
      </c>
      <c r="L124" s="109">
        <f>-60-(SUM(I124:K124))</f>
        <v>2540</v>
      </c>
      <c r="M124" s="100">
        <f>SUM(I124:L124)</f>
        <v>-60</v>
      </c>
      <c r="N124" s="100">
        <v>-232</v>
      </c>
      <c r="Y124" s="61"/>
    </row>
    <row r="125" spans="1:25" s="49" customFormat="1" outlineLevel="1" x14ac:dyDescent="0.3">
      <c r="A125" s="61"/>
      <c r="B125" s="285" t="s">
        <v>116</v>
      </c>
      <c r="C125" s="286"/>
      <c r="D125" s="97">
        <v>-31</v>
      </c>
      <c r="E125" s="109">
        <f>-14-D125</f>
        <v>17</v>
      </c>
      <c r="F125" s="109">
        <f>-4-(SUM(D125:E125))</f>
        <v>10</v>
      </c>
      <c r="G125" s="229">
        <f>-3-(SUM(D125:F125))</f>
        <v>1</v>
      </c>
      <c r="H125" s="230">
        <f t="shared" si="64"/>
        <v>-3</v>
      </c>
      <c r="I125" s="97">
        <v>-42</v>
      </c>
      <c r="J125" s="109">
        <f>-29-(SUM(I125))</f>
        <v>13</v>
      </c>
      <c r="K125" s="109">
        <f>-36-(SUM(I125:J125))</f>
        <v>-7</v>
      </c>
      <c r="L125" s="109">
        <f>0-(SUM(I125:K125))</f>
        <v>36</v>
      </c>
      <c r="M125" s="230">
        <f t="shared" si="65"/>
        <v>0</v>
      </c>
      <c r="N125" s="230">
        <v>-22</v>
      </c>
      <c r="Y125" s="61"/>
    </row>
    <row r="126" spans="1:25" s="49" customFormat="1" outlineLevel="1" x14ac:dyDescent="0.3">
      <c r="A126" s="61"/>
      <c r="B126" s="133" t="s">
        <v>117</v>
      </c>
      <c r="C126" s="134"/>
      <c r="D126" s="97">
        <v>-14</v>
      </c>
      <c r="E126" s="109">
        <f>-31-D126</f>
        <v>-17</v>
      </c>
      <c r="F126" s="109">
        <f>-46-(SUM(D126:E126))</f>
        <v>-15</v>
      </c>
      <c r="G126" s="229">
        <f>-61-(SUM(D126:F126))</f>
        <v>-15</v>
      </c>
      <c r="H126" s="230">
        <f t="shared" si="64"/>
        <v>-61</v>
      </c>
      <c r="I126" s="97">
        <v>0</v>
      </c>
      <c r="J126" s="109">
        <f>0-(SUM(I126))</f>
        <v>0</v>
      </c>
      <c r="K126" s="109">
        <f>-1-(SUM(I126:J126))</f>
        <v>-1</v>
      </c>
      <c r="L126" s="109">
        <f>-1-(SUM(I126:K126))</f>
        <v>0</v>
      </c>
      <c r="M126" s="230">
        <f t="shared" ref="M126:N131" si="66">SUM(I126:L126)</f>
        <v>-1</v>
      </c>
      <c r="N126" s="230">
        <v>0</v>
      </c>
      <c r="Y126" s="61"/>
    </row>
    <row r="127" spans="1:25" s="49" customFormat="1" outlineLevel="1" x14ac:dyDescent="0.3">
      <c r="A127" s="61"/>
      <c r="B127" s="133" t="s">
        <v>120</v>
      </c>
      <c r="C127" s="134"/>
      <c r="D127" s="97">
        <v>628</v>
      </c>
      <c r="E127" s="109">
        <f>276-D127</f>
        <v>-352</v>
      </c>
      <c r="F127" s="109">
        <f>1935-(SUM(D127:E127))</f>
        <v>1659</v>
      </c>
      <c r="G127" s="229">
        <f>-17-(SUM(D127:F127))</f>
        <v>-1952</v>
      </c>
      <c r="H127" s="230">
        <f t="shared" si="64"/>
        <v>-17</v>
      </c>
      <c r="I127" s="97">
        <v>719</v>
      </c>
      <c r="J127" s="109">
        <f>340-(SUM(I127))</f>
        <v>-379</v>
      </c>
      <c r="K127" s="109">
        <f>1843-(SUM(I127:J127))</f>
        <v>1503</v>
      </c>
      <c r="L127" s="109">
        <f>-78-(SUM(I127:K127))</f>
        <v>-1921</v>
      </c>
      <c r="M127" s="230">
        <f t="shared" si="66"/>
        <v>-78</v>
      </c>
      <c r="N127" s="230">
        <v>461</v>
      </c>
      <c r="Y127" s="61"/>
    </row>
    <row r="128" spans="1:25" s="49" customFormat="1" outlineLevel="1" x14ac:dyDescent="0.3">
      <c r="A128" s="61"/>
      <c r="B128" s="133" t="s">
        <v>121</v>
      </c>
      <c r="C128" s="134"/>
      <c r="D128" s="97">
        <v>-548</v>
      </c>
      <c r="E128" s="109">
        <f>-621-D128</f>
        <v>-73</v>
      </c>
      <c r="F128" s="109">
        <f>-362-(SUM(D128:E128))</f>
        <v>259</v>
      </c>
      <c r="G128" s="229">
        <f>37-(SUM(D128:F128))</f>
        <v>399</v>
      </c>
      <c r="H128" s="230">
        <f t="shared" si="64"/>
        <v>37</v>
      </c>
      <c r="I128" s="97">
        <v>-513</v>
      </c>
      <c r="J128" s="109">
        <f>-625-(SUM(I128))</f>
        <v>-112</v>
      </c>
      <c r="K128" s="109">
        <f>-380-(SUM(I128:J128))</f>
        <v>245</v>
      </c>
      <c r="L128" s="109">
        <f>-144-(SUM(I128:K128))</f>
        <v>236</v>
      </c>
      <c r="M128" s="230">
        <f t="shared" si="66"/>
        <v>-144</v>
      </c>
      <c r="N128" s="230">
        <v>-513</v>
      </c>
      <c r="Y128" s="61"/>
    </row>
    <row r="129" spans="1:25" s="49" customFormat="1" outlineLevel="1" x14ac:dyDescent="0.3">
      <c r="A129" s="61"/>
      <c r="B129" s="133" t="s">
        <v>122</v>
      </c>
      <c r="C129" s="134"/>
      <c r="D129" s="97">
        <v>-256</v>
      </c>
      <c r="E129" s="109">
        <f>-242-D129</f>
        <v>14</v>
      </c>
      <c r="F129" s="109">
        <f>(-248)-(SUM(D129:E129))</f>
        <v>-6</v>
      </c>
      <c r="G129" s="229">
        <f>-65-(SUM(D129:F129))</f>
        <v>183</v>
      </c>
      <c r="H129" s="230">
        <f t="shared" si="64"/>
        <v>-65</v>
      </c>
      <c r="I129" s="97">
        <v>-222</v>
      </c>
      <c r="J129" s="109">
        <f>-232-(SUM(I129))</f>
        <v>-10</v>
      </c>
      <c r="K129" s="109">
        <f>-194-(SUM(I129:J129))</f>
        <v>38</v>
      </c>
      <c r="L129" s="109">
        <f>-69-(SUM(I129:K129))</f>
        <v>125</v>
      </c>
      <c r="M129" s="230">
        <f t="shared" si="66"/>
        <v>-69</v>
      </c>
      <c r="N129" s="230">
        <v>-246</v>
      </c>
      <c r="Y129" s="61"/>
    </row>
    <row r="130" spans="1:25" s="49" customFormat="1" outlineLevel="1" x14ac:dyDescent="0.3">
      <c r="A130" s="61"/>
      <c r="B130" s="133" t="s">
        <v>123</v>
      </c>
      <c r="C130" s="134"/>
      <c r="D130" s="97">
        <v>8</v>
      </c>
      <c r="E130" s="109">
        <f>2-D130</f>
        <v>-6</v>
      </c>
      <c r="F130" s="109">
        <f>29-(SUM(D130:E130))</f>
        <v>27</v>
      </c>
      <c r="G130" s="229">
        <f>29-(SUM(D130:F130))</f>
        <v>0</v>
      </c>
      <c r="H130" s="230">
        <f t="shared" si="64"/>
        <v>29</v>
      </c>
      <c r="I130" s="97">
        <v>-6</v>
      </c>
      <c r="J130" s="109">
        <f>-20-(SUM(I130))</f>
        <v>-14</v>
      </c>
      <c r="K130" s="109">
        <f>-21-(SUM(I130:J130))</f>
        <v>-1</v>
      </c>
      <c r="L130" s="109">
        <f>-1-(SUM(I130:K130))</f>
        <v>20</v>
      </c>
      <c r="M130" s="230">
        <f t="shared" si="66"/>
        <v>-1</v>
      </c>
      <c r="N130" s="230">
        <v>53</v>
      </c>
      <c r="Y130" s="61"/>
    </row>
    <row r="131" spans="1:25" s="49" customFormat="1" outlineLevel="1" x14ac:dyDescent="0.3">
      <c r="A131" s="61"/>
      <c r="B131" s="133" t="s">
        <v>124</v>
      </c>
      <c r="C131" s="134"/>
      <c r="D131" s="97">
        <v>-20</v>
      </c>
      <c r="E131" s="109">
        <f>-9-D131</f>
        <v>11</v>
      </c>
      <c r="F131" s="109">
        <f>-3-(SUM(D131:E131))</f>
        <v>6</v>
      </c>
      <c r="G131" s="229">
        <f>10-(SUM(D131:F131))</f>
        <v>13</v>
      </c>
      <c r="H131" s="230">
        <f t="shared" si="64"/>
        <v>10</v>
      </c>
      <c r="I131" s="97">
        <v>-8</v>
      </c>
      <c r="J131" s="109">
        <f>-26-(SUM(I131))</f>
        <v>-18</v>
      </c>
      <c r="K131" s="109">
        <f>-39-(SUM(I131:J131))</f>
        <v>-13</v>
      </c>
      <c r="L131" s="109">
        <f>-88-(SUM(I131:K131))</f>
        <v>-49</v>
      </c>
      <c r="M131" s="230">
        <f t="shared" si="66"/>
        <v>-88</v>
      </c>
      <c r="N131" s="230">
        <f>-18</f>
        <v>-18</v>
      </c>
      <c r="Y131" s="61"/>
    </row>
    <row r="132" spans="1:25" s="49" customFormat="1" outlineLevel="1" x14ac:dyDescent="0.3">
      <c r="A132" s="61"/>
      <c r="B132" s="289" t="s">
        <v>69</v>
      </c>
      <c r="C132" s="290"/>
      <c r="D132" s="166">
        <f t="shared" ref="D132:L132" si="67">SUM(D116:D131)</f>
        <v>86</v>
      </c>
      <c r="E132" s="167">
        <f t="shared" si="67"/>
        <v>560</v>
      </c>
      <c r="F132" s="167">
        <f t="shared" si="67"/>
        <v>131</v>
      </c>
      <c r="G132" s="168">
        <f t="shared" si="67"/>
        <v>1932</v>
      </c>
      <c r="H132" s="169">
        <f t="shared" si="67"/>
        <v>2709</v>
      </c>
      <c r="I132" s="166">
        <f t="shared" si="67"/>
        <v>53</v>
      </c>
      <c r="J132" s="167">
        <f t="shared" si="67"/>
        <v>345</v>
      </c>
      <c r="K132" s="167">
        <f t="shared" si="67"/>
        <v>-120</v>
      </c>
      <c r="L132" s="167">
        <f>SUM(L116:L131)</f>
        <v>1706</v>
      </c>
      <c r="M132" s="169">
        <f>SUM(I132:L132)</f>
        <v>1984</v>
      </c>
      <c r="N132" s="169">
        <f>SUM(N116:N131)</f>
        <v>8</v>
      </c>
      <c r="Y132" s="61"/>
    </row>
    <row r="133" spans="1:25" s="49" customFormat="1" ht="4.5" customHeight="1" outlineLevel="1" x14ac:dyDescent="0.3">
      <c r="A133" s="61"/>
      <c r="B133" s="281"/>
      <c r="C133" s="282"/>
      <c r="D133" s="97"/>
      <c r="E133" s="109"/>
      <c r="F133" s="109"/>
      <c r="G133" s="229"/>
      <c r="H133" s="230"/>
      <c r="I133" s="97"/>
      <c r="J133" s="109"/>
      <c r="K133" s="109"/>
      <c r="L133" s="109"/>
      <c r="M133" s="230">
        <f t="shared" si="65"/>
        <v>0</v>
      </c>
      <c r="N133" s="230">
        <f t="shared" si="65"/>
        <v>0</v>
      </c>
      <c r="Y133" s="61"/>
    </row>
    <row r="134" spans="1:25" s="49" customFormat="1" outlineLevel="1" x14ac:dyDescent="0.3">
      <c r="A134" s="61"/>
      <c r="B134" s="283" t="s">
        <v>70</v>
      </c>
      <c r="C134" s="284"/>
      <c r="D134" s="97"/>
      <c r="E134" s="109"/>
      <c r="F134" s="109"/>
      <c r="G134" s="229"/>
      <c r="H134" s="230"/>
      <c r="I134" s="97"/>
      <c r="J134" s="109"/>
      <c r="K134" s="109"/>
      <c r="L134" s="109"/>
      <c r="M134" s="230"/>
      <c r="N134" s="230"/>
      <c r="Y134" s="61"/>
    </row>
    <row r="135" spans="1:25" s="49" customFormat="1" outlineLevel="1" x14ac:dyDescent="0.3">
      <c r="A135" s="61"/>
      <c r="B135" s="285" t="s">
        <v>125</v>
      </c>
      <c r="C135" s="286"/>
      <c r="D135" s="97">
        <v>-63</v>
      </c>
      <c r="E135" s="109">
        <f>-245-D135</f>
        <v>-182</v>
      </c>
      <c r="F135" s="109">
        <f>(-483)-(SUM(D135:E135))</f>
        <v>-238</v>
      </c>
      <c r="G135" s="229">
        <f>-770-(SUM(D135:F135))</f>
        <v>-287</v>
      </c>
      <c r="H135" s="230">
        <f>SUM(D135:G135)</f>
        <v>-770</v>
      </c>
      <c r="I135" s="97">
        <v>-180</v>
      </c>
      <c r="J135" s="109">
        <f>-367-(SUM(I135))</f>
        <v>-187</v>
      </c>
      <c r="K135" s="109">
        <f>-591-(SUM(I135:J135))</f>
        <v>-224</v>
      </c>
      <c r="L135" s="109">
        <f>-777-(SUM(I135:K135))</f>
        <v>-186</v>
      </c>
      <c r="M135" s="230">
        <f t="shared" si="65"/>
        <v>-777</v>
      </c>
      <c r="N135" s="230">
        <v>-153</v>
      </c>
      <c r="Y135" s="61"/>
    </row>
    <row r="136" spans="1:25" s="49" customFormat="1" outlineLevel="1" x14ac:dyDescent="0.3">
      <c r="A136" s="61"/>
      <c r="B136" s="285" t="s">
        <v>126</v>
      </c>
      <c r="C136" s="286"/>
      <c r="D136" s="97">
        <v>-49</v>
      </c>
      <c r="E136" s="109">
        <f>-116-D136</f>
        <v>-67</v>
      </c>
      <c r="F136" s="109">
        <f>(-190)-(SUM(D136:E136))</f>
        <v>-74</v>
      </c>
      <c r="G136" s="229">
        <f>-298-(SUM(D136:F136))</f>
        <v>-108</v>
      </c>
      <c r="H136" s="230">
        <f>SUM(D136:G136)</f>
        <v>-298</v>
      </c>
      <c r="I136" s="97">
        <v>-63</v>
      </c>
      <c r="J136" s="109">
        <f>-144-(SUM(I136))</f>
        <v>-81</v>
      </c>
      <c r="K136" s="109">
        <f>-249-(SUM(I136:J136))</f>
        <v>-105</v>
      </c>
      <c r="L136" s="109">
        <f>-336-(SUM(I136:K136))</f>
        <v>-87</v>
      </c>
      <c r="M136" s="230">
        <f t="shared" si="65"/>
        <v>-336</v>
      </c>
      <c r="N136" s="230">
        <v>-75</v>
      </c>
      <c r="Y136" s="61"/>
    </row>
    <row r="137" spans="1:25" s="49" customFormat="1" outlineLevel="1" x14ac:dyDescent="0.3">
      <c r="A137" s="61"/>
      <c r="B137" s="133" t="s">
        <v>150</v>
      </c>
      <c r="C137" s="134"/>
      <c r="D137" s="97">
        <v>0</v>
      </c>
      <c r="E137" s="109">
        <v>0</v>
      </c>
      <c r="F137" s="109">
        <v>0</v>
      </c>
      <c r="G137" s="229">
        <v>0</v>
      </c>
      <c r="H137" s="230">
        <v>0</v>
      </c>
      <c r="I137" s="97">
        <v>-212</v>
      </c>
      <c r="J137" s="109">
        <f>-212-(SUM(I137))</f>
        <v>0</v>
      </c>
      <c r="K137" s="109">
        <f>-212-(SUM(I137:J137))</f>
        <v>0</v>
      </c>
      <c r="L137" s="109">
        <v>0</v>
      </c>
      <c r="M137" s="230">
        <f>SUM(I137:L137)</f>
        <v>-212</v>
      </c>
      <c r="N137" s="230">
        <v>0</v>
      </c>
      <c r="Y137" s="61"/>
    </row>
    <row r="138" spans="1:25" s="49" customFormat="1" outlineLevel="1" x14ac:dyDescent="0.3">
      <c r="A138" s="61"/>
      <c r="B138" s="133" t="s">
        <v>127</v>
      </c>
      <c r="C138" s="134"/>
      <c r="D138" s="97">
        <v>10</v>
      </c>
      <c r="E138" s="109">
        <f>24-D138</f>
        <v>14</v>
      </c>
      <c r="F138" s="109">
        <f>(79)-(SUM(D138:E138))</f>
        <v>55</v>
      </c>
      <c r="G138" s="229">
        <f>172-(SUM(D138:F138))</f>
        <v>93</v>
      </c>
      <c r="H138" s="230">
        <f>SUM(D138:G138)</f>
        <v>172</v>
      </c>
      <c r="I138" s="97">
        <v>4</v>
      </c>
      <c r="J138" s="109">
        <f>4-(SUM(I138))</f>
        <v>0</v>
      </c>
      <c r="K138" s="109">
        <f>94-(SUM(I138:J138))</f>
        <v>90</v>
      </c>
      <c r="L138" s="109">
        <f>204-(SUM(I138:K138))</f>
        <v>110</v>
      </c>
      <c r="M138" s="230">
        <f t="shared" si="65"/>
        <v>204</v>
      </c>
      <c r="N138" s="230">
        <v>16</v>
      </c>
      <c r="Y138" s="61"/>
    </row>
    <row r="139" spans="1:25" s="49" customFormat="1" outlineLevel="1" x14ac:dyDescent="0.3">
      <c r="A139" s="61"/>
      <c r="B139" s="133" t="s">
        <v>128</v>
      </c>
      <c r="C139" s="134"/>
      <c r="D139" s="97">
        <v>6</v>
      </c>
      <c r="E139" s="109">
        <f>49-D139</f>
        <v>43</v>
      </c>
      <c r="F139" s="109">
        <f>(-2)-(SUM(D139:E139))</f>
        <v>-51</v>
      </c>
      <c r="G139" s="229">
        <f>-74-(SUM(D139:F139))</f>
        <v>-72</v>
      </c>
      <c r="H139" s="230">
        <f>SUM(D139:G139)</f>
        <v>-74</v>
      </c>
      <c r="I139" s="97">
        <v>70</v>
      </c>
      <c r="J139" s="109">
        <f>104-(SUM(I139))</f>
        <v>34</v>
      </c>
      <c r="K139" s="109">
        <f>97-(SUM(I139:J139))</f>
        <v>-7</v>
      </c>
      <c r="L139" s="109">
        <f>29-(SUM(I139:K139))</f>
        <v>-68</v>
      </c>
      <c r="M139" s="230">
        <f t="shared" si="65"/>
        <v>29</v>
      </c>
      <c r="N139" s="230">
        <v>1</v>
      </c>
    </row>
    <row r="140" spans="1:25" s="49" customFormat="1" outlineLevel="1" x14ac:dyDescent="0.3">
      <c r="A140" s="61"/>
      <c r="B140" s="289" t="s">
        <v>71</v>
      </c>
      <c r="C140" s="290"/>
      <c r="D140" s="166">
        <f t="shared" ref="D140:N140" si="68">SUM(D135:D139)</f>
        <v>-96</v>
      </c>
      <c r="E140" s="167">
        <f t="shared" si="68"/>
        <v>-192</v>
      </c>
      <c r="F140" s="167">
        <f t="shared" si="68"/>
        <v>-308</v>
      </c>
      <c r="G140" s="168">
        <f t="shared" si="68"/>
        <v>-374</v>
      </c>
      <c r="H140" s="169">
        <f t="shared" si="68"/>
        <v>-970</v>
      </c>
      <c r="I140" s="166">
        <f t="shared" si="68"/>
        <v>-381</v>
      </c>
      <c r="J140" s="167">
        <f t="shared" si="68"/>
        <v>-234</v>
      </c>
      <c r="K140" s="167">
        <f t="shared" si="68"/>
        <v>-246</v>
      </c>
      <c r="L140" s="167">
        <f t="shared" si="68"/>
        <v>-231</v>
      </c>
      <c r="M140" s="169">
        <f t="shared" si="68"/>
        <v>-1092</v>
      </c>
      <c r="N140" s="169">
        <f t="shared" si="68"/>
        <v>-211</v>
      </c>
    </row>
    <row r="141" spans="1:25" s="49" customFormat="1" ht="4.5" customHeight="1" outlineLevel="1" x14ac:dyDescent="0.3">
      <c r="A141" s="61"/>
      <c r="B141" s="281"/>
      <c r="C141" s="282"/>
      <c r="D141" s="97"/>
      <c r="E141" s="109"/>
      <c r="F141" s="109"/>
      <c r="G141" s="229"/>
      <c r="H141" s="230"/>
      <c r="I141" s="97"/>
      <c r="J141" s="109"/>
      <c r="K141" s="109"/>
      <c r="L141" s="109"/>
      <c r="M141" s="230"/>
      <c r="N141" s="230"/>
    </row>
    <row r="142" spans="1:25" s="49" customFormat="1" outlineLevel="1" x14ac:dyDescent="0.3">
      <c r="A142" s="61"/>
      <c r="B142" s="283" t="s">
        <v>72</v>
      </c>
      <c r="C142" s="284"/>
      <c r="D142" s="97"/>
      <c r="E142" s="109"/>
      <c r="F142" s="109"/>
      <c r="G142" s="229"/>
      <c r="H142" s="230"/>
      <c r="I142" s="97"/>
      <c r="J142" s="109"/>
      <c r="K142" s="109"/>
      <c r="L142" s="109"/>
      <c r="M142" s="230"/>
      <c r="N142" s="230"/>
    </row>
    <row r="143" spans="1:25" s="49" customFormat="1" outlineLevel="1" x14ac:dyDescent="0.3">
      <c r="A143" s="61"/>
      <c r="B143" s="133" t="s">
        <v>133</v>
      </c>
      <c r="C143" s="134"/>
      <c r="D143" s="97">
        <v>0</v>
      </c>
      <c r="E143" s="109">
        <f>500-D143</f>
        <v>500</v>
      </c>
      <c r="F143" s="109">
        <f>500-(SUM(D143:E143))</f>
        <v>0</v>
      </c>
      <c r="G143" s="229">
        <f>1044-(SUM(D143:F143))</f>
        <v>544</v>
      </c>
      <c r="H143" s="230">
        <f t="shared" ref="H143:H149" si="69">SUM(D143:G143)</f>
        <v>1044</v>
      </c>
      <c r="I143" s="97">
        <v>0</v>
      </c>
      <c r="J143" s="109">
        <v>0</v>
      </c>
      <c r="K143" s="109">
        <f>791-(SUM(I143:J143))</f>
        <v>791</v>
      </c>
      <c r="L143" s="109">
        <f>499-(SUM(I143:K143))</f>
        <v>-292</v>
      </c>
      <c r="M143" s="230">
        <f t="shared" ref="M143:N150" si="70">SUM(I143:L143)</f>
        <v>499</v>
      </c>
      <c r="N143" s="230">
        <v>0</v>
      </c>
    </row>
    <row r="144" spans="1:25" s="49" customFormat="1" outlineLevel="1" x14ac:dyDescent="0.3">
      <c r="A144" s="61"/>
      <c r="B144" s="133" t="s">
        <v>134</v>
      </c>
      <c r="C144" s="134"/>
      <c r="D144" s="97">
        <v>0</v>
      </c>
      <c r="E144" s="109">
        <f>-4-D144</f>
        <v>-4</v>
      </c>
      <c r="F144" s="109">
        <f>(-5)-(SUM(D144:E144))</f>
        <v>-1</v>
      </c>
      <c r="G144" s="229">
        <f>-9-(SUM(D144:F144))</f>
        <v>-4</v>
      </c>
      <c r="H144" s="230">
        <f t="shared" si="69"/>
        <v>-9</v>
      </c>
      <c r="I144" s="97">
        <v>0</v>
      </c>
      <c r="J144" s="109">
        <v>0</v>
      </c>
      <c r="K144" s="109">
        <f>0-(SUM(I144:J144))</f>
        <v>0</v>
      </c>
      <c r="L144" s="109">
        <f>-4-(SUM(I144:K144))</f>
        <v>-4</v>
      </c>
      <c r="M144" s="230">
        <f t="shared" si="70"/>
        <v>-4</v>
      </c>
      <c r="N144" s="230">
        <v>0</v>
      </c>
    </row>
    <row r="145" spans="1:20" s="49" customFormat="1" outlineLevel="1" x14ac:dyDescent="0.3">
      <c r="A145" s="61"/>
      <c r="B145" s="285" t="s">
        <v>129</v>
      </c>
      <c r="C145" s="286"/>
      <c r="D145" s="97">
        <v>-5</v>
      </c>
      <c r="E145" s="109">
        <f>-459-D145</f>
        <v>-454</v>
      </c>
      <c r="F145" s="109">
        <f>(-462)-(SUM(D145:E145))</f>
        <v>-3</v>
      </c>
      <c r="G145" s="229">
        <f>-870-(SUM(D145:F145))</f>
        <v>-408</v>
      </c>
      <c r="H145" s="230">
        <f t="shared" si="69"/>
        <v>-870</v>
      </c>
      <c r="I145" s="97">
        <v>-3</v>
      </c>
      <c r="J145" s="109">
        <f>-72-(SUM(I145))</f>
        <v>-69</v>
      </c>
      <c r="K145" s="109">
        <f>-152-(SUM(I145:J145))</f>
        <v>-80</v>
      </c>
      <c r="L145" s="109">
        <f>-152-(SUM(I145:K145))</f>
        <v>0</v>
      </c>
      <c r="M145" s="230">
        <f t="shared" si="70"/>
        <v>-152</v>
      </c>
      <c r="N145" s="230">
        <v>-3</v>
      </c>
    </row>
    <row r="146" spans="1:20" s="49" customFormat="1" outlineLevel="1" x14ac:dyDescent="0.3">
      <c r="A146" s="61"/>
      <c r="B146" s="285" t="s">
        <v>130</v>
      </c>
      <c r="C146" s="286"/>
      <c r="D146" s="97">
        <v>-92</v>
      </c>
      <c r="E146" s="109">
        <f>-204-D146</f>
        <v>-112</v>
      </c>
      <c r="F146" s="109">
        <f>(-314)-(SUM(D146:E146))</f>
        <v>-110</v>
      </c>
      <c r="G146" s="229">
        <f>-421-(SUM(D146:F146))</f>
        <v>-107</v>
      </c>
      <c r="H146" s="230">
        <f t="shared" si="69"/>
        <v>-421</v>
      </c>
      <c r="I146" s="97">
        <v>-106</v>
      </c>
      <c r="J146" s="109">
        <f>-227-(SUM(I146))</f>
        <v>-121</v>
      </c>
      <c r="K146" s="109">
        <f>-344-(SUM(I146:J146))</f>
        <v>-117</v>
      </c>
      <c r="L146" s="109">
        <f>-456-(SUM(I146:K146))</f>
        <v>-112</v>
      </c>
      <c r="M146" s="230">
        <f t="shared" si="70"/>
        <v>-456</v>
      </c>
      <c r="N146" s="230">
        <v>-112</v>
      </c>
    </row>
    <row r="147" spans="1:20" s="49" customFormat="1" outlineLevel="1" x14ac:dyDescent="0.3">
      <c r="A147" s="61"/>
      <c r="B147" s="285" t="s">
        <v>131</v>
      </c>
      <c r="C147" s="286"/>
      <c r="D147" s="97">
        <v>-11</v>
      </c>
      <c r="E147" s="109">
        <f>-61-D147</f>
        <v>-50</v>
      </c>
      <c r="F147" s="109">
        <f>(123)-(SUM(D147:E147))</f>
        <v>184</v>
      </c>
      <c r="G147" s="229">
        <f>133-(SUM(D147:F147))</f>
        <v>10</v>
      </c>
      <c r="H147" s="230">
        <f t="shared" si="69"/>
        <v>133</v>
      </c>
      <c r="I147" s="97">
        <v>-41</v>
      </c>
      <c r="J147" s="109">
        <f>-136-(SUM(I147))</f>
        <v>-95</v>
      </c>
      <c r="K147" s="109">
        <f>136-(SUM(I147:J147))</f>
        <v>272</v>
      </c>
      <c r="L147" s="109">
        <f>-83-(SUM(I147:K147))</f>
        <v>-219</v>
      </c>
      <c r="M147" s="230">
        <f t="shared" si="70"/>
        <v>-83</v>
      </c>
      <c r="N147" s="230">
        <v>43</v>
      </c>
    </row>
    <row r="148" spans="1:20" s="49" customFormat="1" outlineLevel="1" x14ac:dyDescent="0.3">
      <c r="A148" s="61"/>
      <c r="B148" s="133" t="s">
        <v>135</v>
      </c>
      <c r="C148" s="134"/>
      <c r="D148" s="97">
        <v>-403</v>
      </c>
      <c r="E148" s="109">
        <f>-922-D148</f>
        <v>-519</v>
      </c>
      <c r="F148" s="109">
        <f>(-1456)-(SUM(D148:E148))</f>
        <v>-534</v>
      </c>
      <c r="G148" s="229">
        <f>-1901-(SUM(D148:F148))</f>
        <v>-445</v>
      </c>
      <c r="H148" s="230">
        <f t="shared" si="69"/>
        <v>-1901</v>
      </c>
      <c r="I148" s="97">
        <v>-359</v>
      </c>
      <c r="J148" s="109">
        <f>-909-(SUM(I148))</f>
        <v>-550</v>
      </c>
      <c r="K148" s="109">
        <f>-1785-(SUM(I148:J148))</f>
        <v>-876</v>
      </c>
      <c r="L148" s="109">
        <f>-2001-(SUM(I148:K148))</f>
        <v>-216</v>
      </c>
      <c r="M148" s="230">
        <f t="shared" si="70"/>
        <v>-2001</v>
      </c>
      <c r="N148" s="230">
        <v>-130</v>
      </c>
    </row>
    <row r="149" spans="1:20" s="49" customFormat="1" outlineLevel="1" x14ac:dyDescent="0.3">
      <c r="A149" s="61"/>
      <c r="B149" s="133" t="s">
        <v>132</v>
      </c>
      <c r="C149" s="134"/>
      <c r="D149" s="97">
        <v>126</v>
      </c>
      <c r="E149" s="109">
        <f>149-D149</f>
        <v>23</v>
      </c>
      <c r="F149" s="109">
        <f>(208)-(SUM(D149:E149))</f>
        <v>59</v>
      </c>
      <c r="G149" s="229">
        <f>258-(SUM(D149:F149))</f>
        <v>50</v>
      </c>
      <c r="H149" s="230">
        <f t="shared" si="69"/>
        <v>258</v>
      </c>
      <c r="I149" s="97">
        <v>100</v>
      </c>
      <c r="J149" s="109">
        <f>158-(SUM(I149))</f>
        <v>58</v>
      </c>
      <c r="K149" s="109">
        <f>160-(SUM(I149:J149))</f>
        <v>2</v>
      </c>
      <c r="L149" s="109">
        <f>163-(SUM(I149:K149))</f>
        <v>3</v>
      </c>
      <c r="M149" s="230">
        <f t="shared" si="70"/>
        <v>163</v>
      </c>
      <c r="N149" s="230">
        <v>26</v>
      </c>
    </row>
    <row r="150" spans="1:20" s="49" customFormat="1" outlineLevel="1" x14ac:dyDescent="0.3">
      <c r="A150" s="61"/>
      <c r="B150" s="133" t="s">
        <v>151</v>
      </c>
      <c r="C150" s="134"/>
      <c r="D150" s="97">
        <v>0</v>
      </c>
      <c r="E150" s="109">
        <v>0</v>
      </c>
      <c r="F150" s="109">
        <v>0</v>
      </c>
      <c r="G150" s="229">
        <v>0</v>
      </c>
      <c r="H150" s="230">
        <v>0</v>
      </c>
      <c r="I150" s="97">
        <v>0</v>
      </c>
      <c r="J150" s="109">
        <v>0</v>
      </c>
      <c r="K150" s="109">
        <v>5</v>
      </c>
      <c r="L150" s="109">
        <f>5-(SUM(I150:K150))</f>
        <v>0</v>
      </c>
      <c r="M150" s="230">
        <f t="shared" si="70"/>
        <v>5</v>
      </c>
      <c r="N150" s="230">
        <v>4</v>
      </c>
    </row>
    <row r="151" spans="1:20" s="49" customFormat="1" outlineLevel="1" x14ac:dyDescent="0.3">
      <c r="A151" s="61"/>
      <c r="B151" s="289" t="s">
        <v>73</v>
      </c>
      <c r="C151" s="290"/>
      <c r="D151" s="166">
        <f>SUM(D143:D150)</f>
        <v>-385</v>
      </c>
      <c r="E151" s="167">
        <f>SUM(E143:E149)</f>
        <v>-616</v>
      </c>
      <c r="F151" s="167">
        <f>SUM(F143:F149)</f>
        <v>-405</v>
      </c>
      <c r="G151" s="168">
        <f>SUM(G143:G149)</f>
        <v>-360</v>
      </c>
      <c r="H151" s="230">
        <f>SUM(H143:H149)</f>
        <v>-1766</v>
      </c>
      <c r="I151" s="166">
        <f>SUM(I143:I150)</f>
        <v>-409</v>
      </c>
      <c r="J151" s="167">
        <f>SUM(J143:J149)</f>
        <v>-777</v>
      </c>
      <c r="K151" s="167">
        <f>SUM(K143:K150)</f>
        <v>-3</v>
      </c>
      <c r="L151" s="167">
        <f>SUM(L143:L149)</f>
        <v>-840</v>
      </c>
      <c r="M151" s="169">
        <f>SUM(M143:M150)</f>
        <v>-2029</v>
      </c>
      <c r="N151" s="169">
        <f>SUM(N143:N150)</f>
        <v>-172</v>
      </c>
    </row>
    <row r="152" spans="1:20" s="49" customFormat="1" outlineLevel="1" x14ac:dyDescent="0.3">
      <c r="A152" s="61"/>
      <c r="B152" s="289" t="s">
        <v>74</v>
      </c>
      <c r="C152" s="290"/>
      <c r="D152" s="166">
        <f t="shared" ref="D152:M152" si="71">D151+D140+D132</f>
        <v>-395</v>
      </c>
      <c r="E152" s="236">
        <f t="shared" si="71"/>
        <v>-248</v>
      </c>
      <c r="F152" s="236">
        <f t="shared" si="71"/>
        <v>-582</v>
      </c>
      <c r="G152" s="244">
        <f t="shared" si="71"/>
        <v>1198</v>
      </c>
      <c r="H152" s="232">
        <f t="shared" si="71"/>
        <v>-27</v>
      </c>
      <c r="I152" s="245">
        <f t="shared" si="71"/>
        <v>-737</v>
      </c>
      <c r="J152" s="236">
        <f t="shared" si="71"/>
        <v>-666</v>
      </c>
      <c r="K152" s="167">
        <f t="shared" si="71"/>
        <v>-369</v>
      </c>
      <c r="L152" s="236">
        <f t="shared" si="71"/>
        <v>635</v>
      </c>
      <c r="M152" s="232">
        <f t="shared" si="71"/>
        <v>-1137</v>
      </c>
      <c r="N152" s="232">
        <f>N151+N140+N132</f>
        <v>-375</v>
      </c>
    </row>
    <row r="153" spans="1:20" s="50" customFormat="1" outlineLevel="1" x14ac:dyDescent="0.3">
      <c r="A153" s="130"/>
      <c r="B153" s="133" t="s">
        <v>75</v>
      </c>
      <c r="C153" s="134"/>
      <c r="D153" s="156"/>
      <c r="E153" s="246"/>
      <c r="F153" s="246"/>
      <c r="G153" s="247"/>
      <c r="H153" s="233">
        <f>SUM(D153:G153)</f>
        <v>0</v>
      </c>
      <c r="I153" s="248"/>
      <c r="J153" s="246"/>
      <c r="K153" s="157"/>
      <c r="L153" s="246"/>
      <c r="M153" s="233">
        <f>SUM(I153:L153)</f>
        <v>0</v>
      </c>
      <c r="N153" s="233">
        <f>SUM(J153:M153)</f>
        <v>0</v>
      </c>
    </row>
    <row r="154" spans="1:20" s="49" customFormat="1" outlineLevel="1" x14ac:dyDescent="0.3">
      <c r="A154" s="61"/>
      <c r="B154" s="289" t="s">
        <v>76</v>
      </c>
      <c r="C154" s="290"/>
      <c r="D154" s="166">
        <v>2273</v>
      </c>
      <c r="E154" s="236">
        <f>D155</f>
        <v>1878</v>
      </c>
      <c r="F154" s="236">
        <f>E155</f>
        <v>1630</v>
      </c>
      <c r="G154" s="244">
        <f>F155</f>
        <v>1048</v>
      </c>
      <c r="H154" s="169">
        <f>D154</f>
        <v>2273</v>
      </c>
      <c r="I154" s="245">
        <f>H155</f>
        <v>2246</v>
      </c>
      <c r="J154" s="236">
        <f>I155</f>
        <v>1509</v>
      </c>
      <c r="K154" s="167">
        <f>J155</f>
        <v>843</v>
      </c>
      <c r="L154" s="236">
        <f>K155</f>
        <v>474</v>
      </c>
      <c r="M154" s="232">
        <f>H155</f>
        <v>2246</v>
      </c>
      <c r="N154" s="232">
        <f>M155</f>
        <v>1109</v>
      </c>
    </row>
    <row r="155" spans="1:20" s="49" customFormat="1" outlineLevel="1" x14ac:dyDescent="0.3">
      <c r="A155" s="61"/>
      <c r="B155" s="289" t="s">
        <v>77</v>
      </c>
      <c r="C155" s="290"/>
      <c r="D155" s="166">
        <f>D154+D152+D153</f>
        <v>1878</v>
      </c>
      <c r="E155" s="236">
        <f>E154+E152+E153</f>
        <v>1630</v>
      </c>
      <c r="F155" s="236">
        <f>F154+F152+F153</f>
        <v>1048</v>
      </c>
      <c r="G155" s="168">
        <f>G154+G152+G153</f>
        <v>2246</v>
      </c>
      <c r="H155" s="232">
        <f>G155</f>
        <v>2246</v>
      </c>
      <c r="I155" s="166">
        <f>I154+I152+I153</f>
        <v>1509</v>
      </c>
      <c r="J155" s="236">
        <f>J154+J152+J153</f>
        <v>843</v>
      </c>
      <c r="K155" s="167">
        <f>K154+K152+K153</f>
        <v>474</v>
      </c>
      <c r="L155" s="236">
        <f>L154+L152+L153</f>
        <v>1109</v>
      </c>
      <c r="M155" s="232">
        <f>M154+M152+M153</f>
        <v>1109</v>
      </c>
      <c r="N155" s="232">
        <f>N154+N152+N153</f>
        <v>734</v>
      </c>
    </row>
    <row r="156" spans="1:20" s="49" customFormat="1" outlineLevel="1" x14ac:dyDescent="0.3">
      <c r="A156" s="61"/>
      <c r="B156" s="139" t="s">
        <v>140</v>
      </c>
      <c r="C156" s="140"/>
      <c r="D156" s="166"/>
      <c r="E156" s="236"/>
      <c r="F156" s="236"/>
      <c r="G156" s="168"/>
      <c r="H156" s="232"/>
      <c r="I156" s="166"/>
      <c r="J156" s="236"/>
      <c r="K156" s="167"/>
      <c r="L156" s="236"/>
      <c r="M156" s="232"/>
      <c r="N156" s="232"/>
    </row>
    <row r="157" spans="1:20" s="49" customFormat="1" outlineLevel="1" x14ac:dyDescent="0.3">
      <c r="A157" s="61"/>
      <c r="B157" s="133" t="s">
        <v>141</v>
      </c>
      <c r="C157" s="140"/>
      <c r="D157" s="156">
        <v>83</v>
      </c>
      <c r="E157" s="246">
        <f>202-(SUM(D157))</f>
        <v>119</v>
      </c>
      <c r="F157" s="246">
        <f>284-(SUM(D157:E157))</f>
        <v>82</v>
      </c>
      <c r="G157" s="158">
        <f>413-(SUM(D157:F157))</f>
        <v>129</v>
      </c>
      <c r="H157" s="233">
        <f>SUM(D157:G157)</f>
        <v>413</v>
      </c>
      <c r="I157" s="156">
        <v>81</v>
      </c>
      <c r="J157" s="246">
        <f>194-(SUM(I157))</f>
        <v>113</v>
      </c>
      <c r="K157" s="157">
        <v>274</v>
      </c>
      <c r="L157" s="246">
        <f>383-(SUM(I157:K157))</f>
        <v>-85</v>
      </c>
      <c r="M157" s="233">
        <f>SUM(I157:L157)</f>
        <v>383</v>
      </c>
      <c r="N157" s="233">
        <v>80</v>
      </c>
    </row>
    <row r="158" spans="1:20" s="49" customFormat="1" outlineLevel="1" x14ac:dyDescent="0.3">
      <c r="A158" s="61"/>
      <c r="B158" s="133" t="s">
        <v>142</v>
      </c>
      <c r="C158" s="140"/>
      <c r="D158" s="166">
        <v>0</v>
      </c>
      <c r="E158" s="246">
        <v>1</v>
      </c>
      <c r="F158" s="246">
        <f>2-(SUM(D158:E158))</f>
        <v>1</v>
      </c>
      <c r="G158" s="158">
        <f>2-(SUM(D158:F158))</f>
        <v>0</v>
      </c>
      <c r="H158" s="233">
        <v>2</v>
      </c>
      <c r="I158" s="156">
        <v>0</v>
      </c>
      <c r="J158" s="246">
        <f>1-(SUM(I158))</f>
        <v>1</v>
      </c>
      <c r="K158" s="157">
        <v>2</v>
      </c>
      <c r="L158" s="246">
        <f>2-(SUM(I158:K158))</f>
        <v>-1</v>
      </c>
      <c r="M158" s="233">
        <f>SUM(I158:L158)</f>
        <v>2</v>
      </c>
      <c r="N158" s="233">
        <v>1</v>
      </c>
    </row>
    <row r="159" spans="1:20" s="49" customFormat="1" outlineLevel="1" x14ac:dyDescent="0.3">
      <c r="A159" s="61"/>
      <c r="B159" s="133" t="s">
        <v>143</v>
      </c>
      <c r="C159" s="140"/>
      <c r="D159" s="156">
        <v>343</v>
      </c>
      <c r="E159" s="246">
        <f>495-D159</f>
        <v>152</v>
      </c>
      <c r="F159" s="246">
        <f>565-(SUM(D159:E159))</f>
        <v>70</v>
      </c>
      <c r="G159" s="158">
        <f>834-(SUM(D159:F159))</f>
        <v>269</v>
      </c>
      <c r="H159" s="233">
        <f>SUM(D159:G159)</f>
        <v>834</v>
      </c>
      <c r="I159" s="156">
        <v>314</v>
      </c>
      <c r="J159" s="246">
        <f>450-(SUM(I159))</f>
        <v>136</v>
      </c>
      <c r="K159" s="157">
        <v>474</v>
      </c>
      <c r="L159" s="246">
        <f>635-(SUM(I159:K159))</f>
        <v>-289</v>
      </c>
      <c r="M159" s="233">
        <f>SUM(I159:L159)</f>
        <v>635</v>
      </c>
      <c r="N159" s="233">
        <v>257</v>
      </c>
      <c r="O159" s="61"/>
      <c r="P159" s="61"/>
      <c r="Q159" s="61"/>
      <c r="R159" s="61"/>
      <c r="S159" s="61"/>
      <c r="T159" s="61"/>
    </row>
    <row r="160" spans="1:20" s="49" customFormat="1" outlineLevel="1" x14ac:dyDescent="0.3">
      <c r="A160" s="61"/>
      <c r="B160" s="287" t="s">
        <v>78</v>
      </c>
      <c r="C160" s="288"/>
      <c r="D160" s="102">
        <f>(D79-D91-D97)/D30</f>
        <v>-14.23778851315083</v>
      </c>
      <c r="E160" s="103">
        <f t="shared" ref="E160:M160" si="72">(E79-E91-E97)/E30</f>
        <v>-15.311986863711002</v>
      </c>
      <c r="F160" s="103">
        <f t="shared" si="72"/>
        <v>-17.251887056192341</v>
      </c>
      <c r="G160" s="104">
        <f t="shared" si="72"/>
        <v>-14.519806212596182</v>
      </c>
      <c r="H160" s="105">
        <f t="shared" si="72"/>
        <v>-14.08625933093724</v>
      </c>
      <c r="I160" s="106">
        <f t="shared" si="72"/>
        <v>-16.816738816738816</v>
      </c>
      <c r="J160" s="103">
        <f t="shared" si="72"/>
        <v>-18.824391673995894</v>
      </c>
      <c r="K160" s="107">
        <f t="shared" si="72"/>
        <v>-22.714589020321505</v>
      </c>
      <c r="L160" s="107">
        <f t="shared" si="72"/>
        <v>-20.736975857687419</v>
      </c>
      <c r="M160" s="105">
        <f t="shared" si="72"/>
        <v>-19.603603603603602</v>
      </c>
      <c r="N160" s="105">
        <f t="shared" ref="N160" si="73">(N79-N91-N97)/N30</f>
        <v>-22.003189792663477</v>
      </c>
      <c r="O160" s="61"/>
      <c r="P160" s="61"/>
      <c r="Q160" s="61"/>
      <c r="R160" s="61"/>
      <c r="S160" s="61"/>
      <c r="T160" s="61"/>
    </row>
    <row r="161" spans="1:24" s="49" customFormat="1" ht="15" customHeight="1" x14ac:dyDescent="0.3">
      <c r="A161" s="61"/>
      <c r="B161" s="23"/>
      <c r="C161" s="85"/>
      <c r="D161" s="112">
        <f t="shared" ref="D161:M161" si="74">D155-D79</f>
        <v>0</v>
      </c>
      <c r="E161" s="112">
        <f t="shared" si="74"/>
        <v>0</v>
      </c>
      <c r="F161" s="112">
        <f t="shared" si="74"/>
        <v>0</v>
      </c>
      <c r="G161" s="112">
        <f t="shared" si="74"/>
        <v>0</v>
      </c>
      <c r="H161" s="112">
        <f t="shared" si="74"/>
        <v>0</v>
      </c>
      <c r="I161" s="112">
        <f t="shared" si="74"/>
        <v>0</v>
      </c>
      <c r="J161" s="112">
        <f t="shared" si="74"/>
        <v>0</v>
      </c>
      <c r="K161" s="112">
        <f t="shared" si="74"/>
        <v>0</v>
      </c>
      <c r="L161" s="112">
        <f t="shared" si="74"/>
        <v>0</v>
      </c>
      <c r="M161" s="112">
        <f t="shared" si="74"/>
        <v>0</v>
      </c>
      <c r="N161" s="41"/>
      <c r="O161" s="41"/>
      <c r="P161" s="41"/>
      <c r="Q161" s="41"/>
      <c r="R161" s="41"/>
      <c r="S161" s="41"/>
      <c r="T161" s="41"/>
      <c r="U161" s="41"/>
      <c r="V161" s="41"/>
      <c r="W161" s="41"/>
      <c r="X161" s="65"/>
    </row>
    <row r="162" spans="1:24" ht="15.6" x14ac:dyDescent="0.3">
      <c r="A162" s="61"/>
      <c r="B162" s="291" t="s">
        <v>1</v>
      </c>
      <c r="C162" s="292"/>
      <c r="D162" s="13"/>
      <c r="E162" s="13"/>
      <c r="F162" s="13"/>
      <c r="G162" s="13"/>
      <c r="H162" s="21"/>
      <c r="I162" s="13"/>
      <c r="J162" s="13"/>
      <c r="K162" s="48"/>
      <c r="L162" s="13"/>
      <c r="M162" s="13"/>
      <c r="N162" s="13"/>
      <c r="O162" s="13"/>
      <c r="P162" s="13"/>
      <c r="Q162" s="13"/>
      <c r="R162" s="13"/>
      <c r="S162" s="13"/>
      <c r="T162" s="13"/>
      <c r="U162" s="13"/>
      <c r="V162" s="13"/>
      <c r="W162" s="13"/>
    </row>
    <row r="163" spans="1:24" x14ac:dyDescent="0.3">
      <c r="A163" s="61"/>
      <c r="B163" s="25" t="s">
        <v>10</v>
      </c>
      <c r="C163" s="71">
        <v>17.600000000000001</v>
      </c>
      <c r="D163" s="80"/>
      <c r="E163" s="5"/>
      <c r="F163" s="5"/>
      <c r="G163" s="5"/>
      <c r="H163" s="32"/>
      <c r="I163" s="6"/>
      <c r="J163" s="7"/>
      <c r="K163" s="4"/>
      <c r="L163" s="4"/>
      <c r="M163" s="7"/>
      <c r="N163" s="6"/>
      <c r="O163" s="7"/>
      <c r="P163" s="4"/>
      <c r="Q163" s="4"/>
      <c r="R163" s="7"/>
      <c r="S163" s="6"/>
      <c r="T163" s="7"/>
      <c r="U163" s="4"/>
      <c r="V163" s="4"/>
      <c r="W163" s="7"/>
    </row>
    <row r="164" spans="1:24" x14ac:dyDescent="0.3">
      <c r="A164" s="61"/>
      <c r="B164" s="25" t="s">
        <v>11</v>
      </c>
      <c r="C164" s="72">
        <v>19.399999999999999</v>
      </c>
      <c r="D164" s="81"/>
      <c r="E164" s="21"/>
      <c r="F164" s="21"/>
      <c r="G164" s="21"/>
      <c r="H164" s="32"/>
      <c r="I164" s="21"/>
      <c r="J164" s="21"/>
      <c r="K164" s="22"/>
      <c r="L164" s="22"/>
      <c r="M164" s="22"/>
      <c r="N164" s="21"/>
      <c r="O164" s="21"/>
      <c r="P164" s="22"/>
      <c r="Q164" s="22"/>
      <c r="R164" s="22"/>
      <c r="S164" s="21"/>
      <c r="T164" s="21"/>
      <c r="U164" s="22"/>
      <c r="V164" s="22"/>
      <c r="W164" s="22"/>
    </row>
    <row r="165" spans="1:24" x14ac:dyDescent="0.3">
      <c r="A165" s="61"/>
      <c r="B165" s="25" t="s">
        <v>12</v>
      </c>
      <c r="C165" s="72">
        <v>14.9</v>
      </c>
      <c r="D165" s="81"/>
      <c r="E165" s="21"/>
      <c r="F165" s="28"/>
      <c r="G165" s="21"/>
      <c r="H165" s="32"/>
      <c r="I165" s="21"/>
      <c r="J165" s="21"/>
      <c r="K165" s="22"/>
      <c r="L165" s="22"/>
      <c r="M165" s="22"/>
      <c r="N165" s="21"/>
      <c r="O165" s="21"/>
      <c r="P165" s="22"/>
      <c r="Q165" s="22"/>
      <c r="R165" s="22"/>
      <c r="S165" s="21"/>
      <c r="T165" s="21"/>
      <c r="U165" s="22"/>
      <c r="V165" s="22"/>
      <c r="W165" s="22"/>
    </row>
    <row r="166" spans="1:24" x14ac:dyDescent="0.3">
      <c r="A166" s="61"/>
      <c r="B166" s="25" t="s">
        <v>2</v>
      </c>
      <c r="C166" s="277">
        <v>16.510200000000001</v>
      </c>
      <c r="D166" s="81"/>
      <c r="E166" s="21"/>
      <c r="F166" s="21"/>
      <c r="G166" s="21"/>
      <c r="H166" s="32"/>
      <c r="I166" s="21"/>
      <c r="J166" s="21"/>
      <c r="K166" s="22"/>
      <c r="L166" s="22"/>
      <c r="M166" s="22"/>
      <c r="N166" s="21"/>
      <c r="O166" s="21"/>
      <c r="P166" s="22"/>
      <c r="Q166" s="22"/>
      <c r="R166" s="22"/>
      <c r="S166" s="21"/>
      <c r="T166" s="21"/>
      <c r="U166" s="22"/>
      <c r="V166" s="22"/>
      <c r="W166" s="22"/>
    </row>
    <row r="167" spans="1:24" s="27" customFormat="1" x14ac:dyDescent="0.3">
      <c r="A167" s="61"/>
      <c r="B167" s="25" t="s">
        <v>16</v>
      </c>
      <c r="C167" s="33">
        <f>M160</f>
        <v>-19.603603603603602</v>
      </c>
      <c r="D167" s="81"/>
      <c r="E167" s="21"/>
      <c r="F167" s="21"/>
      <c r="G167" s="21"/>
      <c r="H167" s="32"/>
      <c r="I167" s="21"/>
      <c r="J167" s="21"/>
      <c r="K167" s="22"/>
      <c r="L167" s="22"/>
      <c r="M167" s="22"/>
      <c r="N167" s="21"/>
      <c r="O167" s="21"/>
      <c r="P167" s="22"/>
      <c r="Q167" s="22"/>
      <c r="R167" s="22"/>
      <c r="S167" s="21"/>
      <c r="T167" s="21"/>
      <c r="U167" s="22"/>
      <c r="V167" s="22"/>
      <c r="W167" s="22"/>
    </row>
    <row r="168" spans="1:24" x14ac:dyDescent="0.3">
      <c r="A168" s="61"/>
      <c r="B168" s="14" t="s">
        <v>17</v>
      </c>
      <c r="C168" s="278">
        <f>(Q33+N33+O33+P33)*C166+C167</f>
        <v>34.999958672854213</v>
      </c>
      <c r="D168" s="82"/>
      <c r="E168" s="21"/>
      <c r="F168" s="21"/>
      <c r="G168" s="21"/>
      <c r="H168" s="32"/>
      <c r="I168" s="21"/>
      <c r="J168" s="21"/>
      <c r="K168" s="22"/>
      <c r="L168" s="22"/>
      <c r="M168" s="22"/>
      <c r="N168" s="21"/>
      <c r="O168" s="21"/>
      <c r="P168" s="22"/>
      <c r="Q168" s="22"/>
      <c r="R168" s="22"/>
      <c r="S168" s="21"/>
      <c r="T168" s="21"/>
      <c r="U168" s="22"/>
      <c r="V168" s="22"/>
      <c r="W168" s="22"/>
    </row>
    <row r="169" spans="1:24" s="27" customFormat="1" ht="112.2" customHeight="1" x14ac:dyDescent="0.3">
      <c r="A169" s="61"/>
      <c r="B169" s="333" t="s">
        <v>195</v>
      </c>
      <c r="C169" s="334"/>
      <c r="D169" s="82"/>
      <c r="E169" s="21"/>
      <c r="F169" s="21"/>
      <c r="G169" s="21"/>
      <c r="H169" s="21"/>
      <c r="I169" s="21"/>
      <c r="J169" s="21"/>
      <c r="K169" s="22"/>
      <c r="L169" s="22"/>
      <c r="M169" s="22"/>
      <c r="N169" s="21"/>
      <c r="O169" s="21"/>
      <c r="P169" s="22"/>
      <c r="Q169" s="22"/>
      <c r="R169" s="22"/>
      <c r="S169" s="21"/>
      <c r="T169" s="21"/>
      <c r="U169" s="22"/>
      <c r="V169" s="22"/>
      <c r="W169" s="22"/>
    </row>
    <row r="170" spans="1:24" s="27" customFormat="1" ht="65.25" customHeight="1" x14ac:dyDescent="0.3">
      <c r="A170" s="61"/>
      <c r="B170" s="331" t="s">
        <v>44</v>
      </c>
      <c r="C170" s="332"/>
      <c r="D170" s="82"/>
      <c r="E170" s="21"/>
      <c r="F170" s="21"/>
      <c r="G170" s="21"/>
      <c r="H170" s="21"/>
      <c r="I170" s="21"/>
      <c r="J170" s="21"/>
      <c r="K170" s="22"/>
      <c r="L170" s="22"/>
      <c r="M170" s="22"/>
      <c r="N170" s="21"/>
      <c r="O170" s="21"/>
      <c r="P170" s="22"/>
      <c r="Q170" s="22"/>
      <c r="R170" s="22"/>
      <c r="S170" s="21"/>
      <c r="T170" s="21"/>
      <c r="U170" s="22"/>
      <c r="V170" s="22"/>
      <c r="W170" s="22"/>
    </row>
    <row r="171" spans="1:24" x14ac:dyDescent="0.3">
      <c r="A171" s="61"/>
      <c r="B171" s="130"/>
      <c r="C171" s="8"/>
      <c r="D171" s="8"/>
    </row>
    <row r="172" spans="1:24" ht="15.6" x14ac:dyDescent="0.3">
      <c r="A172" s="61"/>
      <c r="B172" s="291" t="s">
        <v>51</v>
      </c>
      <c r="C172" s="292"/>
      <c r="D172" s="8"/>
    </row>
    <row r="173" spans="1:24" x14ac:dyDescent="0.3">
      <c r="A173" s="61"/>
      <c r="B173" s="205" t="s">
        <v>47</v>
      </c>
      <c r="C173" s="279">
        <v>4.99E-2</v>
      </c>
    </row>
    <row r="174" spans="1:24" s="49" customFormat="1" x14ac:dyDescent="0.3">
      <c r="A174" s="61"/>
      <c r="B174" s="25" t="s">
        <v>48</v>
      </c>
      <c r="C174" s="280">
        <v>0.1071</v>
      </c>
      <c r="D174" s="1"/>
      <c r="E174" s="1"/>
      <c r="F174" s="1"/>
      <c r="G174" s="1"/>
      <c r="H174" s="1"/>
      <c r="I174" s="1"/>
      <c r="J174" s="1"/>
      <c r="K174" s="3"/>
      <c r="L174" s="3"/>
      <c r="M174" s="3"/>
      <c r="N174" s="1"/>
      <c r="O174" s="1"/>
      <c r="P174" s="3"/>
      <c r="Q174" s="3"/>
      <c r="R174" s="3"/>
      <c r="S174" s="1"/>
      <c r="T174" s="1"/>
      <c r="U174" s="3"/>
      <c r="V174" s="3"/>
      <c r="W174" s="3"/>
    </row>
    <row r="175" spans="1:24" s="49" customFormat="1" x14ac:dyDescent="0.3">
      <c r="A175" s="61"/>
      <c r="B175" s="25" t="s">
        <v>52</v>
      </c>
      <c r="C175" s="76">
        <f>C168</f>
        <v>34.999958672854213</v>
      </c>
      <c r="D175" s="1"/>
      <c r="E175" s="1"/>
      <c r="F175" s="1"/>
      <c r="G175" s="1"/>
      <c r="H175" s="1"/>
      <c r="I175" s="1"/>
      <c r="J175" s="1"/>
      <c r="K175" s="3"/>
      <c r="L175" s="3"/>
      <c r="M175" s="3"/>
      <c r="N175" s="1"/>
      <c r="O175" s="1"/>
      <c r="P175" s="3"/>
      <c r="Q175" s="3"/>
      <c r="R175" s="3"/>
      <c r="S175" s="1"/>
      <c r="T175" s="1"/>
      <c r="U175" s="3"/>
      <c r="V175" s="3"/>
      <c r="W175" s="3"/>
    </row>
    <row r="176" spans="1:24" x14ac:dyDescent="0.3">
      <c r="A176" s="61"/>
      <c r="B176" s="25" t="s">
        <v>49</v>
      </c>
      <c r="C176" s="76">
        <f>C175*(1+(C174+2*C173))</f>
        <v>42.24145012226775</v>
      </c>
      <c r="H176" s="75"/>
    </row>
    <row r="177" spans="1:23" x14ac:dyDescent="0.3">
      <c r="A177" s="61"/>
      <c r="B177" s="77" t="s">
        <v>50</v>
      </c>
      <c r="C177" s="206">
        <f>C175*(1-(C174+2*C173))</f>
        <v>27.758467223440675</v>
      </c>
      <c r="H177" s="74"/>
    </row>
    <row r="178" spans="1:23" s="49" customFormat="1" ht="15" customHeight="1" x14ac:dyDescent="0.3">
      <c r="A178" s="61"/>
      <c r="B178" s="327" t="s">
        <v>196</v>
      </c>
      <c r="C178" s="328"/>
      <c r="D178" s="1"/>
      <c r="E178" s="1"/>
      <c r="F178" s="1"/>
      <c r="G178" s="1"/>
      <c r="H178" s="1"/>
      <c r="I178" s="1"/>
      <c r="J178" s="1"/>
      <c r="K178" s="3"/>
      <c r="L178" s="3"/>
      <c r="M178" s="3"/>
      <c r="N178" s="1"/>
      <c r="O178" s="1"/>
      <c r="P178" s="3"/>
      <c r="Q178" s="3"/>
      <c r="R178" s="3"/>
      <c r="S178" s="1"/>
      <c r="T178" s="1"/>
      <c r="U178" s="3"/>
      <c r="V178" s="3"/>
      <c r="W178" s="3"/>
    </row>
    <row r="179" spans="1:23" x14ac:dyDescent="0.3">
      <c r="A179" s="61"/>
      <c r="B179" s="327"/>
      <c r="C179" s="328"/>
    </row>
    <row r="180" spans="1:23" x14ac:dyDescent="0.3">
      <c r="A180" s="61"/>
      <c r="B180" s="327"/>
      <c r="C180" s="328"/>
    </row>
    <row r="181" spans="1:23" x14ac:dyDescent="0.3">
      <c r="A181" s="61"/>
      <c r="B181" s="327"/>
      <c r="C181" s="328"/>
    </row>
    <row r="182" spans="1:23" x14ac:dyDescent="0.3">
      <c r="A182" s="61"/>
      <c r="B182" s="327"/>
      <c r="C182" s="328"/>
    </row>
    <row r="183" spans="1:23" x14ac:dyDescent="0.3">
      <c r="A183" s="61"/>
      <c r="B183" s="327"/>
      <c r="C183" s="328"/>
      <c r="D183"/>
      <c r="E183"/>
      <c r="F183"/>
      <c r="G183"/>
      <c r="H183"/>
      <c r="I183"/>
      <c r="J183"/>
      <c r="K183"/>
      <c r="L183"/>
      <c r="M183"/>
      <c r="N183"/>
      <c r="O183"/>
      <c r="P183"/>
      <c r="Q183"/>
      <c r="R183"/>
      <c r="S183"/>
      <c r="T183"/>
      <c r="U183"/>
      <c r="V183"/>
      <c r="W183"/>
    </row>
    <row r="184" spans="1:23" x14ac:dyDescent="0.3">
      <c r="A184" s="61"/>
      <c r="B184" s="327"/>
      <c r="C184" s="328"/>
      <c r="D184"/>
      <c r="E184"/>
      <c r="F184"/>
      <c r="G184"/>
      <c r="H184"/>
      <c r="I184"/>
      <c r="J184"/>
      <c r="K184"/>
      <c r="L184"/>
      <c r="M184"/>
      <c r="N184"/>
      <c r="O184"/>
      <c r="P184"/>
      <c r="Q184"/>
      <c r="R184"/>
      <c r="S184"/>
      <c r="T184"/>
      <c r="U184"/>
      <c r="V184"/>
      <c r="W184"/>
    </row>
    <row r="185" spans="1:23" x14ac:dyDescent="0.3">
      <c r="A185" s="61"/>
      <c r="B185" s="327"/>
      <c r="C185" s="328"/>
      <c r="D185"/>
      <c r="E185"/>
      <c r="F185"/>
      <c r="G185"/>
      <c r="H185"/>
      <c r="I185"/>
      <c r="J185"/>
      <c r="K185"/>
      <c r="L185"/>
      <c r="M185"/>
      <c r="N185"/>
      <c r="O185"/>
      <c r="P185"/>
      <c r="Q185"/>
      <c r="R185"/>
      <c r="S185"/>
      <c r="T185"/>
      <c r="U185"/>
      <c r="V185"/>
      <c r="W185"/>
    </row>
    <row r="186" spans="1:23" x14ac:dyDescent="0.3">
      <c r="A186" s="61"/>
      <c r="B186" s="327"/>
      <c r="C186" s="328"/>
      <c r="D186"/>
      <c r="E186"/>
      <c r="F186"/>
      <c r="G186"/>
      <c r="H186"/>
      <c r="I186"/>
      <c r="J186"/>
      <c r="K186"/>
      <c r="L186"/>
      <c r="M186"/>
      <c r="N186"/>
      <c r="O186"/>
      <c r="P186"/>
      <c r="Q186"/>
      <c r="R186"/>
      <c r="S186"/>
      <c r="T186"/>
      <c r="U186"/>
      <c r="V186"/>
      <c r="W186"/>
    </row>
    <row r="187" spans="1:23" x14ac:dyDescent="0.3">
      <c r="A187" s="61"/>
      <c r="B187" s="327"/>
      <c r="C187" s="328"/>
      <c r="D187"/>
      <c r="E187"/>
      <c r="F187"/>
      <c r="G187"/>
      <c r="H187"/>
      <c r="I187"/>
      <c r="J187"/>
      <c r="K187"/>
      <c r="L187"/>
      <c r="M187"/>
      <c r="N187"/>
      <c r="O187"/>
      <c r="P187"/>
      <c r="Q187"/>
      <c r="R187"/>
      <c r="S187"/>
      <c r="T187"/>
      <c r="U187"/>
      <c r="V187"/>
      <c r="W187"/>
    </row>
    <row r="188" spans="1:23" x14ac:dyDescent="0.3">
      <c r="A188" s="61"/>
      <c r="B188" s="327"/>
      <c r="C188" s="328"/>
      <c r="D188"/>
      <c r="E188"/>
      <c r="F188"/>
      <c r="G188"/>
      <c r="H188"/>
      <c r="I188"/>
      <c r="J188"/>
      <c r="K188"/>
      <c r="L188"/>
      <c r="M188"/>
      <c r="N188"/>
      <c r="O188"/>
      <c r="P188"/>
      <c r="Q188"/>
      <c r="R188"/>
      <c r="S188"/>
      <c r="T188"/>
      <c r="U188"/>
      <c r="V188"/>
      <c r="W188"/>
    </row>
    <row r="189" spans="1:23" x14ac:dyDescent="0.3">
      <c r="A189" s="61"/>
      <c r="B189" s="327"/>
      <c r="C189" s="328"/>
      <c r="D189"/>
      <c r="E189"/>
      <c r="F189"/>
      <c r="G189"/>
      <c r="H189"/>
      <c r="I189"/>
      <c r="J189"/>
      <c r="K189"/>
      <c r="L189"/>
      <c r="M189"/>
      <c r="N189"/>
      <c r="O189"/>
      <c r="P189"/>
      <c r="Q189"/>
      <c r="R189"/>
      <c r="S189"/>
      <c r="T189"/>
      <c r="U189"/>
      <c r="V189"/>
      <c r="W189"/>
    </row>
    <row r="190" spans="1:23" x14ac:dyDescent="0.3">
      <c r="A190" s="61"/>
      <c r="B190" s="327"/>
      <c r="C190" s="328"/>
      <c r="D190"/>
      <c r="E190"/>
      <c r="F190"/>
      <c r="G190"/>
      <c r="H190"/>
      <c r="I190"/>
      <c r="J190"/>
      <c r="K190"/>
      <c r="L190"/>
      <c r="M190"/>
      <c r="N190"/>
      <c r="O190"/>
      <c r="P190"/>
      <c r="Q190"/>
      <c r="R190"/>
      <c r="S190"/>
      <c r="T190"/>
      <c r="U190"/>
      <c r="V190"/>
      <c r="W190"/>
    </row>
    <row r="191" spans="1:23" x14ac:dyDescent="0.3">
      <c r="A191" s="61"/>
      <c r="B191" s="327"/>
      <c r="C191" s="328"/>
      <c r="D191"/>
      <c r="E191"/>
      <c r="F191"/>
      <c r="G191"/>
      <c r="H191"/>
      <c r="I191"/>
      <c r="J191"/>
      <c r="K191"/>
      <c r="L191"/>
      <c r="M191"/>
      <c r="N191"/>
      <c r="O191"/>
      <c r="P191"/>
      <c r="Q191"/>
      <c r="R191"/>
      <c r="S191"/>
      <c r="T191"/>
      <c r="U191"/>
      <c r="V191"/>
      <c r="W191"/>
    </row>
    <row r="192" spans="1:23" x14ac:dyDescent="0.3">
      <c r="A192" s="61"/>
      <c r="B192" s="327"/>
      <c r="C192" s="328"/>
      <c r="D192"/>
      <c r="E192"/>
      <c r="F192"/>
      <c r="G192"/>
      <c r="H192"/>
      <c r="I192"/>
      <c r="J192"/>
      <c r="K192"/>
      <c r="L192"/>
      <c r="M192"/>
      <c r="N192"/>
      <c r="O192"/>
      <c r="P192"/>
      <c r="Q192"/>
      <c r="R192"/>
      <c r="S192"/>
      <c r="T192"/>
      <c r="U192"/>
      <c r="V192"/>
      <c r="W192"/>
    </row>
    <row r="193" spans="1:23" x14ac:dyDescent="0.3">
      <c r="A193" s="61"/>
      <c r="B193" s="329"/>
      <c r="C193" s="330"/>
      <c r="D193"/>
      <c r="E193"/>
      <c r="F193"/>
      <c r="G193"/>
      <c r="H193"/>
      <c r="I193"/>
      <c r="J193"/>
      <c r="K193"/>
      <c r="L193"/>
      <c r="M193"/>
      <c r="N193"/>
      <c r="O193"/>
      <c r="P193"/>
      <c r="Q193"/>
      <c r="R193"/>
      <c r="S193"/>
      <c r="T193"/>
      <c r="U193"/>
      <c r="V193"/>
      <c r="W193"/>
    </row>
    <row r="194" spans="1:23" x14ac:dyDescent="0.3">
      <c r="A194" s="61"/>
      <c r="B194" s="61"/>
      <c r="C194" s="130"/>
    </row>
    <row r="195" spans="1:23" x14ac:dyDescent="0.3">
      <c r="A195" s="61"/>
      <c r="B195" s="207" t="s">
        <v>54</v>
      </c>
      <c r="C195" s="130"/>
      <c r="D195"/>
      <c r="E195"/>
      <c r="F195"/>
      <c r="G195"/>
      <c r="H195"/>
      <c r="I195"/>
      <c r="J195"/>
      <c r="K195"/>
      <c r="L195"/>
      <c r="M195"/>
      <c r="N195"/>
      <c r="O195"/>
      <c r="P195"/>
      <c r="Q195"/>
      <c r="R195"/>
      <c r="S195"/>
      <c r="T195"/>
      <c r="U195"/>
      <c r="V195"/>
      <c r="W195"/>
    </row>
    <row r="196" spans="1:23" x14ac:dyDescent="0.3">
      <c r="A196" s="61"/>
      <c r="B196" s="61"/>
      <c r="C196" s="130"/>
    </row>
  </sheetData>
  <dataConsolidate/>
  <mergeCells count="97">
    <mergeCell ref="B88:C88"/>
    <mergeCell ref="B89:C89"/>
    <mergeCell ref="B84:C84"/>
    <mergeCell ref="B110:C110"/>
    <mergeCell ref="B172:C172"/>
    <mergeCell ref="B178:C193"/>
    <mergeCell ref="B170:C170"/>
    <mergeCell ref="B162:C162"/>
    <mergeCell ref="B169:C169"/>
    <mergeCell ref="B31:C31"/>
    <mergeCell ref="B36:C36"/>
    <mergeCell ref="B33:C33"/>
    <mergeCell ref="B73:C73"/>
    <mergeCell ref="B72:C72"/>
    <mergeCell ref="B71:C71"/>
    <mergeCell ref="B32:C32"/>
    <mergeCell ref="B37:C37"/>
    <mergeCell ref="B58:C58"/>
    <mergeCell ref="B38:C38"/>
    <mergeCell ref="B39:C39"/>
    <mergeCell ref="B40:C40"/>
    <mergeCell ref="B41:C41"/>
    <mergeCell ref="B50:C50"/>
    <mergeCell ref="B51:C51"/>
    <mergeCell ref="B52:C52"/>
    <mergeCell ref="B45:C45"/>
    <mergeCell ref="B49:C49"/>
    <mergeCell ref="B2:C2"/>
    <mergeCell ref="B70:C70"/>
    <mergeCell ref="B69:C69"/>
    <mergeCell ref="B3:C3"/>
    <mergeCell ref="B4:C4"/>
    <mergeCell ref="B5:C5"/>
    <mergeCell ref="B9:C9"/>
    <mergeCell ref="B28:C28"/>
    <mergeCell ref="B10:C10"/>
    <mergeCell ref="B24:C24"/>
    <mergeCell ref="B11:C11"/>
    <mergeCell ref="B12:C12"/>
    <mergeCell ref="B13:C13"/>
    <mergeCell ref="B17:C17"/>
    <mergeCell ref="B22:C22"/>
    <mergeCell ref="B21:C21"/>
    <mergeCell ref="B19:C19"/>
    <mergeCell ref="B23:C23"/>
    <mergeCell ref="B30:C30"/>
    <mergeCell ref="B29:C29"/>
    <mergeCell ref="B102:C102"/>
    <mergeCell ref="B104:C104"/>
    <mergeCell ref="B107:C107"/>
    <mergeCell ref="B109:C109"/>
    <mergeCell ref="B62:C62"/>
    <mergeCell ref="B80:C80"/>
    <mergeCell ref="B81:C81"/>
    <mergeCell ref="B82:C82"/>
    <mergeCell ref="B83:C83"/>
    <mergeCell ref="B65:C65"/>
    <mergeCell ref="B75:C75"/>
    <mergeCell ref="B76:C76"/>
    <mergeCell ref="B77:C77"/>
    <mergeCell ref="B78:C78"/>
    <mergeCell ref="B79:C79"/>
    <mergeCell ref="B87:C87"/>
    <mergeCell ref="B90:C90"/>
    <mergeCell ref="B91:C91"/>
    <mergeCell ref="B134:C134"/>
    <mergeCell ref="B135:C135"/>
    <mergeCell ref="B118:C118"/>
    <mergeCell ref="B121:C121"/>
    <mergeCell ref="B112:C112"/>
    <mergeCell ref="B113:C113"/>
    <mergeCell ref="B114:C114"/>
    <mergeCell ref="B115:C115"/>
    <mergeCell ref="B92:C92"/>
    <mergeCell ref="B93:C93"/>
    <mergeCell ref="B96:C96"/>
    <mergeCell ref="B100:C100"/>
    <mergeCell ref="B116:C116"/>
    <mergeCell ref="B101:C101"/>
    <mergeCell ref="B136:C136"/>
    <mergeCell ref="B140:C140"/>
    <mergeCell ref="B122:C122"/>
    <mergeCell ref="B123:C123"/>
    <mergeCell ref="B124:C124"/>
    <mergeCell ref="B125:C125"/>
    <mergeCell ref="B132:C132"/>
    <mergeCell ref="B133:C133"/>
    <mergeCell ref="B160:C160"/>
    <mergeCell ref="B151:C151"/>
    <mergeCell ref="B152:C152"/>
    <mergeCell ref="B154:C154"/>
    <mergeCell ref="B155:C155"/>
    <mergeCell ref="B141:C141"/>
    <mergeCell ref="B142:C142"/>
    <mergeCell ref="B145:C145"/>
    <mergeCell ref="B146:C146"/>
    <mergeCell ref="B147:C147"/>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2016-06-19T21:37:50Z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