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127"/>
  <workbookPr/>
  <mc:AlternateContent xmlns:mc="http://schemas.openxmlformats.org/markup-compatibility/2006">
    <mc:Choice Requires="x15">
      <x15ac:absPath xmlns:x15ac="http://schemas.microsoft.com/office/spreadsheetml/2010/11/ac" url="C:\Users\Admin\Documents\Articles (2-15-2016)\MNST (Monster Beverage)\"/>
    </mc:Choice>
  </mc:AlternateContent>
  <bookViews>
    <workbookView xWindow="0" yWindow="0" windowWidth="23040" windowHeight="10932"/>
  </bookViews>
  <sheets>
    <sheet name="Earnings Model" sheetId="3" r:id="rId1"/>
  </sheets>
  <externalReferences>
    <externalReference r:id="rId2"/>
  </externalReferences>
  <definedNames>
    <definedName name="DATA">'[1]Estimates by Analyst'!$B$6:$M$50</definedName>
    <definedName name="_xlnm.Print_Area" localSheetId="0">'Earnings Model'!$A$1:$W$241</definedName>
  </definedNames>
  <calcPr calcId="162913" iterateDelta="9.9999999999994451E-4"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P41" i="3" l="1"/>
  <c r="P40" i="3"/>
  <c r="P11" i="3"/>
  <c r="P12" i="3"/>
  <c r="P13" i="3"/>
  <c r="P17" i="3"/>
  <c r="P18" i="3"/>
  <c r="P19" i="3"/>
  <c r="O55" i="3"/>
  <c r="P55" i="3"/>
  <c r="P22" i="3"/>
  <c r="P24" i="3"/>
  <c r="P25" i="3"/>
  <c r="P26" i="3"/>
  <c r="P27" i="3"/>
  <c r="P98" i="3"/>
  <c r="P31" i="3"/>
  <c r="P33" i="3"/>
  <c r="Q41" i="3"/>
  <c r="Q40" i="3"/>
  <c r="Q11" i="3"/>
  <c r="Q12" i="3"/>
  <c r="Q13" i="3"/>
  <c r="Q17" i="3"/>
  <c r="Q18" i="3"/>
  <c r="Q19" i="3"/>
  <c r="Q55" i="3"/>
  <c r="Q22" i="3"/>
  <c r="Q24" i="3"/>
  <c r="Q25" i="3"/>
  <c r="Q26" i="3"/>
  <c r="Q27" i="3"/>
  <c r="Q98" i="3"/>
  <c r="Q31" i="3"/>
  <c r="Q33" i="3"/>
  <c r="S41" i="3"/>
  <c r="S40" i="3"/>
  <c r="S11" i="3"/>
  <c r="S12" i="3"/>
  <c r="S13" i="3"/>
  <c r="S17" i="3"/>
  <c r="S18" i="3"/>
  <c r="S19" i="3"/>
  <c r="S55" i="3"/>
  <c r="S22" i="3"/>
  <c r="S24" i="3"/>
  <c r="S25" i="3"/>
  <c r="S26" i="3"/>
  <c r="S27" i="3"/>
  <c r="S95" i="3"/>
  <c r="S98" i="3"/>
  <c r="S31" i="3"/>
  <c r="S33" i="3"/>
  <c r="T41" i="3"/>
  <c r="T40" i="3"/>
  <c r="T11" i="3"/>
  <c r="T12" i="3"/>
  <c r="T13" i="3"/>
  <c r="T17" i="3"/>
  <c r="T18" i="3"/>
  <c r="T19" i="3"/>
  <c r="T55" i="3"/>
  <c r="T22" i="3"/>
  <c r="T24" i="3"/>
  <c r="T25" i="3"/>
  <c r="T26" i="3"/>
  <c r="T27" i="3"/>
  <c r="T95" i="3"/>
  <c r="T98" i="3"/>
  <c r="T31" i="3"/>
  <c r="T33" i="3"/>
  <c r="O207" i="3"/>
  <c r="C214" i="3"/>
  <c r="C215" i="3"/>
  <c r="V41" i="3"/>
  <c r="V40" i="3"/>
  <c r="V11" i="3"/>
  <c r="V17" i="3"/>
  <c r="V69" i="3"/>
  <c r="U41" i="3"/>
  <c r="U40" i="3"/>
  <c r="U11" i="3"/>
  <c r="U17" i="3"/>
  <c r="U69" i="3"/>
  <c r="T69" i="3"/>
  <c r="S69" i="3"/>
  <c r="Q69" i="3"/>
  <c r="P69" i="3"/>
  <c r="V82" i="3"/>
  <c r="V88" i="3"/>
  <c r="O75" i="3"/>
  <c r="N75" i="3"/>
  <c r="P75" i="3"/>
  <c r="Q75" i="3"/>
  <c r="S75" i="3"/>
  <c r="T75" i="3"/>
  <c r="U75" i="3"/>
  <c r="V75" i="3"/>
  <c r="V87" i="3"/>
  <c r="V86" i="3"/>
  <c r="V90" i="3"/>
  <c r="U82" i="3"/>
  <c r="U88" i="3"/>
  <c r="U87" i="3"/>
  <c r="U86" i="3"/>
  <c r="U90" i="3"/>
  <c r="T82" i="3"/>
  <c r="T88" i="3"/>
  <c r="T87" i="3"/>
  <c r="T86" i="3"/>
  <c r="T90" i="3"/>
  <c r="S82" i="3"/>
  <c r="S88" i="3"/>
  <c r="S87" i="3"/>
  <c r="S86" i="3"/>
  <c r="S90" i="3"/>
  <c r="Q82" i="3"/>
  <c r="Q88" i="3"/>
  <c r="Q87" i="3"/>
  <c r="Q86" i="3"/>
  <c r="Q90" i="3"/>
  <c r="P82" i="3"/>
  <c r="P88" i="3"/>
  <c r="P87" i="3"/>
  <c r="P86" i="3"/>
  <c r="P90" i="3"/>
  <c r="O86" i="3"/>
  <c r="O87" i="3"/>
  <c r="O76" i="3"/>
  <c r="O82" i="3"/>
  <c r="O88" i="3"/>
  <c r="O89" i="3"/>
  <c r="O91" i="3"/>
  <c r="N86" i="3"/>
  <c r="N87" i="3"/>
  <c r="N76" i="3"/>
  <c r="N82" i="3"/>
  <c r="N88" i="3"/>
  <c r="N89" i="3"/>
  <c r="N91" i="3"/>
  <c r="L86" i="3"/>
  <c r="L75" i="3"/>
  <c r="L87" i="3"/>
  <c r="L76" i="3"/>
  <c r="L82" i="3"/>
  <c r="L88" i="3"/>
  <c r="L89" i="3"/>
  <c r="L91" i="3"/>
  <c r="K90" i="3"/>
  <c r="K86" i="3"/>
  <c r="K70" i="3"/>
  <c r="K75" i="3"/>
  <c r="K87" i="3"/>
  <c r="K71" i="3"/>
  <c r="K76" i="3"/>
  <c r="K82" i="3"/>
  <c r="K88" i="3"/>
  <c r="K89" i="3"/>
  <c r="K91" i="3"/>
  <c r="J86" i="3"/>
  <c r="J75" i="3"/>
  <c r="J87" i="3"/>
  <c r="J76" i="3"/>
  <c r="J82" i="3"/>
  <c r="J88" i="3"/>
  <c r="J89" i="3"/>
  <c r="J91" i="3"/>
  <c r="I86" i="3"/>
  <c r="I75" i="3"/>
  <c r="I87" i="3"/>
  <c r="I76" i="3"/>
  <c r="I82" i="3"/>
  <c r="I88" i="3"/>
  <c r="I89" i="3"/>
  <c r="I91" i="3"/>
  <c r="E86" i="3"/>
  <c r="E75" i="3"/>
  <c r="E87" i="3"/>
  <c r="E76" i="3"/>
  <c r="E82" i="3"/>
  <c r="E88" i="3"/>
  <c r="E89" i="3"/>
  <c r="E91" i="3"/>
  <c r="F90" i="3"/>
  <c r="F86" i="3"/>
  <c r="F70" i="3"/>
  <c r="F87" i="3"/>
  <c r="F76" i="3"/>
  <c r="F82" i="3"/>
  <c r="F88" i="3"/>
  <c r="F89" i="3"/>
  <c r="F91" i="3"/>
  <c r="G86" i="3"/>
  <c r="G75" i="3"/>
  <c r="G87" i="3"/>
  <c r="G76" i="3"/>
  <c r="G82" i="3"/>
  <c r="G88" i="3"/>
  <c r="G89" i="3"/>
  <c r="G91" i="3"/>
  <c r="D86" i="3"/>
  <c r="D75" i="3"/>
  <c r="D87" i="3"/>
  <c r="D76" i="3"/>
  <c r="D82" i="3"/>
  <c r="D88" i="3"/>
  <c r="D89" i="3"/>
  <c r="D91" i="3"/>
  <c r="R70" i="3"/>
  <c r="R71" i="3"/>
  <c r="P72" i="3"/>
  <c r="O69" i="3"/>
  <c r="O72" i="3"/>
  <c r="O54" i="3"/>
  <c r="S94" i="3"/>
  <c r="O20" i="3"/>
  <c r="O14" i="3"/>
  <c r="O98" i="3"/>
  <c r="O94" i="3"/>
  <c r="O95" i="3"/>
  <c r="N98" i="3"/>
  <c r="N95" i="3"/>
  <c r="N94" i="3"/>
  <c r="W41" i="3"/>
  <c r="W40" i="3"/>
  <c r="W11" i="3"/>
  <c r="W23" i="3"/>
  <c r="W24" i="3"/>
  <c r="W56" i="3"/>
  <c r="M24" i="3"/>
  <c r="M56" i="3"/>
  <c r="K54" i="3"/>
  <c r="J54" i="3"/>
  <c r="N69" i="3"/>
  <c r="N72" i="3"/>
  <c r="P14" i="3"/>
  <c r="L17" i="3"/>
  <c r="L11" i="3"/>
  <c r="L54" i="3"/>
  <c r="Q20" i="3"/>
  <c r="Q14" i="3"/>
  <c r="R41" i="3"/>
  <c r="R40" i="3"/>
  <c r="R11" i="3"/>
  <c r="R12" i="3"/>
  <c r="R13" i="3"/>
  <c r="R16" i="3"/>
  <c r="R17" i="3"/>
  <c r="R18" i="3"/>
  <c r="R19" i="3"/>
  <c r="R23" i="3"/>
  <c r="R24" i="3"/>
  <c r="R25" i="3"/>
  <c r="R26" i="3"/>
  <c r="R27" i="3"/>
  <c r="N14" i="3"/>
  <c r="R14" i="3"/>
  <c r="R89" i="3"/>
  <c r="N13" i="3"/>
  <c r="N18" i="3"/>
  <c r="N19" i="3"/>
  <c r="N24" i="3"/>
  <c r="N25" i="3"/>
  <c r="N27" i="3"/>
  <c r="O13" i="3"/>
  <c r="O18" i="3"/>
  <c r="O19" i="3"/>
  <c r="O24" i="3"/>
  <c r="O25" i="3"/>
  <c r="O27" i="3"/>
  <c r="R31" i="3"/>
  <c r="S14" i="3"/>
  <c r="T14" i="3"/>
  <c r="U12" i="3"/>
  <c r="U13" i="3"/>
  <c r="U18" i="3"/>
  <c r="U19" i="3"/>
  <c r="U55" i="3"/>
  <c r="U22" i="3"/>
  <c r="U24" i="3"/>
  <c r="U25" i="3"/>
  <c r="U26" i="3"/>
  <c r="U27" i="3"/>
  <c r="U14" i="3"/>
  <c r="U95" i="3"/>
  <c r="U98" i="3"/>
  <c r="U31" i="3"/>
  <c r="V12" i="3"/>
  <c r="V13" i="3"/>
  <c r="V18" i="3"/>
  <c r="V19" i="3"/>
  <c r="V55" i="3"/>
  <c r="V22" i="3"/>
  <c r="V24" i="3"/>
  <c r="V25" i="3"/>
  <c r="V26" i="3"/>
  <c r="V27" i="3"/>
  <c r="V14" i="3"/>
  <c r="V95" i="3"/>
  <c r="V98" i="3"/>
  <c r="V31" i="3"/>
  <c r="W12" i="3"/>
  <c r="W13" i="3"/>
  <c r="W16" i="3"/>
  <c r="W17" i="3"/>
  <c r="W18" i="3"/>
  <c r="W19" i="3"/>
  <c r="W25" i="3"/>
  <c r="W26" i="3"/>
  <c r="W27" i="3"/>
  <c r="W14" i="3"/>
  <c r="W89" i="3"/>
  <c r="W31" i="3"/>
  <c r="D13" i="3"/>
  <c r="D18" i="3"/>
  <c r="D19" i="3"/>
  <c r="D24" i="3"/>
  <c r="D25" i="3"/>
  <c r="D27" i="3"/>
  <c r="D20" i="3"/>
  <c r="D14" i="3"/>
  <c r="D28" i="3"/>
  <c r="D29" i="3"/>
  <c r="D34" i="3"/>
  <c r="E13" i="3"/>
  <c r="E18" i="3"/>
  <c r="E19" i="3"/>
  <c r="E24" i="3"/>
  <c r="E25" i="3"/>
  <c r="E27" i="3"/>
  <c r="E20" i="3"/>
  <c r="E14" i="3"/>
  <c r="E28" i="3"/>
  <c r="E29" i="3"/>
  <c r="E34" i="3"/>
  <c r="F13" i="3"/>
  <c r="F18" i="3"/>
  <c r="F19" i="3"/>
  <c r="F24" i="3"/>
  <c r="F25" i="3"/>
  <c r="F27" i="3"/>
  <c r="F75" i="3"/>
  <c r="F20" i="3"/>
  <c r="F14" i="3"/>
  <c r="F28" i="3"/>
  <c r="F29" i="3"/>
  <c r="F34" i="3"/>
  <c r="H13" i="3"/>
  <c r="G13" i="3"/>
  <c r="G17" i="3"/>
  <c r="G18" i="3"/>
  <c r="G19" i="3"/>
  <c r="H24" i="3"/>
  <c r="G24" i="3"/>
  <c r="G25" i="3"/>
  <c r="G26" i="3"/>
  <c r="G27" i="3"/>
  <c r="G20" i="3"/>
  <c r="G14" i="3"/>
  <c r="G28" i="3"/>
  <c r="G29" i="3"/>
  <c r="G34" i="3"/>
  <c r="H27" i="3"/>
  <c r="H75" i="3"/>
  <c r="H76" i="3"/>
  <c r="H20" i="3"/>
  <c r="H14" i="3"/>
  <c r="H89" i="3"/>
  <c r="H28" i="3"/>
  <c r="H29" i="3"/>
  <c r="H34" i="3"/>
  <c r="I13" i="3"/>
  <c r="I18" i="3"/>
  <c r="I19" i="3"/>
  <c r="I24" i="3"/>
  <c r="I25" i="3"/>
  <c r="I27" i="3"/>
  <c r="I20" i="3"/>
  <c r="I14" i="3"/>
  <c r="I28" i="3"/>
  <c r="I29" i="3"/>
  <c r="I34" i="3"/>
  <c r="J13" i="3"/>
  <c r="J18" i="3"/>
  <c r="J19" i="3"/>
  <c r="J24" i="3"/>
  <c r="J25" i="3"/>
  <c r="J27" i="3"/>
  <c r="J20" i="3"/>
  <c r="J14" i="3"/>
  <c r="J28" i="3"/>
  <c r="J29" i="3"/>
  <c r="J34" i="3"/>
  <c r="K13" i="3"/>
  <c r="K18" i="3"/>
  <c r="K19" i="3"/>
  <c r="K24" i="3"/>
  <c r="K25" i="3"/>
  <c r="K27" i="3"/>
  <c r="K20" i="3"/>
  <c r="K14" i="3"/>
  <c r="K28" i="3"/>
  <c r="K29" i="3"/>
  <c r="K34" i="3"/>
  <c r="L12" i="3"/>
  <c r="L13" i="3"/>
  <c r="L18" i="3"/>
  <c r="L19" i="3"/>
  <c r="L22" i="3"/>
  <c r="L24" i="3"/>
  <c r="L25" i="3"/>
  <c r="L26" i="3"/>
  <c r="L27" i="3"/>
  <c r="L20" i="3"/>
  <c r="L14" i="3"/>
  <c r="L28" i="3"/>
  <c r="L29" i="3"/>
  <c r="L34" i="3"/>
  <c r="M13" i="3"/>
  <c r="M16" i="3"/>
  <c r="M18" i="3"/>
  <c r="M19" i="3"/>
  <c r="M25" i="3"/>
  <c r="M27" i="3"/>
  <c r="M75" i="3"/>
  <c r="M76" i="3"/>
  <c r="M77" i="3"/>
  <c r="M20" i="3"/>
  <c r="M14" i="3"/>
  <c r="M89" i="3"/>
  <c r="M28" i="3"/>
  <c r="M29" i="3"/>
  <c r="M34" i="3"/>
  <c r="N20" i="3"/>
  <c r="N28" i="3"/>
  <c r="N29" i="3"/>
  <c r="N34" i="3"/>
  <c r="O28" i="3"/>
  <c r="O29" i="3"/>
  <c r="O34" i="3"/>
  <c r="D54" i="3"/>
  <c r="I43" i="3"/>
  <c r="I40" i="3"/>
  <c r="J43" i="3"/>
  <c r="J40" i="3"/>
  <c r="K43" i="3"/>
  <c r="K40" i="3"/>
  <c r="L44" i="3"/>
  <c r="L46" i="3"/>
  <c r="L43" i="3"/>
  <c r="L40" i="3"/>
  <c r="M40" i="3"/>
  <c r="M51" i="3"/>
  <c r="O43" i="3"/>
  <c r="O40" i="3"/>
  <c r="O51" i="3"/>
  <c r="N43" i="3"/>
  <c r="N40" i="3"/>
  <c r="N51" i="3"/>
  <c r="P51" i="3"/>
  <c r="Q51" i="3"/>
  <c r="S51" i="3"/>
  <c r="T51" i="3"/>
  <c r="T44" i="3"/>
  <c r="S44" i="3"/>
  <c r="T45" i="3"/>
  <c r="U51" i="3"/>
  <c r="U44" i="3"/>
  <c r="U45" i="3"/>
  <c r="V51" i="3"/>
  <c r="V44" i="3"/>
  <c r="V45" i="3"/>
  <c r="O45" i="3"/>
  <c r="N45" i="3"/>
  <c r="L45" i="3"/>
  <c r="K45" i="3"/>
  <c r="J45" i="3"/>
  <c r="I45" i="3"/>
  <c r="O52" i="3"/>
  <c r="N52" i="3"/>
  <c r="P52" i="3"/>
  <c r="Q52" i="3"/>
  <c r="S52" i="3"/>
  <c r="T52" i="3"/>
  <c r="U52" i="3"/>
  <c r="V52" i="3"/>
  <c r="V46" i="3"/>
  <c r="O53" i="3"/>
  <c r="N53" i="3"/>
  <c r="P53" i="3"/>
  <c r="Q53" i="3"/>
  <c r="S53" i="3"/>
  <c r="T53" i="3"/>
  <c r="U53" i="3"/>
  <c r="V53" i="3"/>
  <c r="V48" i="3"/>
  <c r="V36" i="3"/>
  <c r="U46" i="3"/>
  <c r="U48" i="3"/>
  <c r="U36" i="3"/>
  <c r="T46" i="3"/>
  <c r="T48" i="3"/>
  <c r="T36" i="3"/>
  <c r="S46" i="3"/>
  <c r="S48" i="3"/>
  <c r="S36" i="3"/>
  <c r="Q44" i="3"/>
  <c r="Q46" i="3"/>
  <c r="Q48" i="3"/>
  <c r="Q36" i="3"/>
  <c r="P44" i="3"/>
  <c r="P46" i="3"/>
  <c r="P48" i="3"/>
  <c r="P36" i="3"/>
  <c r="O36" i="3"/>
  <c r="N36" i="3"/>
  <c r="L36" i="3"/>
  <c r="K36" i="3"/>
  <c r="J36" i="3"/>
  <c r="I36" i="3"/>
  <c r="E36" i="3"/>
  <c r="F36" i="3"/>
  <c r="G11" i="3"/>
  <c r="G36" i="3"/>
  <c r="D36" i="3"/>
  <c r="K49" i="3"/>
  <c r="J49" i="3"/>
  <c r="E49" i="3"/>
  <c r="F49" i="3"/>
  <c r="G49" i="3"/>
  <c r="D202" i="3"/>
  <c r="D195" i="3"/>
  <c r="D156" i="3"/>
  <c r="D180" i="3"/>
  <c r="D204" i="3"/>
  <c r="D206" i="3"/>
  <c r="E205" i="3"/>
  <c r="E198" i="3"/>
  <c r="E199" i="3"/>
  <c r="E200" i="3"/>
  <c r="E201" i="3"/>
  <c r="E202" i="3"/>
  <c r="E183" i="3"/>
  <c r="E185" i="3"/>
  <c r="E187" i="3"/>
  <c r="E189" i="3"/>
  <c r="E191" i="3"/>
  <c r="E193" i="3"/>
  <c r="E194" i="3"/>
  <c r="E195" i="3"/>
  <c r="E156" i="3"/>
  <c r="E157" i="3"/>
  <c r="E158" i="3"/>
  <c r="E160" i="3"/>
  <c r="E161" i="3"/>
  <c r="E162" i="3"/>
  <c r="E163" i="3"/>
  <c r="E164" i="3"/>
  <c r="E168" i="3"/>
  <c r="E169" i="3"/>
  <c r="E170" i="3"/>
  <c r="E171" i="3"/>
  <c r="E172" i="3"/>
  <c r="E173" i="3"/>
  <c r="E174" i="3"/>
  <c r="E175" i="3"/>
  <c r="E177" i="3"/>
  <c r="E178" i="3"/>
  <c r="E179" i="3"/>
  <c r="E180" i="3"/>
  <c r="E203" i="3"/>
  <c r="E204" i="3"/>
  <c r="E206" i="3"/>
  <c r="E208" i="3"/>
  <c r="F205" i="3"/>
  <c r="F198" i="3"/>
  <c r="F199" i="3"/>
  <c r="F200" i="3"/>
  <c r="F201" i="3"/>
  <c r="F202" i="3"/>
  <c r="F183" i="3"/>
  <c r="F185" i="3"/>
  <c r="F187" i="3"/>
  <c r="F189" i="3"/>
  <c r="F191" i="3"/>
  <c r="F193" i="3"/>
  <c r="F194" i="3"/>
  <c r="F195" i="3"/>
  <c r="F156" i="3"/>
  <c r="F157" i="3"/>
  <c r="F158" i="3"/>
  <c r="F160" i="3"/>
  <c r="F161" i="3"/>
  <c r="F162" i="3"/>
  <c r="F163" i="3"/>
  <c r="F164" i="3"/>
  <c r="F168" i="3"/>
  <c r="F169" i="3"/>
  <c r="F170" i="3"/>
  <c r="F171" i="3"/>
  <c r="F172" i="3"/>
  <c r="F173" i="3"/>
  <c r="F174" i="3"/>
  <c r="F175" i="3"/>
  <c r="F176" i="3"/>
  <c r="F177" i="3"/>
  <c r="F178" i="3"/>
  <c r="F179" i="3"/>
  <c r="F180" i="3"/>
  <c r="F203" i="3"/>
  <c r="F204" i="3"/>
  <c r="F206" i="3"/>
  <c r="F208" i="3"/>
  <c r="G205" i="3"/>
  <c r="G198" i="3"/>
  <c r="G199" i="3"/>
  <c r="G200" i="3"/>
  <c r="G201" i="3"/>
  <c r="G202" i="3"/>
  <c r="G183" i="3"/>
  <c r="G185" i="3"/>
  <c r="G187" i="3"/>
  <c r="G188" i="3"/>
  <c r="G189" i="3"/>
  <c r="G191" i="3"/>
  <c r="G193" i="3"/>
  <c r="G194" i="3"/>
  <c r="G195" i="3"/>
  <c r="G156" i="3"/>
  <c r="G158" i="3"/>
  <c r="G160" i="3"/>
  <c r="G161" i="3"/>
  <c r="G163" i="3"/>
  <c r="G164" i="3"/>
  <c r="G168" i="3"/>
  <c r="G169" i="3"/>
  <c r="G170" i="3"/>
  <c r="G171" i="3"/>
  <c r="G172" i="3"/>
  <c r="G173" i="3"/>
  <c r="G174" i="3"/>
  <c r="G175" i="3"/>
  <c r="G176" i="3"/>
  <c r="G177" i="3"/>
  <c r="G178" i="3"/>
  <c r="G179" i="3"/>
  <c r="G180" i="3"/>
  <c r="G203" i="3"/>
  <c r="G204" i="3"/>
  <c r="G206" i="3"/>
  <c r="G208" i="3"/>
  <c r="H206" i="3"/>
  <c r="H104" i="3"/>
  <c r="H208" i="3"/>
  <c r="I205" i="3"/>
  <c r="I202" i="3"/>
  <c r="I195" i="3"/>
  <c r="I156" i="3"/>
  <c r="I180" i="3"/>
  <c r="I204" i="3"/>
  <c r="I206" i="3"/>
  <c r="I208" i="3"/>
  <c r="J205" i="3"/>
  <c r="J198" i="3"/>
  <c r="J199" i="3"/>
  <c r="J200" i="3"/>
  <c r="J201" i="3"/>
  <c r="J202" i="3"/>
  <c r="J183" i="3"/>
  <c r="J184" i="3"/>
  <c r="J185" i="3"/>
  <c r="J187" i="3"/>
  <c r="J189" i="3"/>
  <c r="J190" i="3"/>
  <c r="J191" i="3"/>
  <c r="J193" i="3"/>
  <c r="J194" i="3"/>
  <c r="J195" i="3"/>
  <c r="J156" i="3"/>
  <c r="J157" i="3"/>
  <c r="J158" i="3"/>
  <c r="J162" i="3"/>
  <c r="J164" i="3"/>
  <c r="J168" i="3"/>
  <c r="J169" i="3"/>
  <c r="J170" i="3"/>
  <c r="J171" i="3"/>
  <c r="J172" i="3"/>
  <c r="J173" i="3"/>
  <c r="J174" i="3"/>
  <c r="J175" i="3"/>
  <c r="J176" i="3"/>
  <c r="J177" i="3"/>
  <c r="J178" i="3"/>
  <c r="J179" i="3"/>
  <c r="J180" i="3"/>
  <c r="J203" i="3"/>
  <c r="J204" i="3"/>
  <c r="J206" i="3"/>
  <c r="J208" i="3"/>
  <c r="K205" i="3"/>
  <c r="K198" i="3"/>
  <c r="K199" i="3"/>
  <c r="K200" i="3"/>
  <c r="K201" i="3"/>
  <c r="K202" i="3"/>
  <c r="K183" i="3"/>
  <c r="K184" i="3"/>
  <c r="K185" i="3"/>
  <c r="K186" i="3"/>
  <c r="K187" i="3"/>
  <c r="K189" i="3"/>
  <c r="K190" i="3"/>
  <c r="K191" i="3"/>
  <c r="K193" i="3"/>
  <c r="K194" i="3"/>
  <c r="K195" i="3"/>
  <c r="K156" i="3"/>
  <c r="K157" i="3"/>
  <c r="K158" i="3"/>
  <c r="K159" i="3"/>
  <c r="K162" i="3"/>
  <c r="K163" i="3"/>
  <c r="K164" i="3"/>
  <c r="K168" i="3"/>
  <c r="K169" i="3"/>
  <c r="K170" i="3"/>
  <c r="K171" i="3"/>
  <c r="K172" i="3"/>
  <c r="K173" i="3"/>
  <c r="K174" i="3"/>
  <c r="K175" i="3"/>
  <c r="K176" i="3"/>
  <c r="K177" i="3"/>
  <c r="K178" i="3"/>
  <c r="K179" i="3"/>
  <c r="K180" i="3"/>
  <c r="K203" i="3"/>
  <c r="K204" i="3"/>
  <c r="K206" i="3"/>
  <c r="K208" i="3"/>
  <c r="L205" i="3"/>
  <c r="M198" i="3"/>
  <c r="L198" i="3"/>
  <c r="L199" i="3"/>
  <c r="L200" i="3"/>
  <c r="L201" i="3"/>
  <c r="L202" i="3"/>
  <c r="L183" i="3"/>
  <c r="L184" i="3"/>
  <c r="L185" i="3"/>
  <c r="L186" i="3"/>
  <c r="L187" i="3"/>
  <c r="L189" i="3"/>
  <c r="L191" i="3"/>
  <c r="L193" i="3"/>
  <c r="L194" i="3"/>
  <c r="L195" i="3"/>
  <c r="M156" i="3"/>
  <c r="M163" i="3"/>
  <c r="M164" i="3"/>
  <c r="M165" i="3"/>
  <c r="M180" i="3"/>
  <c r="L180" i="3"/>
  <c r="L203" i="3"/>
  <c r="L204" i="3"/>
  <c r="L206" i="3"/>
  <c r="L208" i="3"/>
  <c r="M205" i="3"/>
  <c r="M202" i="3"/>
  <c r="M195" i="3"/>
  <c r="M204" i="3"/>
  <c r="M206" i="3"/>
  <c r="M104" i="3"/>
  <c r="M208" i="3"/>
  <c r="N205" i="3"/>
  <c r="N202" i="3"/>
  <c r="N195" i="3"/>
  <c r="N180" i="3"/>
  <c r="N204" i="3"/>
  <c r="N206" i="3"/>
  <c r="N208" i="3"/>
  <c r="O205" i="3"/>
  <c r="O198" i="3"/>
  <c r="O200" i="3"/>
  <c r="O201" i="3"/>
  <c r="O202" i="3"/>
  <c r="O183" i="3"/>
  <c r="O187" i="3"/>
  <c r="O189" i="3"/>
  <c r="O191" i="3"/>
  <c r="O192" i="3"/>
  <c r="O193" i="3"/>
  <c r="O194" i="3"/>
  <c r="O195" i="3"/>
  <c r="O156" i="3"/>
  <c r="O157" i="3"/>
  <c r="O158" i="3"/>
  <c r="O162" i="3"/>
  <c r="O163" i="3"/>
  <c r="O168" i="3"/>
  <c r="O169" i="3"/>
  <c r="O170" i="3"/>
  <c r="O171" i="3"/>
  <c r="O172" i="3"/>
  <c r="O173" i="3"/>
  <c r="O174" i="3"/>
  <c r="O175" i="3"/>
  <c r="O176" i="3"/>
  <c r="O177" i="3"/>
  <c r="O178" i="3"/>
  <c r="O179" i="3"/>
  <c r="O180" i="3"/>
  <c r="O203" i="3"/>
  <c r="O204" i="3"/>
  <c r="O206" i="3"/>
  <c r="O208" i="3"/>
  <c r="D208" i="3"/>
  <c r="M109" i="3"/>
  <c r="N33" i="3"/>
  <c r="O33" i="3"/>
  <c r="R56" i="3"/>
  <c r="R54" i="3"/>
  <c r="R33" i="3"/>
  <c r="N207" i="3"/>
  <c r="E207" i="3"/>
  <c r="F207" i="3"/>
  <c r="G207" i="3"/>
  <c r="H105" i="3"/>
  <c r="H207" i="3"/>
  <c r="I207" i="3"/>
  <c r="J207" i="3"/>
  <c r="K207" i="3"/>
  <c r="L207" i="3"/>
  <c r="M105" i="3"/>
  <c r="M207" i="3"/>
  <c r="D207" i="3"/>
  <c r="L156" i="3"/>
  <c r="M57" i="3"/>
  <c r="N58" i="3"/>
  <c r="K42" i="3"/>
  <c r="F42" i="3"/>
  <c r="R46" i="3"/>
  <c r="T47" i="3"/>
  <c r="U47" i="3"/>
  <c r="V47" i="3"/>
  <c r="S47" i="3"/>
  <c r="S45" i="3"/>
  <c r="P47" i="3"/>
  <c r="Q47" i="3"/>
  <c r="P45" i="3"/>
  <c r="Q45" i="3"/>
  <c r="W46" i="3"/>
  <c r="W48" i="3"/>
  <c r="R48" i="3"/>
  <c r="R44" i="3"/>
  <c r="W44" i="3"/>
  <c r="M41" i="3"/>
  <c r="M53" i="3"/>
  <c r="M52" i="3"/>
  <c r="J53" i="3"/>
  <c r="K53" i="3"/>
  <c r="L53" i="3"/>
  <c r="I53" i="3"/>
  <c r="J52" i="3"/>
  <c r="K52" i="3"/>
  <c r="L52" i="3"/>
  <c r="I52" i="3"/>
  <c r="J51" i="3"/>
  <c r="K51" i="3"/>
  <c r="L51" i="3"/>
  <c r="I51" i="3"/>
  <c r="H41" i="3"/>
  <c r="H53" i="3"/>
  <c r="D43" i="3"/>
  <c r="D40" i="3"/>
  <c r="E43" i="3"/>
  <c r="E40" i="3"/>
  <c r="F43" i="3"/>
  <c r="F40" i="3"/>
  <c r="G43" i="3"/>
  <c r="G40" i="3"/>
  <c r="H40" i="3"/>
  <c r="H52" i="3"/>
  <c r="H51" i="3"/>
  <c r="E52" i="3"/>
  <c r="F52" i="3"/>
  <c r="G52" i="3"/>
  <c r="E53" i="3"/>
  <c r="F53" i="3"/>
  <c r="G53" i="3"/>
  <c r="D53" i="3"/>
  <c r="D52" i="3"/>
  <c r="E51" i="3"/>
  <c r="F51" i="3"/>
  <c r="G51" i="3"/>
  <c r="D51" i="3"/>
  <c r="I98" i="3"/>
  <c r="I95" i="3"/>
  <c r="P15" i="3"/>
  <c r="P30" i="3"/>
  <c r="I32" i="3"/>
  <c r="N32" i="3"/>
  <c r="S85" i="3"/>
  <c r="T85" i="3"/>
  <c r="U85" i="3"/>
  <c r="V85" i="3"/>
  <c r="P85" i="3"/>
  <c r="Q85" i="3"/>
  <c r="N85" i="3"/>
  <c r="N92" i="3"/>
  <c r="O85" i="3"/>
  <c r="O92" i="3"/>
  <c r="R88" i="3"/>
  <c r="W88" i="3"/>
  <c r="R87" i="3"/>
  <c r="W87" i="3"/>
  <c r="R86" i="3"/>
  <c r="W86" i="3"/>
  <c r="R85" i="3"/>
  <c r="W85" i="3"/>
  <c r="S79" i="3"/>
  <c r="S80" i="3"/>
  <c r="S81" i="3"/>
  <c r="S83" i="3"/>
  <c r="S84" i="3"/>
  <c r="T79" i="3"/>
  <c r="T80" i="3"/>
  <c r="T81" i="3"/>
  <c r="T83" i="3"/>
  <c r="T84" i="3"/>
  <c r="U79" i="3"/>
  <c r="U80" i="3"/>
  <c r="U81" i="3"/>
  <c r="U83" i="3"/>
  <c r="U84" i="3"/>
  <c r="V79" i="3"/>
  <c r="V80" i="3"/>
  <c r="V81" i="3"/>
  <c r="V83" i="3"/>
  <c r="V84" i="3"/>
  <c r="W84" i="3"/>
  <c r="P79" i="3"/>
  <c r="P80" i="3"/>
  <c r="P81" i="3"/>
  <c r="P83" i="3"/>
  <c r="P84" i="3"/>
  <c r="Q79" i="3"/>
  <c r="Q80" i="3"/>
  <c r="Q81" i="3"/>
  <c r="Q83" i="3"/>
  <c r="Q84" i="3"/>
  <c r="N79" i="3"/>
  <c r="N67" i="3"/>
  <c r="N74" i="3"/>
  <c r="N80" i="3"/>
  <c r="N81" i="3"/>
  <c r="N83" i="3"/>
  <c r="N84" i="3"/>
  <c r="O79" i="3"/>
  <c r="O67" i="3"/>
  <c r="O74" i="3"/>
  <c r="O80" i="3"/>
  <c r="O81" i="3"/>
  <c r="O83" i="3"/>
  <c r="O84" i="3"/>
  <c r="R84" i="3"/>
  <c r="W83" i="3"/>
  <c r="R83" i="3"/>
  <c r="W82" i="3"/>
  <c r="R82" i="3"/>
  <c r="V73" i="3"/>
  <c r="V78" i="3"/>
  <c r="W75" i="3"/>
  <c r="S73" i="3"/>
  <c r="T73" i="3"/>
  <c r="U73" i="3"/>
  <c r="W73" i="3"/>
  <c r="W74" i="3"/>
  <c r="W76" i="3"/>
  <c r="W77" i="3"/>
  <c r="W78" i="3"/>
  <c r="W79" i="3"/>
  <c r="W80" i="3"/>
  <c r="W81" i="3"/>
  <c r="P73" i="3"/>
  <c r="P78" i="3"/>
  <c r="O73" i="3"/>
  <c r="O78" i="3"/>
  <c r="R75" i="3"/>
  <c r="Q73" i="3"/>
  <c r="N73" i="3"/>
  <c r="R73" i="3"/>
  <c r="R74" i="3"/>
  <c r="R77" i="3"/>
  <c r="R78" i="3"/>
  <c r="U78" i="3"/>
  <c r="T78" i="3"/>
  <c r="S78" i="3"/>
  <c r="Q78" i="3"/>
  <c r="N78" i="3"/>
  <c r="P66" i="3"/>
  <c r="Q63" i="3"/>
  <c r="Q65" i="3"/>
  <c r="S66" i="3"/>
  <c r="S67" i="3"/>
  <c r="S68" i="3"/>
  <c r="T66" i="3"/>
  <c r="T67" i="3"/>
  <c r="T68" i="3"/>
  <c r="U66" i="3"/>
  <c r="U67" i="3"/>
  <c r="U68" i="3"/>
  <c r="V66" i="3"/>
  <c r="V67" i="3"/>
  <c r="V68" i="3"/>
  <c r="W68" i="3"/>
  <c r="P67" i="3"/>
  <c r="P68" i="3"/>
  <c r="Q66" i="3"/>
  <c r="Q67" i="3"/>
  <c r="Q68" i="3"/>
  <c r="N66" i="3"/>
  <c r="N68" i="3"/>
  <c r="O66" i="3"/>
  <c r="O68" i="3"/>
  <c r="R68" i="3"/>
  <c r="V63" i="3"/>
  <c r="U63" i="3"/>
  <c r="T63" i="3"/>
  <c r="V65" i="3"/>
  <c r="U65" i="3"/>
  <c r="T65" i="3"/>
  <c r="S63" i="3"/>
  <c r="S65" i="3"/>
  <c r="P63" i="3"/>
  <c r="P65" i="3"/>
  <c r="W67" i="3"/>
  <c r="J85" i="3"/>
  <c r="J92" i="3"/>
  <c r="D85" i="3"/>
  <c r="E85" i="3"/>
  <c r="F85" i="3"/>
  <c r="G85" i="3"/>
  <c r="H85" i="3"/>
  <c r="H86" i="3"/>
  <c r="H92" i="3"/>
  <c r="I85" i="3"/>
  <c r="I92" i="3"/>
  <c r="K85" i="3"/>
  <c r="K92" i="3"/>
  <c r="L85" i="3"/>
  <c r="L92" i="3"/>
  <c r="M92" i="3"/>
  <c r="M21" i="3"/>
  <c r="E15" i="3"/>
  <c r="E83" i="3"/>
  <c r="E79" i="3"/>
  <c r="E80" i="3"/>
  <c r="E81" i="3"/>
  <c r="E84" i="3"/>
  <c r="F83" i="3"/>
  <c r="F79" i="3"/>
  <c r="F80" i="3"/>
  <c r="F81" i="3"/>
  <c r="F84" i="3"/>
  <c r="G83" i="3"/>
  <c r="G79" i="3"/>
  <c r="G80" i="3"/>
  <c r="G81" i="3"/>
  <c r="G84" i="3"/>
  <c r="D83" i="3"/>
  <c r="D79" i="3"/>
  <c r="D80" i="3"/>
  <c r="D81" i="3"/>
  <c r="D84" i="3"/>
  <c r="H84" i="3"/>
  <c r="I79" i="3"/>
  <c r="J79" i="3"/>
  <c r="K79" i="3"/>
  <c r="L79" i="3"/>
  <c r="M79" i="3"/>
  <c r="K67" i="3"/>
  <c r="K74" i="3"/>
  <c r="K80" i="3"/>
  <c r="K81" i="3"/>
  <c r="K83" i="3"/>
  <c r="K84" i="3"/>
  <c r="I67" i="3"/>
  <c r="I74" i="3"/>
  <c r="I80" i="3"/>
  <c r="I81" i="3"/>
  <c r="I83" i="3"/>
  <c r="I84" i="3"/>
  <c r="J67" i="3"/>
  <c r="J74" i="3"/>
  <c r="J80" i="3"/>
  <c r="J81" i="3"/>
  <c r="J83" i="3"/>
  <c r="J84" i="3"/>
  <c r="L67" i="3"/>
  <c r="L74" i="3"/>
  <c r="L80" i="3"/>
  <c r="L81" i="3"/>
  <c r="L83" i="3"/>
  <c r="L84" i="3"/>
  <c r="M84" i="3"/>
  <c r="O63" i="3"/>
  <c r="O65" i="3"/>
  <c r="N63" i="3"/>
  <c r="N65" i="3"/>
  <c r="D67" i="3"/>
  <c r="D74" i="3"/>
  <c r="F67" i="3"/>
  <c r="F74" i="3"/>
  <c r="G67" i="3"/>
  <c r="G74" i="3"/>
  <c r="L21" i="3"/>
  <c r="K21" i="3"/>
  <c r="J21" i="3"/>
  <c r="I21" i="3"/>
  <c r="M74" i="3"/>
  <c r="I73" i="3"/>
  <c r="J73" i="3"/>
  <c r="K73" i="3"/>
  <c r="L73" i="3"/>
  <c r="M73" i="3"/>
  <c r="M78" i="3"/>
  <c r="E92" i="3"/>
  <c r="E67" i="3"/>
  <c r="E74" i="3"/>
  <c r="H74" i="3"/>
  <c r="H82" i="3"/>
  <c r="D73" i="3"/>
  <c r="D78" i="3"/>
  <c r="E73" i="3"/>
  <c r="E78" i="3"/>
  <c r="G73" i="3"/>
  <c r="G78" i="3"/>
  <c r="L78" i="3"/>
  <c r="K78" i="3"/>
  <c r="I78" i="3"/>
  <c r="J78" i="3"/>
  <c r="D69" i="3"/>
  <c r="E69" i="3"/>
  <c r="F69" i="3"/>
  <c r="G69" i="3"/>
  <c r="L69" i="3"/>
  <c r="K69" i="3"/>
  <c r="I69" i="3"/>
  <c r="J69" i="3"/>
  <c r="J72" i="3"/>
  <c r="E72" i="3"/>
  <c r="H67" i="3"/>
  <c r="M83" i="3"/>
  <c r="M85" i="3"/>
  <c r="M86" i="3"/>
  <c r="M87" i="3"/>
  <c r="G92" i="3"/>
  <c r="D92" i="3"/>
  <c r="F73" i="3"/>
  <c r="H73" i="3"/>
  <c r="D63" i="3"/>
  <c r="E63" i="3"/>
  <c r="F63" i="3"/>
  <c r="G63" i="3"/>
  <c r="H63" i="3"/>
  <c r="G66" i="3"/>
  <c r="F66" i="3"/>
  <c r="E66" i="3"/>
  <c r="D66" i="3"/>
  <c r="G68" i="3"/>
  <c r="F68" i="3"/>
  <c r="E68" i="3"/>
  <c r="D68" i="3"/>
  <c r="M67" i="3"/>
  <c r="J66" i="3"/>
  <c r="J68" i="3"/>
  <c r="K66" i="3"/>
  <c r="K68" i="3"/>
  <c r="L66" i="3"/>
  <c r="L68" i="3"/>
  <c r="I66" i="3"/>
  <c r="I68" i="3"/>
  <c r="M68" i="3"/>
  <c r="M66" i="3"/>
  <c r="J63" i="3"/>
  <c r="J65" i="3"/>
  <c r="K63" i="3"/>
  <c r="K65" i="3"/>
  <c r="L63" i="3"/>
  <c r="L65" i="3"/>
  <c r="I63" i="3"/>
  <c r="I65" i="3"/>
  <c r="M65" i="3"/>
  <c r="R63" i="3"/>
  <c r="M63" i="3"/>
  <c r="K72" i="3"/>
  <c r="L72" i="3"/>
  <c r="D72" i="3"/>
  <c r="G72" i="3"/>
  <c r="H69" i="3"/>
  <c r="H71" i="3"/>
  <c r="I72" i="3"/>
  <c r="M69" i="3"/>
  <c r="M72" i="3"/>
  <c r="Q30" i="3"/>
  <c r="R30" i="3"/>
  <c r="R32" i="3"/>
  <c r="L55" i="3"/>
  <c r="O21" i="3"/>
  <c r="O61" i="3"/>
  <c r="N21" i="3"/>
  <c r="N61" i="3"/>
  <c r="O60" i="3"/>
  <c r="N60" i="3"/>
  <c r="O15" i="3"/>
  <c r="O59" i="3"/>
  <c r="N15" i="3"/>
  <c r="N59" i="3"/>
  <c r="O58" i="3"/>
  <c r="N54" i="3"/>
  <c r="N55" i="3"/>
  <c r="O56" i="3"/>
  <c r="N56" i="3"/>
  <c r="O57" i="3"/>
  <c r="N57" i="3"/>
  <c r="G57" i="3"/>
  <c r="K56" i="3"/>
  <c r="O42" i="3"/>
  <c r="N42" i="3"/>
  <c r="L42" i="3"/>
  <c r="J42" i="3"/>
  <c r="I42" i="3"/>
  <c r="G42" i="3"/>
  <c r="E42" i="3"/>
  <c r="O47" i="3"/>
  <c r="N47" i="3"/>
  <c r="L47" i="3"/>
  <c r="K47" i="3"/>
  <c r="M43" i="3"/>
  <c r="H43" i="3"/>
  <c r="E45" i="3"/>
  <c r="G45" i="3"/>
  <c r="F45" i="3"/>
  <c r="M36" i="3"/>
  <c r="I47" i="3"/>
  <c r="E47" i="3"/>
  <c r="F47" i="3"/>
  <c r="G47" i="3"/>
  <c r="J55" i="3"/>
  <c r="K55" i="3"/>
  <c r="I55" i="3"/>
  <c r="F55" i="3"/>
  <c r="G22" i="3"/>
  <c r="G55" i="3"/>
  <c r="E55" i="3"/>
  <c r="E56" i="3"/>
  <c r="F56" i="3"/>
  <c r="G56" i="3"/>
  <c r="H56" i="3"/>
  <c r="I56" i="3"/>
  <c r="J56" i="3"/>
  <c r="L56" i="3"/>
  <c r="D56" i="3"/>
  <c r="D58" i="3"/>
  <c r="D21" i="3"/>
  <c r="D61" i="3"/>
  <c r="O149" i="3"/>
  <c r="O135" i="3"/>
  <c r="O140" i="3"/>
  <c r="O150" i="3"/>
  <c r="N149" i="3"/>
  <c r="O106" i="3"/>
  <c r="O110" i="3"/>
  <c r="O116" i="3"/>
  <c r="O119" i="3"/>
  <c r="O125" i="3"/>
  <c r="N135" i="3"/>
  <c r="N140" i="3"/>
  <c r="N150" i="3"/>
  <c r="N106" i="3"/>
  <c r="N110" i="3"/>
  <c r="N116" i="3"/>
  <c r="N119" i="3"/>
  <c r="N125" i="3"/>
  <c r="K106" i="3"/>
  <c r="K110" i="3"/>
  <c r="K116" i="3"/>
  <c r="H198" i="3"/>
  <c r="H199" i="3"/>
  <c r="H200" i="3"/>
  <c r="H201" i="3"/>
  <c r="H202" i="3"/>
  <c r="H195" i="3"/>
  <c r="H156" i="3"/>
  <c r="H157" i="3"/>
  <c r="H158" i="3"/>
  <c r="H160" i="3"/>
  <c r="H161" i="3"/>
  <c r="H162" i="3"/>
  <c r="H163" i="3"/>
  <c r="H164" i="3"/>
  <c r="H165" i="3"/>
  <c r="H168" i="3"/>
  <c r="H169" i="3"/>
  <c r="H170" i="3"/>
  <c r="H171" i="3"/>
  <c r="H172" i="3"/>
  <c r="H173" i="3"/>
  <c r="H174" i="3"/>
  <c r="H175" i="3"/>
  <c r="H176" i="3"/>
  <c r="H177" i="3"/>
  <c r="H178" i="3"/>
  <c r="H179" i="3"/>
  <c r="H180" i="3"/>
  <c r="H203" i="3"/>
  <c r="H204" i="3"/>
  <c r="L179" i="3"/>
  <c r="L172" i="3"/>
  <c r="L173" i="3"/>
  <c r="L174" i="3"/>
  <c r="L175" i="3"/>
  <c r="L176" i="3"/>
  <c r="L177" i="3"/>
  <c r="L178" i="3"/>
  <c r="L171" i="3"/>
  <c r="L170" i="3"/>
  <c r="L169" i="3"/>
  <c r="L164" i="3"/>
  <c r="L163" i="3"/>
  <c r="L162" i="3"/>
  <c r="L161" i="3"/>
  <c r="L160" i="3"/>
  <c r="L159" i="3"/>
  <c r="L158" i="3"/>
  <c r="L157" i="3"/>
  <c r="L149" i="3"/>
  <c r="M148" i="3"/>
  <c r="M144" i="3"/>
  <c r="M145" i="3"/>
  <c r="M146" i="3"/>
  <c r="M147" i="3"/>
  <c r="M149" i="3"/>
  <c r="L135" i="3"/>
  <c r="L140" i="3"/>
  <c r="M134" i="3"/>
  <c r="M133" i="3"/>
  <c r="M132" i="3"/>
  <c r="M131" i="3"/>
  <c r="M130" i="3"/>
  <c r="M106" i="3"/>
  <c r="M108" i="3"/>
  <c r="M107" i="3"/>
  <c r="M110" i="3"/>
  <c r="M111" i="3"/>
  <c r="M112" i="3"/>
  <c r="M115" i="3"/>
  <c r="M116" i="3"/>
  <c r="M117" i="3"/>
  <c r="M118" i="3"/>
  <c r="M119" i="3"/>
  <c r="M120" i="3"/>
  <c r="L121" i="3"/>
  <c r="M121" i="3"/>
  <c r="M122" i="3"/>
  <c r="M123" i="3"/>
  <c r="M124" i="3"/>
  <c r="M125" i="3"/>
  <c r="L106" i="3"/>
  <c r="L110" i="3"/>
  <c r="L116" i="3"/>
  <c r="L119" i="3"/>
  <c r="L125" i="3"/>
  <c r="K119" i="3"/>
  <c r="K125" i="3"/>
  <c r="L15" i="3"/>
  <c r="K149" i="3"/>
  <c r="J106" i="3"/>
  <c r="J110" i="3"/>
  <c r="J116" i="3"/>
  <c r="J119" i="3"/>
  <c r="J125" i="3"/>
  <c r="J149" i="3"/>
  <c r="I106" i="3"/>
  <c r="I110" i="3"/>
  <c r="I116" i="3"/>
  <c r="I119" i="3"/>
  <c r="I125" i="3"/>
  <c r="I149" i="3"/>
  <c r="I135" i="3"/>
  <c r="I140" i="3"/>
  <c r="I150" i="3"/>
  <c r="H137" i="3"/>
  <c r="H134" i="3"/>
  <c r="H130" i="3"/>
  <c r="G106" i="3"/>
  <c r="H106" i="3"/>
  <c r="H111" i="3"/>
  <c r="H112" i="3"/>
  <c r="H113" i="3"/>
  <c r="H114" i="3"/>
  <c r="H115" i="3"/>
  <c r="G110" i="3"/>
  <c r="H110" i="3"/>
  <c r="H116" i="3"/>
  <c r="H117" i="3"/>
  <c r="H118" i="3"/>
  <c r="H119" i="3"/>
  <c r="H121" i="3"/>
  <c r="H124" i="3"/>
  <c r="H120" i="3"/>
  <c r="H122" i="3"/>
  <c r="H123" i="3"/>
  <c r="H125" i="3"/>
  <c r="G116" i="3"/>
  <c r="G119" i="3"/>
  <c r="G125" i="3"/>
  <c r="F106" i="3"/>
  <c r="F110" i="3"/>
  <c r="F116" i="3"/>
  <c r="F119" i="3"/>
  <c r="F125" i="3"/>
  <c r="H188" i="3"/>
  <c r="H194" i="3"/>
  <c r="H193" i="3"/>
  <c r="H191" i="3"/>
  <c r="H189" i="3"/>
  <c r="H183" i="3"/>
  <c r="H187" i="3"/>
  <c r="H129" i="3"/>
  <c r="H132" i="3"/>
  <c r="H133" i="3"/>
  <c r="H128" i="3"/>
  <c r="G135" i="3"/>
  <c r="H109" i="3"/>
  <c r="H107" i="3"/>
  <c r="G23" i="3"/>
  <c r="G12" i="3"/>
  <c r="D106" i="3"/>
  <c r="D110" i="3"/>
  <c r="D116" i="3"/>
  <c r="D119" i="3"/>
  <c r="D125" i="3"/>
  <c r="D135" i="3"/>
  <c r="D140" i="3"/>
  <c r="D149" i="3"/>
  <c r="D150" i="3"/>
  <c r="D151" i="3"/>
  <c r="E149" i="3"/>
  <c r="E135" i="3"/>
  <c r="E140" i="3"/>
  <c r="E150" i="3"/>
  <c r="E106" i="3"/>
  <c r="E110" i="3"/>
  <c r="E116" i="3"/>
  <c r="E119" i="3"/>
  <c r="E125" i="3"/>
  <c r="E151" i="3"/>
  <c r="H16" i="3"/>
  <c r="H18" i="3"/>
  <c r="H19" i="3"/>
  <c r="H144" i="3"/>
  <c r="H145" i="3"/>
  <c r="H146" i="3"/>
  <c r="H147" i="3"/>
  <c r="H148" i="3"/>
  <c r="H149" i="3"/>
  <c r="G149" i="3"/>
  <c r="F149" i="3"/>
  <c r="H139" i="3"/>
  <c r="H32" i="3"/>
  <c r="F135" i="3"/>
  <c r="F140" i="3"/>
  <c r="F150" i="3"/>
  <c r="F151" i="3"/>
  <c r="G140" i="3"/>
  <c r="G150" i="3"/>
  <c r="G151" i="3"/>
  <c r="H135" i="3"/>
  <c r="H138" i="3"/>
  <c r="H140" i="3"/>
  <c r="H150" i="3"/>
  <c r="H151" i="3"/>
  <c r="I151" i="3"/>
  <c r="J135" i="3"/>
  <c r="J140" i="3"/>
  <c r="J150" i="3"/>
  <c r="J151" i="3"/>
  <c r="K135" i="3"/>
  <c r="K140" i="3"/>
  <c r="K150" i="3"/>
  <c r="K151" i="3"/>
  <c r="L150" i="3"/>
  <c r="L151" i="3"/>
  <c r="M128" i="3"/>
  <c r="M129" i="3"/>
  <c r="M135" i="3"/>
  <c r="M137" i="3"/>
  <c r="M138" i="3"/>
  <c r="M139" i="3"/>
  <c r="M140" i="3"/>
  <c r="M150" i="3"/>
  <c r="M151" i="3"/>
  <c r="L98" i="3"/>
  <c r="L94" i="3"/>
  <c r="K98" i="3"/>
  <c r="J98" i="3"/>
  <c r="I94" i="3"/>
  <c r="E98" i="3"/>
  <c r="F98" i="3"/>
  <c r="G98" i="3"/>
  <c r="D98" i="3"/>
  <c r="L95" i="3"/>
  <c r="H205" i="3"/>
  <c r="H185" i="3"/>
  <c r="M182" i="3"/>
  <c r="M181" i="3"/>
  <c r="R81" i="3"/>
  <c r="R80" i="3"/>
  <c r="M81" i="3"/>
  <c r="M80" i="3"/>
  <c r="H80" i="3"/>
  <c r="H79" i="3"/>
  <c r="R79" i="3"/>
  <c r="I54" i="3"/>
  <c r="F54" i="3"/>
  <c r="E54" i="3"/>
  <c r="G54" i="3"/>
  <c r="K94" i="3"/>
  <c r="H65" i="3"/>
  <c r="H64" i="3"/>
  <c r="H54" i="3"/>
  <c r="J94" i="3"/>
  <c r="J58" i="3"/>
  <c r="J15" i="3"/>
  <c r="J59" i="3"/>
  <c r="I15" i="3"/>
  <c r="I59" i="3"/>
  <c r="I58" i="3"/>
  <c r="T94" i="3"/>
  <c r="U94" i="3"/>
  <c r="V94" i="3"/>
  <c r="S30" i="3"/>
  <c r="T30" i="3"/>
  <c r="U30" i="3"/>
  <c r="V30" i="3"/>
  <c r="M64" i="3"/>
  <c r="M54" i="3"/>
  <c r="K95" i="3"/>
  <c r="J95" i="3"/>
  <c r="D15" i="3"/>
  <c r="D59" i="3"/>
  <c r="J61" i="3"/>
  <c r="J60" i="3"/>
  <c r="H66" i="3"/>
  <c r="J57" i="3"/>
  <c r="J32" i="3"/>
  <c r="J33" i="3"/>
  <c r="K15" i="3"/>
  <c r="K59" i="3"/>
  <c r="K58" i="3"/>
  <c r="K61" i="3"/>
  <c r="K60" i="3"/>
  <c r="K57" i="3"/>
  <c r="K32" i="3"/>
  <c r="K33" i="3"/>
  <c r="F58" i="3"/>
  <c r="F15" i="3"/>
  <c r="F59" i="3"/>
  <c r="F60" i="3"/>
  <c r="I61" i="3"/>
  <c r="I60" i="3"/>
  <c r="D60" i="3"/>
  <c r="D57" i="3"/>
  <c r="I57" i="3"/>
  <c r="F57" i="3"/>
  <c r="F32" i="3"/>
  <c r="F33" i="3"/>
  <c r="I33" i="3"/>
  <c r="D32" i="3"/>
  <c r="D33" i="3"/>
  <c r="E59" i="3"/>
  <c r="E58" i="3"/>
  <c r="H58" i="3"/>
  <c r="G58" i="3"/>
  <c r="G60" i="3"/>
  <c r="E21" i="3"/>
  <c r="E61" i="3"/>
  <c r="E60" i="3"/>
  <c r="H60" i="3"/>
  <c r="E57" i="3"/>
  <c r="H57" i="3"/>
  <c r="E33" i="3"/>
  <c r="E32" i="3"/>
  <c r="H33" i="3"/>
  <c r="G32" i="3"/>
  <c r="G33" i="3"/>
  <c r="R65" i="3"/>
  <c r="R66" i="3"/>
  <c r="P60" i="3"/>
  <c r="Q60" i="3"/>
  <c r="W65" i="3"/>
  <c r="W66" i="3"/>
  <c r="W63" i="3"/>
  <c r="R60" i="3"/>
  <c r="S60" i="3"/>
  <c r="W54" i="3"/>
  <c r="T60" i="3"/>
  <c r="U60" i="3"/>
  <c r="V60" i="3"/>
  <c r="W60" i="3"/>
  <c r="U32" i="3"/>
  <c r="U33" i="3"/>
  <c r="T32" i="3"/>
  <c r="S32" i="3"/>
  <c r="V33" i="3"/>
  <c r="V32" i="3"/>
  <c r="W57" i="3"/>
  <c r="O32" i="3"/>
  <c r="W33" i="3"/>
  <c r="W30" i="3"/>
  <c r="W32" i="3"/>
  <c r="P32" i="3"/>
  <c r="Q32" i="3"/>
  <c r="G21" i="3"/>
  <c r="G61" i="3"/>
  <c r="G15" i="3"/>
  <c r="G59" i="3"/>
  <c r="H15" i="3"/>
  <c r="H59" i="3"/>
  <c r="L58" i="3"/>
  <c r="L59" i="3"/>
  <c r="L60" i="3"/>
  <c r="L61" i="3"/>
  <c r="M58" i="3"/>
  <c r="M15" i="3"/>
  <c r="M59" i="3"/>
  <c r="M60" i="3"/>
  <c r="M61" i="3"/>
  <c r="L57" i="3"/>
  <c r="L32" i="3"/>
  <c r="L33" i="3"/>
  <c r="M33" i="3"/>
  <c r="M32" i="3"/>
  <c r="L168" i="3"/>
  <c r="P59" i="3"/>
  <c r="Q15" i="3"/>
  <c r="Q59" i="3"/>
  <c r="R15" i="3"/>
  <c r="R59" i="3"/>
  <c r="Q21" i="3"/>
  <c r="Q61" i="3"/>
  <c r="S15" i="3"/>
  <c r="S59" i="3"/>
  <c r="T15" i="3"/>
  <c r="T59" i="3"/>
  <c r="U15" i="3"/>
  <c r="U59" i="3"/>
  <c r="V15" i="3"/>
  <c r="V59" i="3"/>
  <c r="W15" i="3"/>
  <c r="W59" i="3"/>
  <c r="C6" i="3"/>
  <c r="C222" i="3"/>
  <c r="C223" i="3"/>
  <c r="C224" i="3"/>
  <c r="C7" i="3"/>
  <c r="F78" i="3"/>
  <c r="F92" i="3"/>
  <c r="F72" i="3"/>
  <c r="H72" i="3"/>
  <c r="H78" i="3"/>
  <c r="F21" i="3"/>
  <c r="F61" i="3"/>
  <c r="H21" i="3"/>
  <c r="H61" i="3"/>
  <c r="P20" i="3"/>
  <c r="R20" i="3"/>
  <c r="S20" i="3"/>
  <c r="T20" i="3"/>
  <c r="U20" i="3"/>
  <c r="V20" i="3"/>
  <c r="W20" i="3"/>
  <c r="W70" i="3"/>
  <c r="W71" i="3"/>
  <c r="P21" i="3"/>
  <c r="P61" i="3"/>
  <c r="R21" i="3"/>
  <c r="R61" i="3"/>
  <c r="S21" i="3"/>
  <c r="S61" i="3"/>
  <c r="T21" i="3"/>
  <c r="T61" i="3"/>
  <c r="U21" i="3"/>
  <c r="U61" i="3"/>
  <c r="V21" i="3"/>
  <c r="V61" i="3"/>
  <c r="W21" i="3"/>
  <c r="W61" i="3"/>
  <c r="R90" i="3"/>
  <c r="W90" i="3"/>
  <c r="W28" i="3"/>
  <c r="W29" i="3"/>
  <c r="W34" i="3"/>
  <c r="V28" i="3"/>
  <c r="V29" i="3"/>
  <c r="V34" i="3"/>
  <c r="U28" i="3"/>
  <c r="U29" i="3"/>
  <c r="U34" i="3"/>
  <c r="T28" i="3"/>
  <c r="T29" i="3"/>
  <c r="T34" i="3"/>
  <c r="S28" i="3"/>
  <c r="S29" i="3"/>
  <c r="S34" i="3"/>
  <c r="R28" i="3"/>
  <c r="R29" i="3"/>
  <c r="R34" i="3"/>
  <c r="P28" i="3"/>
  <c r="P29" i="3"/>
  <c r="P34" i="3"/>
  <c r="P92" i="3"/>
  <c r="Q92" i="3"/>
  <c r="R92" i="3"/>
  <c r="S92" i="3"/>
  <c r="T92" i="3"/>
  <c r="U92" i="3"/>
  <c r="V92" i="3"/>
  <c r="W92" i="3"/>
  <c r="Q28" i="3"/>
  <c r="Q29" i="3"/>
  <c r="Q34" i="3"/>
  <c r="W69" i="3"/>
  <c r="W72" i="3"/>
  <c r="R69" i="3"/>
  <c r="R72" i="3"/>
  <c r="S72" i="3"/>
  <c r="T72" i="3"/>
  <c r="U72" i="3"/>
  <c r="Q72" i="3"/>
  <c r="V72" i="3"/>
</calcChain>
</file>

<file path=xl/sharedStrings.xml><?xml version="1.0" encoding="utf-8"?>
<sst xmlns="http://schemas.openxmlformats.org/spreadsheetml/2006/main" count="372" uniqueCount="233">
  <si>
    <t>(Dollars in millions, except per share data)</t>
  </si>
  <si>
    <t>Multiple Valuation</t>
  </si>
  <si>
    <t>P/E used for valuation</t>
  </si>
  <si>
    <t>Sept-14</t>
  </si>
  <si>
    <t>June-14</t>
  </si>
  <si>
    <t>Mar-14</t>
  </si>
  <si>
    <t>Dec-14</t>
  </si>
  <si>
    <t>Mar-15</t>
  </si>
  <si>
    <t>June-15</t>
  </si>
  <si>
    <t>Sept-15</t>
  </si>
  <si>
    <t>Dec-16</t>
  </si>
  <si>
    <t>Dec-15</t>
  </si>
  <si>
    <t>Mar-16</t>
  </si>
  <si>
    <t>June-16</t>
  </si>
  <si>
    <t>Sept-16</t>
  </si>
  <si>
    <t>Mar-17</t>
  </si>
  <si>
    <t>June-17</t>
  </si>
  <si>
    <t>Sept-17</t>
  </si>
  <si>
    <t>Dec-17</t>
  </si>
  <si>
    <t xml:space="preserve">Segment Data &amp; Income Statement Ratios </t>
  </si>
  <si>
    <t>Basic EPS (GAAP)</t>
  </si>
  <si>
    <t>Diluted EPS (GAAP)</t>
  </si>
  <si>
    <t>Basic shares outstanding (GAAP)</t>
  </si>
  <si>
    <t>Diluted shares outstanding (GAAP)</t>
  </si>
  <si>
    <t>Diluted EPS (Non-GAAP)</t>
  </si>
  <si>
    <t>Net income (Non-GAAP)</t>
  </si>
  <si>
    <t>NTM P/E 3-month average</t>
  </si>
  <si>
    <t>NTM P/E 3-month high</t>
  </si>
  <si>
    <t>NTM P/E 3-month low</t>
  </si>
  <si>
    <t>FY 2014</t>
  </si>
  <si>
    <t>FY 2016E</t>
  </si>
  <si>
    <t>FY 2017E</t>
  </si>
  <si>
    <t xml:space="preserve">Plus net cash/(debt) per share </t>
  </si>
  <si>
    <t>Implied P/E 12-month target value</t>
  </si>
  <si>
    <t>Dividend per share</t>
  </si>
  <si>
    <t>Analysis of share count changes</t>
  </si>
  <si>
    <t>Change in basic shares  (excluding repurchases)</t>
  </si>
  <si>
    <t>Change in diluted shares  (excluding repurchases)</t>
  </si>
  <si>
    <t>Share repurchase assumptions: average price</t>
  </si>
  <si>
    <t>Share repurchase: amount in the period ($M)</t>
  </si>
  <si>
    <t>Shares repurchased (M) [repurchase details are rounded]</t>
  </si>
  <si>
    <t>1Q14</t>
  </si>
  <si>
    <t>2Q14</t>
  </si>
  <si>
    <t>3Q14</t>
  </si>
  <si>
    <t>4Q14</t>
  </si>
  <si>
    <t>1Q15</t>
  </si>
  <si>
    <t>2Q15</t>
  </si>
  <si>
    <t>1Q16E</t>
  </si>
  <si>
    <t>2Q16E</t>
  </si>
  <si>
    <t>3Q16E</t>
  </si>
  <si>
    <t>4Q16E</t>
  </si>
  <si>
    <t>1Q17E</t>
  </si>
  <si>
    <t>2Q17E</t>
  </si>
  <si>
    <t>3Q17E</t>
  </si>
  <si>
    <t>4Q17E</t>
  </si>
  <si>
    <t>3Q15</t>
  </si>
  <si>
    <t>Cost of revenue</t>
  </si>
  <si>
    <t>Income before income taxes (GAAP)</t>
  </si>
  <si>
    <t>Gross margin (GAAP)</t>
  </si>
  <si>
    <t>Effective income tax rate</t>
  </si>
  <si>
    <t>Operating Income (GAAP)</t>
  </si>
  <si>
    <t>Operating Income (Non-GAAP)</t>
  </si>
  <si>
    <t>Operating Income Margin (GAAP)</t>
  </si>
  <si>
    <t>Operating Income Margin (Non-GAAP)</t>
  </si>
  <si>
    <t>Total Operating Expenses (ex cost of revenue)</t>
  </si>
  <si>
    <t>Net income (GAAP)</t>
  </si>
  <si>
    <t>($ in millions  unless otherwise noted)</t>
  </si>
  <si>
    <t>Average interest expense</t>
  </si>
  <si>
    <t>Revenue</t>
  </si>
  <si>
    <t>Provision/(Benefit) for income taxes</t>
  </si>
  <si>
    <t>Ratio Analysis</t>
  </si>
  <si>
    <t>Gross margin (Non-GAAP)</t>
  </si>
  <si>
    <t>Other income/(expense) as a % of revenue</t>
  </si>
  <si>
    <t>Gross Profit (GAAP)</t>
  </si>
  <si>
    <t>Opex adjustments (Non-GAAP)</t>
  </si>
  <si>
    <t>Cost of revenue adjustments (Non-GAAP)</t>
  </si>
  <si>
    <t>Gross Profit (Non-GAAP)</t>
  </si>
  <si>
    <t>Non-GAAP Adjustment Analysis</t>
  </si>
  <si>
    <t>Net income adjustments (Non-GAAP)</t>
  </si>
  <si>
    <t>Net income</t>
  </si>
  <si>
    <t xml:space="preserve">(a) Multiples are calculated excluding the value of net cash/(debt) and are based on the 3-month average daily share price compared to the consensus EPS estimates for the next twelve month period. </t>
  </si>
  <si>
    <t>4Q15</t>
  </si>
  <si>
    <t>FY 2015</t>
  </si>
  <si>
    <t>Implied target price band</t>
  </si>
  <si>
    <t>Mean monthly return</t>
  </si>
  <si>
    <t xml:space="preserve">Standard deviation </t>
  </si>
  <si>
    <t>Implied upper bound</t>
  </si>
  <si>
    <t>Implied Lower bound</t>
  </si>
  <si>
    <t>Risk Estimation Summary (b)</t>
  </si>
  <si>
    <t>Implied P/E target value</t>
  </si>
  <si>
    <t>By obtaining this model you are deemed to have read and agreed to our Terms of Use. Visit our website for details: https://www.gutenbergresearch.com/terms-of-use.html</t>
  </si>
  <si>
    <t>GR</t>
  </si>
  <si>
    <t>BALANCE SHEET</t>
  </si>
  <si>
    <t>Assets</t>
  </si>
  <si>
    <t>Cash and equivalents</t>
  </si>
  <si>
    <t xml:space="preserve">Accounts receivables, net </t>
  </si>
  <si>
    <t>Prepaid expenses other current assets</t>
  </si>
  <si>
    <t>Total Current Assets</t>
  </si>
  <si>
    <t>Total Assets</t>
  </si>
  <si>
    <t>Liabilities</t>
  </si>
  <si>
    <t>Accounts payable</t>
  </si>
  <si>
    <t>Total Current liabilities</t>
  </si>
  <si>
    <t>Other long-term liabilities</t>
  </si>
  <si>
    <t>Total liabilities</t>
  </si>
  <si>
    <t>Equity</t>
  </si>
  <si>
    <t>Total shareholders' equity</t>
  </si>
  <si>
    <t>Total liabilities and equity</t>
  </si>
  <si>
    <t>CASH FLOW STATEMENT</t>
  </si>
  <si>
    <t>Cash flows from operating activities</t>
  </si>
  <si>
    <t>Net income (loss)</t>
  </si>
  <si>
    <t xml:space="preserve">Depreciation and amortization </t>
  </si>
  <si>
    <t>Stock-based comp expense</t>
  </si>
  <si>
    <t>Change in operating assets and liabilities</t>
  </si>
  <si>
    <t>Accounts receivable</t>
  </si>
  <si>
    <t>Prepaid expenses and other current assets</t>
  </si>
  <si>
    <t>Net cash provided by operating activities</t>
  </si>
  <si>
    <t>Cash flows from investing activities</t>
  </si>
  <si>
    <t>Net cash provided by (used for) investing</t>
  </si>
  <si>
    <t>Cash flows from financing activities</t>
  </si>
  <si>
    <t>Net cash provided by (used for) financing</t>
  </si>
  <si>
    <t>Net increase (decrease) in cash and equivalents</t>
  </si>
  <si>
    <t>Effect of exchange rate changes on cash</t>
  </si>
  <si>
    <t>Cash and equivalents at beginning of period</t>
  </si>
  <si>
    <t>Cash and equivalents at end of period</t>
  </si>
  <si>
    <t>Net cash/(debt) per diluted share (Non-GAAP)</t>
  </si>
  <si>
    <t>Short-term investments</t>
  </si>
  <si>
    <t>Goodwill</t>
  </si>
  <si>
    <t>Deferred and other long-term tax liability</t>
  </si>
  <si>
    <t>Commitments and contingencies</t>
  </si>
  <si>
    <t>Additional paid-in capital</t>
  </si>
  <si>
    <t xml:space="preserve">Common stock </t>
  </si>
  <si>
    <t>Provisions for bad debt</t>
  </si>
  <si>
    <t>Purchases of property and equipment</t>
  </si>
  <si>
    <t>Total Cash and ST investment</t>
  </si>
  <si>
    <t>Total Receivable</t>
  </si>
  <si>
    <t>Inventory</t>
  </si>
  <si>
    <t>Deferred tax assets, Curr.</t>
  </si>
  <si>
    <t>Gross Property, plant and equipment</t>
  </si>
  <si>
    <t>Accumulated Depreciation</t>
  </si>
  <si>
    <t>Net Property Plant and Equipment</t>
  </si>
  <si>
    <t>Long term Investment</t>
  </si>
  <si>
    <t>Deferred tax assets LT</t>
  </si>
  <si>
    <t>Curr. Income Taxes Payable</t>
  </si>
  <si>
    <t>Unearned Revenue, Current</t>
  </si>
  <si>
    <t>Unearned Revenue, Non-Current</t>
  </si>
  <si>
    <t>Retained earnings</t>
  </si>
  <si>
    <t>Treasury Stock</t>
  </si>
  <si>
    <t>Comprehensive Inc. and Other</t>
  </si>
  <si>
    <t>Inventories</t>
  </si>
  <si>
    <t>Interest and other Income (expense), net</t>
  </si>
  <si>
    <t>(loss) gain on investment and put options, net</t>
  </si>
  <si>
    <t>Total other income (expense)</t>
  </si>
  <si>
    <t>Other Intangibles, net</t>
  </si>
  <si>
    <t>other Long-Term Asset</t>
  </si>
  <si>
    <t>(Gain) or loss on disposal of property &amp; equipment</t>
  </si>
  <si>
    <t>Deferred income Taxes</t>
  </si>
  <si>
    <t>Prepaid Income Taxes</t>
  </si>
  <si>
    <t>Accrued Liabilities</t>
  </si>
  <si>
    <t>Accrued Promotional Allowances</t>
  </si>
  <si>
    <t>Accrued distributor terminations</t>
  </si>
  <si>
    <t>Accrued compensation</t>
  </si>
  <si>
    <t>Income Taxes Payable</t>
  </si>
  <si>
    <t>Deferred revenue</t>
  </si>
  <si>
    <t>Maturities of held-to-maturity investments</t>
  </si>
  <si>
    <t>Sales of trading investments</t>
  </si>
  <si>
    <t>Purchases of held-to-maturity investment</t>
  </si>
  <si>
    <t>Proceeds from sale of property and equipment</t>
  </si>
  <si>
    <t>Decrease (increase) in intangibles</t>
  </si>
  <si>
    <t>Decrease (increase) in other assets</t>
  </si>
  <si>
    <t>Principal payment on debt</t>
  </si>
  <si>
    <t>Issuance of Common Stock</t>
  </si>
  <si>
    <t>Purchase of common stock held in treasury</t>
  </si>
  <si>
    <t>prepaid income taxes</t>
  </si>
  <si>
    <t>Accrued Promotional allowances</t>
  </si>
  <si>
    <t>Loss (gain) on put option</t>
  </si>
  <si>
    <t>Gain On Investments, net</t>
  </si>
  <si>
    <t>Distributor receivables</t>
  </si>
  <si>
    <t>intangibles held for sale, net</t>
  </si>
  <si>
    <t>purchase of available-for-sale investments</t>
  </si>
  <si>
    <t>Gain on sale of Monster</t>
  </si>
  <si>
    <t>Operating expenses</t>
  </si>
  <si>
    <t>TCCC Transaction receivable</t>
  </si>
  <si>
    <t>Gain on sale of Monster Non-Energy</t>
  </si>
  <si>
    <t>Poceeds from the sale of Monsters Non-Energy</t>
  </si>
  <si>
    <t>sale of available-for-sale investments</t>
  </si>
  <si>
    <t>Proceeds from transfers of distribution rights to TCCC</t>
  </si>
  <si>
    <t>Tax benefit from Stock-based compensation</t>
  </si>
  <si>
    <t>Excess Tax benefit from exercises of stock options</t>
  </si>
  <si>
    <t>Purchase of AFF Assets, net</t>
  </si>
  <si>
    <t>Net sales for Other segment</t>
  </si>
  <si>
    <t>Total unit case sales</t>
  </si>
  <si>
    <t xml:space="preserve">   Average net sales per case</t>
  </si>
  <si>
    <t xml:space="preserve">   Growth in unit case sold</t>
  </si>
  <si>
    <t>Accelerated recognition of deferred revenue</t>
  </si>
  <si>
    <t xml:space="preserve">   Net sales excluding above item</t>
  </si>
  <si>
    <t>Gross profit</t>
  </si>
  <si>
    <t>Net sales</t>
  </si>
  <si>
    <t xml:space="preserve">  Gross profit excluding above item</t>
  </si>
  <si>
    <t>Distributor termination costs</t>
  </si>
  <si>
    <t>TCCC Transaction expenses</t>
  </si>
  <si>
    <t xml:space="preserve">  Operating expenses excluding above items</t>
  </si>
  <si>
    <t>Operating income</t>
  </si>
  <si>
    <t>Gain on sale of the non-energy business</t>
  </si>
  <si>
    <t xml:space="preserve">    Operating income excluding above itens</t>
  </si>
  <si>
    <t>Income before provision for income taxes</t>
  </si>
  <si>
    <t xml:space="preserve">    Income before provision for income taxes excluding above items</t>
  </si>
  <si>
    <t xml:space="preserve">    Net income excluding above items</t>
  </si>
  <si>
    <t>net sales for monster energy as % of revenue</t>
  </si>
  <si>
    <t>net sale for strategic brands segment as % of revenue</t>
  </si>
  <si>
    <t>net sales for other segment as % of revenue</t>
  </si>
  <si>
    <t>Monster Beverage Corp (MNST) Income Statement</t>
  </si>
  <si>
    <t xml:space="preserve">Purple cells = Company guidance </t>
  </si>
  <si>
    <t>Blue cells = Gutenberg estimates</t>
  </si>
  <si>
    <t>1Q16</t>
  </si>
  <si>
    <t>2Q16</t>
  </si>
  <si>
    <t>Total sales</t>
  </si>
  <si>
    <t>Net sales for Monster Energy Drinks segment</t>
  </si>
  <si>
    <t xml:space="preserve">   Strategic Brands segment growth rate (QoQ)</t>
  </si>
  <si>
    <t>Net sales for Strategic Brands segment</t>
  </si>
  <si>
    <t xml:space="preserve">   Moster Energy segment growth rate (QoQ)</t>
  </si>
  <si>
    <t xml:space="preserve">   Other segment growth rate (QoQ)</t>
  </si>
  <si>
    <t>Operating expenses as a % of revenue</t>
  </si>
  <si>
    <t>Sales breakdown</t>
  </si>
  <si>
    <t>Accelerated recognition of deferred revenue (Cost of Revenue)</t>
  </si>
  <si>
    <t>Distributor termination costs (Opex)</t>
  </si>
  <si>
    <t>TCCC Transaction expenses (Opex)</t>
  </si>
  <si>
    <t>Gain on sale of the non-energy business (Net Income)</t>
  </si>
  <si>
    <t>Provision for income taxes relating to above (Net Income)</t>
  </si>
  <si>
    <t>Effective Non-GAAP Tax Rate</t>
  </si>
  <si>
    <t>Distributor termination costs (Net Income)</t>
  </si>
  <si>
    <r>
      <rPr>
        <b/>
        <sz val="11"/>
        <color theme="1"/>
        <rFont val="Calibri"/>
        <family val="2"/>
        <scheme val="minor"/>
      </rPr>
      <t>NOTE:</t>
    </r>
    <r>
      <rPr>
        <sz val="11"/>
        <color theme="1"/>
        <rFont val="Calibri"/>
        <family val="2"/>
        <scheme val="minor"/>
      </rPr>
      <t xml:space="preserve"> There are many different multiples which could be applied to various earnings metrics, each of which result in different valuations. This calculation is for demonstration only. Please refer to our disclosures for important details.  Our Multiple valuation metrics are kept constant at certain points during each quarter to isolate the impact from changes in earnings estimates.   </t>
    </r>
    <r>
      <rPr>
        <b/>
        <sz val="11"/>
        <color theme="3"/>
        <rFont val="Calibri"/>
        <family val="2"/>
        <scheme val="minor"/>
      </rPr>
      <t xml:space="preserve">The multiple  in this section was last updated on 10/1/2016. </t>
    </r>
  </si>
  <si>
    <r>
      <t xml:space="preserve">(b) There are many approaches to estimating a stock's risk. In this demonstration we use the standard deviation and the monthly average return over the last 12 months to construct an estimated price target range. Standard deviation is a measure of dispersion around the mean monthly return. The larger the historic standard deviation the greater the volatility in prices. Using a normal distribution, approximately 95% of observations fall within 2 standard deviations of the mean. This approach has multiple limitations including: 1) it assumes that historic results can predict future return characteristics, and 2) it assumes the stock's returns are normally distributed. This analysis is for demonstration only, refer to full Terms of Use on our website GutenbergResearch.com. </t>
    </r>
    <r>
      <rPr>
        <b/>
        <sz val="11"/>
        <color theme="4" tint="-0.499984740745262"/>
        <rFont val="Calibri"/>
        <family val="2"/>
        <scheme val="minor"/>
      </rPr>
      <t xml:space="preserve">The mean &amp; standard deviation in this section were last updated on  10/1/2016. </t>
    </r>
  </si>
  <si>
    <t>Orange cells = Consensus estimates (updated 10/1/2016)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</si>
</sst>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1">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0.0\x"/>
    <numFmt numFmtId="168" formatCode="_(* #,##0.000_);_(* \(#,##0.000\);_(* &quot;-&quot;??_);_(@_)"/>
    <numFmt numFmtId="169" formatCode="#,##0.0_);\(#,##0.0\)"/>
    <numFmt numFmtId="170" formatCode="#,##0.0\ ;\(#,##0.0\)"/>
    <numFmt numFmtId="171" formatCode="#,##0\ ;\(#,##0.0\)"/>
    <numFmt numFmtId="172" formatCode="&quot;$&quot;0.00_)"/>
    <numFmt numFmtId="173" formatCode="#,##0&quot;%&quot;"/>
    <numFmt numFmtId="174" formatCode="#,##0___);\(#,##0.00\)"/>
    <numFmt numFmtId="175" formatCode="0%;\(0%\)"/>
    <numFmt numFmtId="176" formatCode="_(* #,##0,,_);_(* \(#,##0,,\);_(* &quot;-&quot;_)"/>
    <numFmt numFmtId="177" formatCode="_(* #,##0_);[Red]_(* \(#,##0\);_(* &quot;&quot;&quot;&quot;&quot;&quot;&quot;&quot;\ \-\ &quot;&quot;&quot;&quot;&quot;&quot;&quot;&quot;_);_(@_)"/>
    <numFmt numFmtId="178" formatCode="_(* #,##0,_);[Red]_(* \(#,##0,\);_(* &quot;&quot;&quot;&quot;&quot;&quot;&quot;&quot;\ \-\ &quot;&quot;&quot;&quot;&quot;&quot;&quot;&quot;_);_(@_)"/>
    <numFmt numFmtId="179" formatCode="0%;\(0%\);;"/>
    <numFmt numFmtId="180" formatCode="0%;\(0%\);&quot;-&quot;"/>
    <numFmt numFmtId="181" formatCode="#,##0_);[Red]\(#,##0\);&quot;-&quot;"/>
    <numFmt numFmtId="182" formatCode="*-"/>
    <numFmt numFmtId="183" formatCode="#,##0;\-#,##0;&quot;-&quot;"/>
    <numFmt numFmtId="184" formatCode="_._.&quot;$&quot;* \(#,##0\)_%;_._.&quot;$&quot;* #,##0_)_%;_._.&quot;$&quot;* 0_)_%;_._.@_)_%"/>
    <numFmt numFmtId="185" formatCode="_._.* \(#,##0\)_%;_._.* #,##0_)_%;_._.* 0_)_%;_._.@_)_%"/>
    <numFmt numFmtId="186" formatCode="&quot;$&quot;#,##0;\-&quot;$&quot;#,##0"/>
    <numFmt numFmtId="187" formatCode="_-&quot;$&quot;* #,##0_-;\-&quot;$&quot;* #,##0_-;_-&quot;$&quot;* &quot;-&quot;_-;_-@_-"/>
    <numFmt numFmtId="188" formatCode="_-&quot;$&quot;* #,##0.00_-;\-&quot;$&quot;* #,##0.00_-;_-&quot;$&quot;* &quot;-&quot;??_-;_-@_-"/>
    <numFmt numFmtId="189" formatCode="#,##0;\(#,##0\)"/>
    <numFmt numFmtId="190" formatCode="&quot;SFr.&quot;\ #,##0.00;&quot;SFr.&quot;\ \-#,##0.00"/>
    <numFmt numFmtId="191" formatCode="#,##0.00;\-#,##0.00;&quot;-&quot;"/>
    <numFmt numFmtId="192" formatCode="* #,##0.00_);\(#,##0.00\)"/>
    <numFmt numFmtId="193" formatCode="_([$€-2]* #,##0.00_);_([$€-2]* \(#,##0.00\);_([$€-2]* &quot;-&quot;??_)"/>
    <numFmt numFmtId="194" formatCode="0.0_)\%;\(0.0\)\%;0.0_)\%;@_)_%"/>
    <numFmt numFmtId="195" formatCode="#,##0.0_)_%;\(#,##0.0\)_%;0.0_)_%;@_)_%"/>
    <numFmt numFmtId="196" formatCode="#,##0.0_);\(#,##0.0\);#,##0.0_);@_)"/>
    <numFmt numFmtId="197" formatCode="&quot;$&quot;_(#,##0.00_);&quot;$&quot;\(#,##0.00\);&quot;$&quot;_(0.00_);@_)"/>
    <numFmt numFmtId="198" formatCode="#,##0.00_);\(#,##0.00\);0.00_);@_)"/>
    <numFmt numFmtId="199" formatCode="\€_(#,##0.00_);\€\(#,##0.00\);\€_(0.00_);@_)"/>
    <numFmt numFmtId="200" formatCode="#,##0_)\x;\(#,##0\)\x;0_)\x;@_)_x"/>
    <numFmt numFmtId="201" formatCode="#,##0_)_x;\(#,##0\)_x;0_)_x;@_)_x"/>
    <numFmt numFmtId="202" formatCode="#,##0.0000;\-#,##0.0000"/>
    <numFmt numFmtId="203" formatCode="#,##0.000000;\-#,##0.000000"/>
    <numFmt numFmtId="204" formatCode="#,##0.0;\-#,##0.0"/>
    <numFmt numFmtId="205" formatCode="#,##0.000;\-#,##0.000"/>
    <numFmt numFmtId="206" formatCode="#,##0.00000;\-#,##0.00000"/>
    <numFmt numFmtId="207" formatCode="#,##0.0000000;\-#,##0.0000000"/>
    <numFmt numFmtId="208" formatCode="#,##0.00000000;\-#,##0.00000000"/>
    <numFmt numFmtId="209" formatCode="#,##0.000000000;\-#,##0.000000000"/>
    <numFmt numFmtId="210" formatCode="#,##0.0000000000;\-#,##0.0000000000"/>
    <numFmt numFmtId="211" formatCode="_-* #,##0\ _D_M_-;\-* #,##0\ _D_M_-;_-* &quot;-&quot;\ _D_M_-;_-@_-"/>
    <numFmt numFmtId="212" formatCode="_-* #,##0.00\ _D_M_-;\-* #,##0.00\ _D_M_-;_-* &quot;-&quot;??\ _D_M_-;_-@_-"/>
    <numFmt numFmtId="213" formatCode="_-* #,##0\ &quot;DM&quot;_-;\-* #,##0\ &quot;DM&quot;_-;_-* &quot;-&quot;\ &quot;DM&quot;_-;_-@_-"/>
    <numFmt numFmtId="214" formatCode="_-* #,##0.00\ &quot;DM&quot;_-;\-* #,##0.00\ &quot;DM&quot;_-;_-* &quot;-&quot;??\ &quot;DM&quot;_-;_-@_-"/>
    <numFmt numFmtId="215" formatCode="0.0"/>
    <numFmt numFmtId="216" formatCode="0.000000"/>
    <numFmt numFmtId="217" formatCode="&quot;£&quot;#,##0;[Red]\-&quot;£&quot;#,##0"/>
    <numFmt numFmtId="218" formatCode="0.00_);[Red]\(0.00\)"/>
    <numFmt numFmtId="219" formatCode="&quot;£&quot;#,##0.00;[Red]\-&quot;£&quot;#,##0.00"/>
    <numFmt numFmtId="220" formatCode="_(* #,##0.000_);_(* \(#,##0.000\);_(* &quot;-&quot;_);_(@_)"/>
    <numFmt numFmtId="221" formatCode="_-&quot;£&quot;* #,##0_-;\-&quot;£&quot;* #,##0_-;_-&quot;£&quot;* &quot;-&quot;_-;_-@_-"/>
    <numFmt numFmtId="222" formatCode="_(&quot;$&quot;* #,##0,_);_(&quot;$&quot;* \(#,##0,\);_(&quot;$&quot;* &quot;-&quot;_);_(@_)"/>
    <numFmt numFmtId="223" formatCode="&quot;SFr.&quot;#,##0;[Red]&quot;SFr.&quot;\-#,##0"/>
    <numFmt numFmtId="224" formatCode="_-&quot;£&quot;* #,##0.00_-;\-&quot;£&quot;* #,##0.00_-;_-&quot;£&quot;* &quot;-&quot;??_-;_-@_-"/>
    <numFmt numFmtId="225" formatCode="#,##0;[Red]\(#,##0\)"/>
    <numFmt numFmtId="226" formatCode="0\x"/>
    <numFmt numFmtId="227" formatCode="_(* #,##0.000_);_(* \(#,##0.000\);_(* &quot;-&quot;???_);_(@_)"/>
    <numFmt numFmtId="228" formatCode="0.000"/>
  </numFmts>
  <fonts count="71" x14ac:knownFonts="1">
    <font>
      <sz val="11"/>
      <color theme="1"/>
      <name val="Calibri"/>
      <family val="2"/>
      <scheme val="minor"/>
    </font>
    <font>
      <sz val="11"/>
      <color theme="1"/>
      <name val="Calibri"/>
      <family val="2"/>
      <scheme val="minor"/>
    </font>
    <font>
      <b/>
      <sz val="11"/>
      <color theme="1"/>
      <name val="Calibri"/>
      <family val="2"/>
      <scheme val="minor"/>
    </font>
    <font>
      <b/>
      <u val="singleAccounting"/>
      <sz val="11"/>
      <color theme="1"/>
      <name val="Calibri"/>
      <family val="2"/>
      <scheme val="minor"/>
    </font>
    <font>
      <u val="singleAccounting"/>
      <sz val="11"/>
      <color theme="1"/>
      <name val="Calibri"/>
      <family val="2"/>
      <scheme val="minor"/>
    </font>
    <font>
      <sz val="11"/>
      <color rgb="FF7030A0"/>
      <name val="Calibri"/>
      <family val="2"/>
      <scheme val="minor"/>
    </font>
    <font>
      <sz val="11"/>
      <color theme="3"/>
      <name val="Calibri"/>
      <family val="2"/>
      <scheme val="minor"/>
    </font>
    <font>
      <sz val="11"/>
      <color theme="9" tint="-0.499984740745262"/>
      <name val="Calibri"/>
      <family val="2"/>
      <scheme val="minor"/>
    </font>
    <font>
      <b/>
      <u/>
      <sz val="11"/>
      <color theme="1"/>
      <name val="Calibri"/>
      <family val="2"/>
      <scheme val="minor"/>
    </font>
    <font>
      <sz val="10"/>
      <name val="Arial"/>
      <family val="2"/>
    </font>
    <font>
      <sz val="11"/>
      <name val="Calibri"/>
      <family val="2"/>
      <scheme val="minor"/>
    </font>
    <font>
      <u val="singleAccounting"/>
      <sz val="11"/>
      <name val="Calibri"/>
      <family val="2"/>
      <scheme val="minor"/>
    </font>
    <font>
      <b/>
      <sz val="11"/>
      <name val="Calibri"/>
      <family val="2"/>
      <scheme val="minor"/>
    </font>
    <font>
      <sz val="11"/>
      <color rgb="FFFF0000"/>
      <name val="Calibri"/>
      <family val="2"/>
      <scheme val="minor"/>
    </font>
    <font>
      <sz val="11"/>
      <name val="Calibri"/>
      <family val="2"/>
    </font>
    <font>
      <b/>
      <u/>
      <sz val="12"/>
      <color theme="0" tint="-0.14999847407452621"/>
      <name val="Calibri"/>
      <family val="2"/>
      <scheme val="minor"/>
    </font>
    <font>
      <b/>
      <sz val="11"/>
      <color theme="0" tint="-0.14999847407452621"/>
      <name val="Calibri"/>
      <family val="2"/>
      <scheme val="minor"/>
    </font>
    <font>
      <sz val="10"/>
      <color theme="0" tint="-0.14999847407452621"/>
      <name val="Calibri"/>
      <family val="2"/>
      <scheme val="minor"/>
    </font>
    <font>
      <b/>
      <u val="singleAccounting"/>
      <sz val="11"/>
      <color theme="0" tint="-0.14999847407452621"/>
      <name val="Calibri"/>
      <family val="2"/>
      <scheme val="minor"/>
    </font>
    <font>
      <b/>
      <u val="singleAccounting"/>
      <sz val="11"/>
      <name val="Calibri"/>
      <family val="2"/>
      <scheme val="minor"/>
    </font>
    <font>
      <b/>
      <sz val="11"/>
      <color theme="3"/>
      <name val="Calibri"/>
      <family val="2"/>
      <scheme val="minor"/>
    </font>
    <font>
      <sz val="10"/>
      <name val="Tms Rmn"/>
    </font>
    <font>
      <sz val="10"/>
      <name val="Helv"/>
    </font>
    <font>
      <sz val="10"/>
      <color indexed="8"/>
      <name val="Arial"/>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8"/>
      <name val="Helv"/>
    </font>
    <font>
      <b/>
      <sz val="12"/>
      <name val="Tms Rmn"/>
    </font>
    <font>
      <b/>
      <i/>
      <sz val="12"/>
      <name val="Tms Rmn"/>
    </font>
    <font>
      <b/>
      <sz val="10"/>
      <name val="MS Sans Serif"/>
      <family val="2"/>
    </font>
    <font>
      <b/>
      <sz val="11"/>
      <name val="Arial"/>
      <family val="2"/>
    </font>
    <font>
      <b/>
      <sz val="10"/>
      <name val="Arial"/>
      <family val="2"/>
    </font>
    <font>
      <sz val="10"/>
      <name val="MS Sans Serif"/>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sz val="10"/>
      <color indexed="14"/>
      <name val="Arial"/>
      <family val="2"/>
    </font>
    <font>
      <sz val="10"/>
      <color indexed="10"/>
      <name val="Arial"/>
      <family val="2"/>
    </font>
    <font>
      <b/>
      <sz val="10"/>
      <color indexed="10"/>
      <name val="Arial"/>
      <family val="2"/>
    </font>
    <font>
      <sz val="8"/>
      <name val="Tms Rmn"/>
    </font>
    <font>
      <sz val="12"/>
      <name val="Times New Roman"/>
      <family val="1"/>
    </font>
    <font>
      <sz val="7"/>
      <name val="Small Fonts"/>
      <family val="2"/>
    </font>
    <font>
      <b/>
      <u/>
      <sz val="26"/>
      <color indexed="9"/>
      <name val="Arial"/>
      <family val="2"/>
    </font>
    <font>
      <sz val="12"/>
      <name val="Helv"/>
    </font>
    <font>
      <sz val="10"/>
      <color theme="1"/>
      <name val="Arial"/>
      <family val="2"/>
    </font>
    <font>
      <sz val="10"/>
      <name val="Helv"/>
      <family val="2"/>
    </font>
    <font>
      <u/>
      <sz val="11"/>
      <color theme="10"/>
      <name val="Calibri"/>
      <family val="2"/>
    </font>
    <font>
      <u/>
      <sz val="10"/>
      <color theme="10"/>
      <name val="Trebuchet MS"/>
      <family val="2"/>
    </font>
    <font>
      <sz val="12"/>
      <name val="Helv"/>
      <family val="2"/>
    </font>
    <font>
      <sz val="10"/>
      <name val="Trebuchet MS"/>
      <family val="2"/>
    </font>
    <font>
      <sz val="10"/>
      <name val="Tms Rmn"/>
      <family val="1"/>
    </font>
    <font>
      <sz val="11"/>
      <color indexed="8"/>
      <name val="Calibri"/>
      <family val="2"/>
    </font>
    <font>
      <u/>
      <sz val="10"/>
      <color indexed="12"/>
      <name val="Arial"/>
      <family val="2"/>
    </font>
    <font>
      <b/>
      <sz val="10"/>
      <color rgb="FF404040"/>
      <name val="Segoe UI"/>
      <family val="2"/>
    </font>
    <font>
      <sz val="10"/>
      <color rgb="FF404040"/>
      <name val="Segoe UI"/>
      <family val="2"/>
    </font>
    <font>
      <b/>
      <sz val="11"/>
      <color theme="1" tint="0.14999847407452621"/>
      <name val="Calibri"/>
      <family val="2"/>
      <scheme val="minor"/>
    </font>
    <font>
      <b/>
      <u val="singleAccounting"/>
      <sz val="11"/>
      <color theme="1" tint="0.14999847407452621"/>
      <name val="Calibri"/>
      <family val="2"/>
      <scheme val="minor"/>
    </font>
    <font>
      <u/>
      <sz val="11"/>
      <color theme="1"/>
      <name val="Calibri"/>
      <family val="2"/>
      <scheme val="minor"/>
    </font>
    <font>
      <b/>
      <sz val="11"/>
      <color theme="4" tint="-0.499984740745262"/>
      <name val="Calibri"/>
      <family val="2"/>
      <scheme val="minor"/>
    </font>
    <font>
      <sz val="11"/>
      <color theme="0"/>
      <name val="Calibri"/>
      <family val="2"/>
      <scheme val="minor"/>
    </font>
    <font>
      <u/>
      <sz val="11"/>
      <name val="Calibri"/>
      <family val="2"/>
      <scheme val="minor"/>
    </font>
  </fonts>
  <fills count="12">
    <fill>
      <patternFill patternType="none"/>
    </fill>
    <fill>
      <patternFill patternType="gray125"/>
    </fill>
    <fill>
      <patternFill patternType="solid">
        <fgColor theme="4" tint="0.39997558519241921"/>
        <bgColor indexed="64"/>
      </patternFill>
    </fill>
    <fill>
      <patternFill patternType="solid">
        <fgColor theme="1" tint="0.34998626667073579"/>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7" tint="0.39997558519241921"/>
        <bgColor indexed="64"/>
      </patternFill>
    </fill>
  </fills>
  <borders count="31">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style="thin">
        <color auto="1"/>
      </right>
      <top style="hair">
        <color auto="1"/>
      </top>
      <bottom/>
      <diagonal/>
    </border>
    <border>
      <left/>
      <right/>
      <top style="hair">
        <color indexed="8"/>
      </top>
      <bottom style="hair">
        <color indexed="8"/>
      </bottom>
      <diagonal/>
    </border>
    <border>
      <left/>
      <right/>
      <top/>
      <bottom style="medium">
        <color indexed="18"/>
      </bottom>
      <diagonal/>
    </border>
    <border>
      <left/>
      <right/>
      <top/>
      <bottom style="medium">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right/>
      <top style="medium">
        <color auto="1"/>
      </top>
      <bottom/>
      <diagonal/>
    </border>
    <border>
      <left style="medium">
        <color auto="1"/>
      </left>
      <right/>
      <top style="medium">
        <color auto="1"/>
      </top>
      <bottom style="medium">
        <color auto="1"/>
      </bottom>
      <diagonal/>
    </border>
    <border>
      <left/>
      <right/>
      <top style="thin">
        <color auto="1"/>
      </top>
      <bottom style="double">
        <color auto="1"/>
      </bottom>
      <diagonal/>
    </border>
    <border>
      <left/>
      <right/>
      <top/>
      <bottom style="double">
        <color auto="1"/>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bottom style="hair">
        <color auto="1"/>
      </bottom>
      <diagonal/>
    </border>
    <border>
      <left/>
      <right/>
      <top/>
      <bottom style="hair">
        <color auto="1"/>
      </bottom>
      <diagonal/>
    </border>
  </borders>
  <cellStyleXfs count="329">
    <xf numFmtId="0" fontId="0" fillId="0" borderId="0"/>
    <xf numFmtId="43" fontId="1" fillId="0" borderId="0" applyFont="0" applyFill="0" applyBorder="0" applyAlignment="0" applyProtection="0"/>
    <xf numFmtId="9" fontId="1" fillId="0" borderId="0" applyFont="0" applyFill="0" applyBorder="0" applyAlignment="0" applyProtection="0"/>
    <xf numFmtId="0" fontId="9" fillId="0" borderId="0">
      <alignment vertical="top"/>
    </xf>
    <xf numFmtId="0" fontId="14" fillId="0" borderId="0"/>
    <xf numFmtId="43" fontId="14" fillId="0" borderId="0" applyFont="0" applyFill="0" applyBorder="0" applyAlignment="0" applyProtection="0"/>
    <xf numFmtId="37" fontId="21" fillId="0" borderId="0"/>
    <xf numFmtId="194" fontId="9" fillId="0" borderId="0" applyFont="0" applyFill="0" applyBorder="0" applyAlignment="0" applyProtection="0"/>
    <xf numFmtId="195" fontId="9" fillId="0" borderId="0" applyFont="0" applyFill="0" applyBorder="0" applyAlignment="0" applyProtection="0"/>
    <xf numFmtId="196" fontId="9" fillId="0" borderId="0" applyFont="0" applyFill="0" applyBorder="0" applyAlignment="0" applyProtection="0"/>
    <xf numFmtId="197" fontId="9" fillId="0" borderId="0" applyFont="0" applyFill="0" applyBorder="0" applyAlignment="0" applyProtection="0"/>
    <xf numFmtId="198" fontId="9" fillId="0" borderId="0" applyFont="0" applyFill="0" applyBorder="0" applyAlignment="0" applyProtection="0"/>
    <xf numFmtId="199" fontId="9"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9" fillId="6" borderId="0" applyNumberFormat="0" applyFont="0" applyAlignment="0" applyProtection="0"/>
    <xf numFmtId="200" fontId="9" fillId="0" borderId="0" applyFont="0" applyFill="0" applyBorder="0" applyAlignment="0" applyProtection="0"/>
    <xf numFmtId="201" fontId="9" fillId="0" borderId="0" applyFont="0" applyFill="0" applyBorder="0" applyProtection="0">
      <alignment horizontal="right"/>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6" fillId="0" borderId="18" applyNumberFormat="0" applyFill="0" applyAlignment="0" applyProtection="0"/>
    <xf numFmtId="0" fontId="27" fillId="0" borderId="19" applyNumberFormat="0" applyFill="0" applyProtection="0">
      <alignment horizontal="center"/>
    </xf>
    <xf numFmtId="0" fontId="27" fillId="0" borderId="0" applyNumberFormat="0" applyFill="0" applyBorder="0" applyProtection="0">
      <alignment horizontal="left"/>
    </xf>
    <xf numFmtId="0" fontId="28" fillId="0" borderId="0" applyNumberFormat="0" applyFill="0" applyBorder="0" applyProtection="0">
      <alignment horizontal="centerContinuous"/>
    </xf>
    <xf numFmtId="0" fontId="50" fillId="0" borderId="0" applyNumberFormat="0" applyFill="0" applyBorder="0" applyAlignment="0" applyProtection="0"/>
    <xf numFmtId="192" fontId="29" fillId="0" borderId="0">
      <alignment horizontal="center"/>
    </xf>
    <xf numFmtId="37" fontId="30" fillId="0" borderId="0"/>
    <xf numFmtId="37" fontId="31" fillId="0" borderId="0"/>
    <xf numFmtId="186" fontId="32" fillId="0" borderId="2"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32" fillId="0" borderId="2"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32" fillId="0" borderId="2"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32" fillId="0" borderId="2" applyAlignment="0" applyProtection="0"/>
    <xf numFmtId="186" fontId="1" fillId="0" borderId="0" applyAlignment="0" applyProtection="0"/>
    <xf numFmtId="186" fontId="1" fillId="0" borderId="0" applyAlignment="0" applyProtection="0"/>
    <xf numFmtId="186" fontId="1" fillId="0" borderId="0" applyAlignment="0" applyProtection="0"/>
    <xf numFmtId="186" fontId="32" fillId="0" borderId="2" applyAlignment="0" applyProtection="0"/>
    <xf numFmtId="186" fontId="32" fillId="0" borderId="2" applyAlignment="0" applyProtection="0"/>
    <xf numFmtId="186" fontId="32" fillId="0" borderId="2" applyAlignment="0" applyProtection="0"/>
    <xf numFmtId="186" fontId="32" fillId="0" borderId="2" applyAlignment="0" applyProtection="0"/>
    <xf numFmtId="186" fontId="1" fillId="0" borderId="0" applyAlignment="0" applyProtection="0"/>
    <xf numFmtId="183" fontId="23" fillId="0" borderId="0" applyFill="0" applyBorder="0" applyAlignment="0"/>
    <xf numFmtId="176" fontId="9" fillId="0" borderId="0" applyFill="0" applyBorder="0" applyAlignment="0"/>
    <xf numFmtId="177" fontId="9" fillId="0" borderId="0" applyFill="0" applyBorder="0" applyAlignment="0"/>
    <xf numFmtId="178" fontId="9" fillId="0" borderId="0" applyFill="0" applyBorder="0" applyAlignment="0"/>
    <xf numFmtId="179" fontId="9" fillId="0" borderId="0" applyFill="0" applyBorder="0" applyAlignment="0"/>
    <xf numFmtId="183" fontId="23" fillId="0" borderId="0" applyFill="0" applyBorder="0" applyAlignment="0"/>
    <xf numFmtId="180" fontId="9" fillId="0" borderId="0" applyFill="0" applyBorder="0" applyAlignment="0"/>
    <xf numFmtId="176" fontId="9" fillId="0" borderId="0" applyFill="0" applyBorder="0" applyAlignment="0"/>
    <xf numFmtId="0" fontId="33" fillId="0" borderId="0" applyFill="0" applyBorder="0" applyProtection="0">
      <alignment horizontal="center"/>
      <protection locked="0"/>
    </xf>
    <xf numFmtId="0" fontId="22" fillId="0" borderId="0"/>
    <xf numFmtId="171" fontId="22" fillId="0" borderId="7"/>
    <xf numFmtId="215" fontId="1" fillId="0" borderId="0"/>
    <xf numFmtId="215" fontId="1" fillId="0" borderId="0"/>
    <xf numFmtId="183" fontId="9" fillId="0" borderId="0" applyFont="0" applyFill="0" applyBorder="0" applyAlignment="0" applyProtection="0"/>
    <xf numFmtId="4" fontId="22" fillId="0" borderId="0" applyFont="0" applyFill="0" applyBorder="0" applyAlignment="0" applyProtection="0"/>
    <xf numFmtId="43" fontId="9" fillId="0" borderId="0" applyFont="0" applyFill="0" applyBorder="0" applyAlignment="0" applyProtection="0">
      <alignment wrapText="1"/>
    </xf>
    <xf numFmtId="43" fontId="9" fillId="0" borderId="0" applyFont="0" applyFill="0" applyBorder="0" applyAlignment="0" applyProtection="0">
      <alignment wrapText="1"/>
    </xf>
    <xf numFmtId="43" fontId="9" fillId="0" borderId="0" applyFont="0" applyFill="0" applyBorder="0" applyAlignment="0" applyProtection="0">
      <alignment wrapText="1"/>
    </xf>
    <xf numFmtId="4" fontId="22" fillId="0" borderId="0" applyFont="0" applyFill="0" applyBorder="0" applyAlignment="0" applyProtection="0"/>
    <xf numFmtId="4" fontId="1" fillId="0" borderId="0" applyFont="0" applyFill="0" applyBorder="0" applyAlignment="0" applyProtection="0"/>
    <xf numFmtId="4"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0" fontId="36" fillId="0" borderId="0" applyNumberFormat="0" applyFill="0" applyBorder="0" applyAlignment="0" applyProtection="0"/>
    <xf numFmtId="0" fontId="37" fillId="0" borderId="0" applyFill="0" applyBorder="0" applyAlignment="0" applyProtection="0">
      <protection locked="0"/>
    </xf>
    <xf numFmtId="191" fontId="9" fillId="0" borderId="0">
      <alignment horizontal="center"/>
    </xf>
    <xf numFmtId="185" fontId="38" fillId="0" borderId="0" applyFill="0" applyBorder="0" applyProtection="0"/>
    <xf numFmtId="184" fontId="39" fillId="0" borderId="0" applyFont="0" applyFill="0" applyBorder="0" applyAlignment="0" applyProtection="0"/>
    <xf numFmtId="172" fontId="40" fillId="0" borderId="20">
      <protection hidden="1"/>
    </xf>
    <xf numFmtId="176" fontId="9" fillId="0" borderId="0" applyFont="0" applyFill="0" applyBorder="0" applyAlignment="0" applyProtection="0"/>
    <xf numFmtId="8" fontId="1" fillId="0" borderId="0" applyFont="0" applyFill="0" applyBorder="0" applyAlignment="0" applyProtection="0"/>
    <xf numFmtId="44" fontId="9" fillId="0" borderId="0" applyFont="0" applyFill="0" applyBorder="0" applyAlignment="0" applyProtection="0"/>
    <xf numFmtId="0" fontId="36" fillId="0" borderId="0" applyNumberFormat="0" applyFill="0" applyBorder="0" applyAlignment="0" applyProtection="0"/>
    <xf numFmtId="1" fontId="29" fillId="0" borderId="0"/>
    <xf numFmtId="14" fontId="41" fillId="0" borderId="0">
      <alignment horizontal="center"/>
    </xf>
    <xf numFmtId="14" fontId="23" fillId="0" borderId="0" applyFill="0" applyBorder="0" applyAlignment="0"/>
    <xf numFmtId="15" fontId="42" fillId="7" borderId="0" applyNumberFormat="0" applyFont="0" applyFill="0" applyBorder="0" applyAlignment="0">
      <alignment horizontal="center" wrapText="1"/>
    </xf>
    <xf numFmtId="0" fontId="23" fillId="0" borderId="21" applyNumberFormat="0" applyFill="0" applyBorder="0" applyAlignment="0" applyProtection="0"/>
    <xf numFmtId="190" fontId="22" fillId="0" borderId="0" applyFont="0" applyFill="0" applyBorder="0" applyAlignment="0" applyProtection="0"/>
    <xf numFmtId="189" fontId="39" fillId="0" borderId="0" applyFont="0" applyFill="0" applyBorder="0" applyAlignment="0" applyProtection="0"/>
    <xf numFmtId="183" fontId="43" fillId="0" borderId="0" applyFill="0" applyBorder="0" applyAlignment="0"/>
    <xf numFmtId="176" fontId="9" fillId="0" borderId="0" applyFill="0" applyBorder="0" applyAlignment="0"/>
    <xf numFmtId="183" fontId="43" fillId="0" borderId="0" applyFill="0" applyBorder="0" applyAlignment="0"/>
    <xf numFmtId="180" fontId="9" fillId="0" borderId="0" applyFill="0" applyBorder="0" applyAlignment="0"/>
    <xf numFmtId="176" fontId="9" fillId="0" borderId="0" applyFill="0" applyBorder="0" applyAlignment="0"/>
    <xf numFmtId="172" fontId="40" fillId="0" borderId="20">
      <protection hidden="1"/>
    </xf>
    <xf numFmtId="193" fontId="9" fillId="0" borderId="0" applyFont="0" applyFill="0" applyBorder="0" applyAlignment="0" applyProtection="0"/>
    <xf numFmtId="38" fontId="44" fillId="7" borderId="0" applyNumberFormat="0" applyBorder="0" applyAlignment="0" applyProtection="0"/>
    <xf numFmtId="0" fontId="45" fillId="0" borderId="22" applyNumberFormat="0" applyAlignment="0" applyProtection="0">
      <alignment horizontal="left" vertical="center"/>
    </xf>
    <xf numFmtId="0" fontId="45"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45"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45"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45"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45" fillId="0" borderId="9">
      <alignment horizontal="left" vertical="center"/>
    </xf>
    <xf numFmtId="0" fontId="45" fillId="0" borderId="9">
      <alignment horizontal="left" vertical="center"/>
    </xf>
    <xf numFmtId="0" fontId="45" fillId="0" borderId="9">
      <alignment horizontal="left" vertical="center"/>
    </xf>
    <xf numFmtId="0" fontId="45" fillId="0" borderId="9">
      <alignment horizontal="left" vertical="center"/>
    </xf>
    <xf numFmtId="0" fontId="1" fillId="0" borderId="0">
      <alignment horizontal="left" vertical="center"/>
    </xf>
    <xf numFmtId="14" fontId="34" fillId="8" borderId="20">
      <alignment horizontal="center" vertical="center" wrapText="1"/>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3" fillId="0" borderId="0" applyFill="0" applyAlignment="0" applyProtection="0">
      <protection locked="0"/>
    </xf>
    <xf numFmtId="0" fontId="33" fillId="0" borderId="7" applyFill="0" applyAlignment="0" applyProtection="0">
      <protection locked="0"/>
    </xf>
    <xf numFmtId="10" fontId="44" fillId="9" borderId="21" applyNumberFormat="0" applyBorder="0" applyAlignment="0" applyProtection="0"/>
    <xf numFmtId="183" fontId="46" fillId="0" borderId="0" applyFill="0" applyBorder="0" applyAlignment="0"/>
    <xf numFmtId="176" fontId="9" fillId="0" borderId="0" applyFill="0" applyBorder="0" applyAlignment="0"/>
    <xf numFmtId="183" fontId="46" fillId="0" borderId="0" applyFill="0" applyBorder="0" applyAlignment="0"/>
    <xf numFmtId="180" fontId="9" fillId="0" borderId="0" applyFill="0" applyBorder="0" applyAlignment="0"/>
    <xf numFmtId="176" fontId="9" fillId="0" borderId="0" applyFill="0" applyBorder="0" applyAlignment="0"/>
    <xf numFmtId="211" fontId="9" fillId="0" borderId="0" applyFont="0" applyFill="0" applyBorder="0" applyAlignment="0" applyProtection="0"/>
    <xf numFmtId="212" fontId="9" fillId="0" borderId="0" applyFont="0" applyFill="0" applyBorder="0" applyAlignment="0" applyProtection="0"/>
    <xf numFmtId="38" fontId="35" fillId="0" borderId="0" applyFont="0" applyFill="0" applyBorder="0" applyAlignment="0" applyProtection="0"/>
    <xf numFmtId="40" fontId="35" fillId="0" borderId="0" applyFont="0" applyFill="0" applyBorder="0" applyAlignment="0" applyProtection="0"/>
    <xf numFmtId="213" fontId="9" fillId="0" borderId="0" applyFont="0" applyFill="0" applyBorder="0" applyAlignment="0" applyProtection="0"/>
    <xf numFmtId="214" fontId="9" fillId="0" borderId="0" applyFont="0" applyFill="0" applyBorder="0" applyAlignment="0" applyProtection="0"/>
    <xf numFmtId="6" fontId="35" fillId="0" borderId="0" applyFont="0" applyFill="0" applyBorder="0" applyAlignment="0" applyProtection="0"/>
    <xf numFmtId="8" fontId="35" fillId="0" borderId="0" applyFont="0" applyFill="0" applyBorder="0" applyAlignment="0" applyProtection="0"/>
    <xf numFmtId="169" fontId="29" fillId="0" borderId="7"/>
    <xf numFmtId="37" fontId="51" fillId="0" borderId="0"/>
    <xf numFmtId="170" fontId="22" fillId="0" borderId="0"/>
    <xf numFmtId="170" fontId="1" fillId="0" borderId="0"/>
    <xf numFmtId="175" fontId="9" fillId="0" borderId="0"/>
    <xf numFmtId="37" fontId="21" fillId="0" borderId="0"/>
    <xf numFmtId="0" fontId="9" fillId="0" borderId="0"/>
    <xf numFmtId="0" fontId="1" fillId="0" borderId="0"/>
    <xf numFmtId="0" fontId="9" fillId="0" borderId="0"/>
    <xf numFmtId="0" fontId="9" fillId="0" borderId="0"/>
    <xf numFmtId="0" fontId="9" fillId="0" borderId="0">
      <alignment wrapText="1"/>
    </xf>
    <xf numFmtId="0" fontId="9" fillId="0" borderId="0"/>
    <xf numFmtId="37" fontId="21" fillId="0" borderId="0"/>
    <xf numFmtId="37" fontId="1" fillId="0" borderId="0"/>
    <xf numFmtId="37" fontId="1" fillId="0" borderId="0"/>
    <xf numFmtId="37" fontId="9" fillId="0" borderId="0"/>
    <xf numFmtId="210" fontId="9" fillId="0" borderId="0"/>
    <xf numFmtId="204" fontId="9" fillId="0" borderId="0"/>
    <xf numFmtId="39" fontId="9" fillId="0" borderId="0"/>
    <xf numFmtId="205" fontId="9" fillId="0" borderId="0"/>
    <xf numFmtId="202" fontId="9" fillId="0" borderId="0"/>
    <xf numFmtId="206" fontId="9" fillId="0" borderId="0"/>
    <xf numFmtId="203" fontId="9" fillId="0" borderId="0"/>
    <xf numFmtId="207" fontId="9" fillId="0" borderId="0"/>
    <xf numFmtId="208" fontId="9" fillId="0" borderId="0"/>
    <xf numFmtId="209" fontId="9" fillId="0" borderId="0"/>
    <xf numFmtId="174" fontId="35" fillId="0" borderId="0"/>
    <xf numFmtId="173" fontId="40" fillId="0" borderId="0">
      <protection hidden="1"/>
    </xf>
    <xf numFmtId="179" fontId="9" fillId="0" borderId="0" applyFont="0" applyFill="0" applyBorder="0" applyAlignment="0" applyProtection="0"/>
    <xf numFmtId="175" fontId="9" fillId="0" borderId="0" applyFont="0" applyFill="0" applyBorder="0" applyAlignment="0" applyProtection="0"/>
    <xf numFmtId="10" fontId="9" fillId="0" borderId="0" applyFont="0" applyFill="0" applyBorder="0" applyAlignment="0" applyProtection="0"/>
    <xf numFmtId="9" fontId="2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5" fillId="0" borderId="23" applyNumberFormat="0" applyBorder="0"/>
    <xf numFmtId="169" fontId="29" fillId="0" borderId="0"/>
    <xf numFmtId="0" fontId="52" fillId="10" borderId="24" applyNumberFormat="0" applyFont="0" applyFill="0" applyAlignment="0">
      <alignment horizontal="center" vertical="center"/>
    </xf>
    <xf numFmtId="183" fontId="47" fillId="0" borderId="0" applyFill="0" applyBorder="0" applyAlignment="0"/>
    <xf numFmtId="176" fontId="9" fillId="0" borderId="0" applyFill="0" applyBorder="0" applyAlignment="0"/>
    <xf numFmtId="183" fontId="47" fillId="0" borderId="0" applyFill="0" applyBorder="0" applyAlignment="0"/>
    <xf numFmtId="180" fontId="9" fillId="0" borderId="0" applyFill="0" applyBorder="0" applyAlignment="0"/>
    <xf numFmtId="176" fontId="9" fillId="0" borderId="0" applyFill="0" applyBorder="0" applyAlignment="0"/>
    <xf numFmtId="37" fontId="21" fillId="0" borderId="25"/>
    <xf numFmtId="0" fontId="53" fillId="0" borderId="0"/>
    <xf numFmtId="0" fontId="22" fillId="0" borderId="0"/>
    <xf numFmtId="0" fontId="35" fillId="0" borderId="0"/>
    <xf numFmtId="49" fontId="23" fillId="0" borderId="0" applyFill="0" applyBorder="0" applyAlignment="0"/>
    <xf numFmtId="181" fontId="9" fillId="0" borderId="0" applyFill="0" applyBorder="0" applyAlignment="0"/>
    <xf numFmtId="182" fontId="9" fillId="0" borderId="0" applyFill="0" applyBorder="0" applyAlignment="0"/>
    <xf numFmtId="49" fontId="9" fillId="0" borderId="0"/>
    <xf numFmtId="0" fontId="48" fillId="0" borderId="0" applyFill="0" applyBorder="0" applyProtection="0">
      <alignment horizontal="left" vertical="top"/>
    </xf>
    <xf numFmtId="40" fontId="49" fillId="0" borderId="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37" fontId="21" fillId="0" borderId="7"/>
    <xf numFmtId="37" fontId="21" fillId="0" borderId="26"/>
    <xf numFmtId="187" fontId="9" fillId="0" borderId="0" applyFont="0" applyFill="0" applyBorder="0" applyAlignment="0" applyProtection="0"/>
    <xf numFmtId="188" fontId="9" fillId="0" borderId="0" applyFont="0" applyFill="0" applyBorder="0" applyAlignment="0" applyProtection="0"/>
    <xf numFmtId="0" fontId="9" fillId="0" borderId="0"/>
    <xf numFmtId="0" fontId="9" fillId="0" borderId="0"/>
    <xf numFmtId="37" fontId="9" fillId="0" borderId="0"/>
    <xf numFmtId="39" fontId="9" fillId="0" borderId="0"/>
    <xf numFmtId="0" fontId="55" fillId="0" borderId="0"/>
    <xf numFmtId="216" fontId="9" fillId="0" borderId="0" applyFill="0" applyBorder="0" applyAlignment="0"/>
    <xf numFmtId="164" fontId="9" fillId="0" borderId="0" applyFill="0" applyBorder="0" applyAlignment="0"/>
    <xf numFmtId="217" fontId="9" fillId="0" borderId="0" applyFill="0" applyBorder="0" applyAlignment="0"/>
    <xf numFmtId="218" fontId="9" fillId="0" borderId="0" applyFill="0" applyBorder="0" applyAlignment="0"/>
    <xf numFmtId="219" fontId="9" fillId="0" borderId="0" applyFill="0" applyBorder="0" applyAlignment="0"/>
    <xf numFmtId="220" fontId="9" fillId="0" borderId="0" applyFill="0" applyBorder="0" applyAlignment="0"/>
    <xf numFmtId="221" fontId="9" fillId="0" borderId="0" applyFill="0" applyBorder="0" applyAlignment="0"/>
    <xf numFmtId="164" fontId="9" fillId="0" borderId="0" applyFill="0" applyBorder="0" applyAlignment="0"/>
    <xf numFmtId="222" fontId="9" fillId="0" borderId="0"/>
    <xf numFmtId="222" fontId="9" fillId="0" borderId="0"/>
    <xf numFmtId="222" fontId="9" fillId="0" borderId="0"/>
    <xf numFmtId="222" fontId="9" fillId="0" borderId="0"/>
    <xf numFmtId="222" fontId="9" fillId="0" borderId="0"/>
    <xf numFmtId="222" fontId="9" fillId="0" borderId="0"/>
    <xf numFmtId="222" fontId="9" fillId="0" borderId="0"/>
    <xf numFmtId="222" fontId="9" fillId="0" borderId="0"/>
    <xf numFmtId="0" fontId="55" fillId="0" borderId="7"/>
    <xf numFmtId="220"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164" fontId="9" fillId="0" borderId="0" applyFont="0" applyFill="0" applyBorder="0" applyAlignment="0" applyProtection="0"/>
    <xf numFmtId="220" fontId="9" fillId="0" borderId="0" applyFill="0" applyBorder="0" applyAlignment="0"/>
    <xf numFmtId="164" fontId="9" fillId="0" borderId="0" applyFill="0" applyBorder="0" applyAlignment="0"/>
    <xf numFmtId="220" fontId="9" fillId="0" borderId="0" applyFill="0" applyBorder="0" applyAlignment="0"/>
    <xf numFmtId="221" fontId="9" fillId="0" borderId="0" applyFill="0" applyBorder="0" applyAlignment="0"/>
    <xf numFmtId="164" fontId="9" fillId="0" borderId="0" applyFill="0" applyBorder="0" applyAlignment="0"/>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220" fontId="9" fillId="0" borderId="0" applyFill="0" applyBorder="0" applyAlignment="0"/>
    <xf numFmtId="164" fontId="9" fillId="0" borderId="0" applyFill="0" applyBorder="0" applyAlignment="0"/>
    <xf numFmtId="220" fontId="9" fillId="0" borderId="0" applyFill="0" applyBorder="0" applyAlignment="0"/>
    <xf numFmtId="221" fontId="9" fillId="0" borderId="0" applyFill="0" applyBorder="0" applyAlignment="0"/>
    <xf numFmtId="164" fontId="9" fillId="0" borderId="0" applyFill="0" applyBorder="0" applyAlignment="0"/>
    <xf numFmtId="223" fontId="9" fillId="0" borderId="0"/>
    <xf numFmtId="0" fontId="58" fillId="0" borderId="0"/>
    <xf numFmtId="0" fontId="58" fillId="0" borderId="0"/>
    <xf numFmtId="0" fontId="58" fillId="0" borderId="0"/>
    <xf numFmtId="0" fontId="58" fillId="0" borderId="0"/>
    <xf numFmtId="0" fontId="9" fillId="0" borderId="0">
      <alignment wrapText="1"/>
    </xf>
    <xf numFmtId="0" fontId="59" fillId="0" borderId="0"/>
    <xf numFmtId="0" fontId="1" fillId="0" borderId="0"/>
    <xf numFmtId="0" fontId="1" fillId="0" borderId="0"/>
    <xf numFmtId="0" fontId="9" fillId="0" borderId="0"/>
    <xf numFmtId="0" fontId="1" fillId="0" borderId="0"/>
    <xf numFmtId="0" fontId="54" fillId="0" borderId="0"/>
    <xf numFmtId="0" fontId="1" fillId="0" borderId="0"/>
    <xf numFmtId="0" fontId="9" fillId="0" borderId="0">
      <alignment wrapText="1"/>
    </xf>
    <xf numFmtId="219" fontId="9" fillId="0" borderId="0" applyFont="0" applyFill="0" applyBorder="0" applyAlignment="0" applyProtection="0"/>
    <xf numFmtId="223" fontId="9" fillId="0" borderId="0" applyFont="0" applyFill="0" applyBorder="0" applyAlignment="0" applyProtection="0"/>
    <xf numFmtId="9" fontId="54" fillId="0" borderId="0" applyFont="0" applyFill="0" applyBorder="0" applyAlignment="0" applyProtection="0"/>
    <xf numFmtId="9" fontId="1" fillId="0" borderId="0" applyFont="0" applyFill="0" applyBorder="0" applyAlignment="0" applyProtection="0"/>
    <xf numFmtId="220" fontId="9" fillId="0" borderId="0" applyFill="0" applyBorder="0" applyAlignment="0"/>
    <xf numFmtId="164" fontId="9" fillId="0" borderId="0" applyFill="0" applyBorder="0" applyAlignment="0"/>
    <xf numFmtId="220" fontId="9" fillId="0" borderId="0" applyFill="0" applyBorder="0" applyAlignment="0"/>
    <xf numFmtId="221" fontId="9" fillId="0" borderId="0" applyFill="0" applyBorder="0" applyAlignment="0"/>
    <xf numFmtId="164" fontId="9" fillId="0" borderId="0" applyFill="0" applyBorder="0" applyAlignment="0"/>
    <xf numFmtId="224" fontId="9" fillId="0" borderId="0" applyFill="0" applyBorder="0" applyAlignment="0"/>
    <xf numFmtId="225" fontId="9" fillId="0" borderId="0" applyFill="0" applyBorder="0" applyAlignment="0"/>
    <xf numFmtId="37" fontId="60" fillId="0" borderId="0"/>
    <xf numFmtId="4" fontId="55" fillId="0" borderId="0" applyFont="0" applyFill="0" applyBorder="0" applyAlignment="0" applyProtection="0"/>
    <xf numFmtId="9" fontId="61" fillId="0" borderId="0" applyFont="0" applyFill="0" applyBorder="0" applyAlignment="0" applyProtection="0"/>
    <xf numFmtId="0" fontId="56"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9" fillId="0" borderId="0"/>
    <xf numFmtId="0" fontId="9" fillId="0" borderId="0"/>
    <xf numFmtId="0" fontId="9" fillId="0" borderId="0"/>
    <xf numFmtId="0" fontId="9" fillId="0" borderId="0"/>
    <xf numFmtId="9" fontId="61" fillId="0" borderId="0" applyFont="0" applyFill="0" applyBorder="0" applyAlignment="0" applyProtection="0"/>
    <xf numFmtId="37" fontId="64" fillId="0" borderId="20">
      <alignment horizontal="right"/>
      <protection locked="0"/>
    </xf>
    <xf numFmtId="37" fontId="63" fillId="0" borderId="20">
      <alignment horizontal="right"/>
      <protection locked="0"/>
    </xf>
  </cellStyleXfs>
  <cellXfs count="403">
    <xf numFmtId="0" fontId="0" fillId="0" borderId="0" xfId="0"/>
    <xf numFmtId="164" fontId="0" fillId="0" borderId="0" xfId="1" applyNumberFormat="1" applyFont="1" applyAlignment="1">
      <alignment horizontal="right"/>
    </xf>
    <xf numFmtId="164" fontId="3" fillId="0" borderId="0" xfId="1" quotePrefix="1" applyNumberFormat="1" applyFont="1" applyFill="1" applyBorder="1" applyAlignment="1">
      <alignment horizontal="right"/>
    </xf>
    <xf numFmtId="0" fontId="0" fillId="0" borderId="0" xfId="0" applyAlignment="1">
      <alignment horizontal="right"/>
    </xf>
    <xf numFmtId="0" fontId="0" fillId="0" borderId="3" xfId="0" applyFont="1" applyBorder="1"/>
    <xf numFmtId="9" fontId="6" fillId="0" borderId="0" xfId="2" applyFont="1" applyBorder="1" applyAlignment="1">
      <alignment horizontal="right"/>
    </xf>
    <xf numFmtId="9" fontId="0" fillId="0" borderId="0" xfId="2" applyFont="1" applyBorder="1" applyAlignment="1">
      <alignment horizontal="right"/>
    </xf>
    <xf numFmtId="9" fontId="5" fillId="0" borderId="0" xfId="2" applyFont="1" applyBorder="1" applyAlignment="1">
      <alignment horizontal="right"/>
    </xf>
    <xf numFmtId="9" fontId="7" fillId="0" borderId="0" xfId="2" applyFont="1" applyBorder="1" applyAlignment="1">
      <alignment horizontal="right"/>
    </xf>
    <xf numFmtId="164" fontId="0" fillId="0" borderId="0" xfId="1" applyNumberFormat="1" applyFont="1" applyFill="1" applyAlignment="1">
      <alignment horizontal="right"/>
    </xf>
    <xf numFmtId="43" fontId="12" fillId="0" borderId="0" xfId="1" applyNumberFormat="1" applyFont="1" applyFill="1" applyBorder="1" applyAlignment="1">
      <alignment horizontal="right"/>
    </xf>
    <xf numFmtId="164" fontId="3" fillId="0" borderId="5" xfId="1" quotePrefix="1" applyNumberFormat="1" applyFont="1" applyFill="1" applyBorder="1" applyAlignment="1">
      <alignment horizontal="right"/>
    </xf>
    <xf numFmtId="0" fontId="0" fillId="0" borderId="0" xfId="0" applyFont="1"/>
    <xf numFmtId="43" fontId="0" fillId="0" borderId="0" xfId="1" applyFont="1" applyAlignment="1">
      <alignment horizontal="right"/>
    </xf>
    <xf numFmtId="164" fontId="2" fillId="0" borderId="0" xfId="1" quotePrefix="1" applyNumberFormat="1" applyFont="1" applyFill="1" applyBorder="1" applyAlignment="1">
      <alignment horizontal="right"/>
    </xf>
    <xf numFmtId="0" fontId="2" fillId="0" borderId="3" xfId="0" applyFont="1" applyFill="1" applyBorder="1"/>
    <xf numFmtId="43" fontId="0" fillId="0" borderId="0" xfId="1" applyFont="1" applyFill="1"/>
    <xf numFmtId="165" fontId="0" fillId="0" borderId="0" xfId="0" applyNumberFormat="1" applyFill="1"/>
    <xf numFmtId="43" fontId="0" fillId="0" borderId="0" xfId="1" applyFont="1" applyFill="1" applyAlignment="1">
      <alignment horizontal="right"/>
    </xf>
    <xf numFmtId="0" fontId="2" fillId="0" borderId="0" xfId="0" applyFont="1"/>
    <xf numFmtId="0" fontId="13" fillId="0" borderId="0" xfId="0" applyFont="1"/>
    <xf numFmtId="0" fontId="0" fillId="0" borderId="0" xfId="0" applyAlignment="1">
      <alignment horizontal="left"/>
    </xf>
    <xf numFmtId="164" fontId="0" fillId="0" borderId="0" xfId="1" applyNumberFormat="1" applyFont="1" applyBorder="1" applyAlignment="1">
      <alignment horizontal="right"/>
    </xf>
    <xf numFmtId="0" fontId="0" fillId="0" borderId="0" xfId="0" applyBorder="1" applyAlignment="1">
      <alignment horizontal="right"/>
    </xf>
    <xf numFmtId="0" fontId="2" fillId="0" borderId="0" xfId="0" applyFont="1" applyFill="1" applyBorder="1" applyAlignment="1">
      <alignment horizontal="left"/>
    </xf>
    <xf numFmtId="0" fontId="0" fillId="0" borderId="0" xfId="0"/>
    <xf numFmtId="0" fontId="0" fillId="0" borderId="3" xfId="0" applyFont="1" applyFill="1" applyBorder="1"/>
    <xf numFmtId="0" fontId="2" fillId="0" borderId="3" xfId="0" applyFont="1" applyBorder="1" applyAlignment="1">
      <alignment horizontal="left"/>
    </xf>
    <xf numFmtId="0" fontId="2" fillId="0" borderId="4" xfId="0" applyFont="1" applyBorder="1" applyAlignment="1">
      <alignment horizontal="left"/>
    </xf>
    <xf numFmtId="0" fontId="0" fillId="0" borderId="0" xfId="0"/>
    <xf numFmtId="168" fontId="0" fillId="0" borderId="0" xfId="1" applyNumberFormat="1" applyFont="1" applyBorder="1" applyAlignment="1">
      <alignment horizontal="right"/>
    </xf>
    <xf numFmtId="166" fontId="1" fillId="0" borderId="0" xfId="2" quotePrefix="1" applyNumberFormat="1" applyFont="1" applyFill="1" applyBorder="1" applyAlignment="1">
      <alignment horizontal="right"/>
    </xf>
    <xf numFmtId="165" fontId="1" fillId="0" borderId="5" xfId="1" quotePrefix="1" applyNumberFormat="1" applyFont="1" applyFill="1" applyBorder="1" applyAlignment="1">
      <alignment horizontal="right"/>
    </xf>
    <xf numFmtId="166" fontId="1" fillId="2" borderId="0" xfId="2" quotePrefix="1" applyNumberFormat="1" applyFont="1" applyFill="1" applyBorder="1" applyAlignment="1">
      <alignment horizontal="right"/>
    </xf>
    <xf numFmtId="164" fontId="0" fillId="0" borderId="0" xfId="1" applyNumberFormat="1" applyFont="1" applyFill="1" applyBorder="1" applyAlignment="1">
      <alignment horizontal="right"/>
    </xf>
    <xf numFmtId="43" fontId="0" fillId="0" borderId="4" xfId="1" applyFont="1" applyFill="1" applyBorder="1" applyAlignment="1">
      <alignment horizontal="right"/>
    </xf>
    <xf numFmtId="0" fontId="0" fillId="0" borderId="6" xfId="0" applyFont="1" applyFill="1" applyBorder="1" applyAlignment="1">
      <alignment horizontal="left"/>
    </xf>
    <xf numFmtId="0" fontId="0" fillId="0" borderId="10" xfId="0" applyFont="1" applyFill="1" applyBorder="1" applyAlignment="1">
      <alignment horizontal="left"/>
    </xf>
    <xf numFmtId="43" fontId="10" fillId="0" borderId="0" xfId="1" applyNumberFormat="1" applyFont="1" applyFill="1" applyBorder="1" applyAlignment="1">
      <alignment horizontal="right"/>
    </xf>
    <xf numFmtId="43" fontId="1" fillId="0" borderId="4" xfId="1" applyNumberFormat="1" applyFont="1" applyFill="1" applyBorder="1" applyAlignment="1">
      <alignment horizontal="right"/>
    </xf>
    <xf numFmtId="43" fontId="1" fillId="0" borderId="5" xfId="1" applyNumberFormat="1" applyFont="1" applyFill="1" applyBorder="1" applyAlignment="1">
      <alignment horizontal="right"/>
    </xf>
    <xf numFmtId="165" fontId="3" fillId="0" borderId="5" xfId="1" quotePrefix="1" applyNumberFormat="1" applyFont="1" applyFill="1" applyBorder="1" applyAlignment="1">
      <alignment horizontal="right"/>
    </xf>
    <xf numFmtId="166" fontId="1" fillId="0" borderId="5" xfId="2" quotePrefix="1" applyNumberFormat="1" applyFont="1" applyFill="1" applyBorder="1" applyAlignment="1">
      <alignment horizontal="right"/>
    </xf>
    <xf numFmtId="165" fontId="0" fillId="0" borderId="0" xfId="1" quotePrefix="1" applyNumberFormat="1" applyFont="1" applyFill="1" applyBorder="1" applyAlignment="1">
      <alignment horizontal="right"/>
    </xf>
    <xf numFmtId="43" fontId="1" fillId="0" borderId="0" xfId="1" applyNumberFormat="1" applyFont="1" applyFill="1" applyBorder="1" applyAlignment="1">
      <alignment horizontal="right"/>
    </xf>
    <xf numFmtId="165" fontId="1" fillId="0" borderId="0" xfId="1" quotePrefix="1" applyNumberFormat="1" applyFont="1" applyFill="1" applyBorder="1" applyAlignment="1">
      <alignment horizontal="right"/>
    </xf>
    <xf numFmtId="165" fontId="0" fillId="0" borderId="0" xfId="0" applyNumberFormat="1"/>
    <xf numFmtId="0" fontId="8" fillId="0" borderId="4" xfId="0" applyFont="1" applyFill="1" applyBorder="1" applyAlignment="1">
      <alignment horizontal="left"/>
    </xf>
    <xf numFmtId="0" fontId="0" fillId="0" borderId="0" xfId="0" applyFont="1"/>
    <xf numFmtId="164" fontId="16" fillId="3" borderId="2" xfId="1" quotePrefix="1" applyNumberFormat="1" applyFont="1" applyFill="1" applyBorder="1" applyAlignment="1">
      <alignment horizontal="right"/>
    </xf>
    <xf numFmtId="164" fontId="18" fillId="3" borderId="0" xfId="1" quotePrefix="1" applyNumberFormat="1" applyFont="1" applyFill="1" applyBorder="1" applyAlignment="1">
      <alignment horizontal="right"/>
    </xf>
    <xf numFmtId="164" fontId="65" fillId="5" borderId="2" xfId="1" quotePrefix="1" applyNumberFormat="1" applyFont="1" applyFill="1" applyBorder="1" applyAlignment="1">
      <alignment horizontal="right"/>
    </xf>
    <xf numFmtId="164" fontId="66" fillId="5" borderId="0" xfId="1" quotePrefix="1" applyNumberFormat="1" applyFont="1" applyFill="1" applyBorder="1" applyAlignment="1">
      <alignment horizontal="right"/>
    </xf>
    <xf numFmtId="0" fontId="0" fillId="0" borderId="0" xfId="0"/>
    <xf numFmtId="0" fontId="0" fillId="0" borderId="0" xfId="0"/>
    <xf numFmtId="43" fontId="2" fillId="0" borderId="5" xfId="1" applyNumberFormat="1" applyFont="1" applyFill="1" applyBorder="1" applyAlignment="1">
      <alignment horizontal="right"/>
    </xf>
    <xf numFmtId="168" fontId="2" fillId="0" borderId="0" xfId="1" quotePrefix="1" applyNumberFormat="1" applyFont="1" applyFill="1" applyBorder="1" applyAlignment="1">
      <alignment horizontal="right"/>
    </xf>
    <xf numFmtId="0" fontId="0" fillId="0" borderId="0" xfId="0"/>
    <xf numFmtId="0" fontId="0" fillId="0" borderId="0" xfId="0" applyFont="1"/>
    <xf numFmtId="0" fontId="2" fillId="0" borderId="0" xfId="0" applyFont="1"/>
    <xf numFmtId="164" fontId="16" fillId="3" borderId="2" xfId="1" quotePrefix="1" applyNumberFormat="1" applyFont="1" applyFill="1" applyBorder="1" applyAlignment="1">
      <alignment horizontal="right"/>
    </xf>
    <xf numFmtId="164" fontId="18" fillId="3" borderId="0" xfId="1" quotePrefix="1" applyNumberFormat="1" applyFont="1" applyFill="1" applyBorder="1" applyAlignment="1">
      <alignment horizontal="right"/>
    </xf>
    <xf numFmtId="164" fontId="65" fillId="5" borderId="2" xfId="1" quotePrefix="1" applyNumberFormat="1" applyFont="1" applyFill="1" applyBorder="1" applyAlignment="1">
      <alignment horizontal="right"/>
    </xf>
    <xf numFmtId="164" fontId="66" fillId="5" borderId="0" xfId="1" quotePrefix="1" applyNumberFormat="1" applyFont="1" applyFill="1" applyBorder="1" applyAlignment="1">
      <alignment horizontal="right"/>
    </xf>
    <xf numFmtId="0" fontId="0" fillId="0" borderId="3" xfId="0" applyFont="1" applyBorder="1" applyAlignment="1">
      <alignment horizontal="left"/>
    </xf>
    <xf numFmtId="0" fontId="0" fillId="0" borderId="4" xfId="0" applyFont="1" applyBorder="1" applyAlignment="1">
      <alignment horizontal="left"/>
    </xf>
    <xf numFmtId="0" fontId="2" fillId="0" borderId="6" xfId="0" applyFont="1" applyFill="1" applyBorder="1" applyAlignment="1">
      <alignment horizontal="left"/>
    </xf>
    <xf numFmtId="165" fontId="2" fillId="0" borderId="9" xfId="1" applyNumberFormat="1" applyFont="1" applyFill="1" applyBorder="1" applyAlignment="1">
      <alignment horizontal="right"/>
    </xf>
    <xf numFmtId="164" fontId="65" fillId="5" borderId="11" xfId="1" quotePrefix="1" applyNumberFormat="1" applyFont="1" applyFill="1" applyBorder="1" applyAlignment="1">
      <alignment horizontal="right"/>
    </xf>
    <xf numFmtId="164" fontId="66" fillId="5" borderId="4" xfId="1" quotePrefix="1" applyNumberFormat="1" applyFont="1" applyFill="1" applyBorder="1" applyAlignment="1">
      <alignment horizontal="right"/>
    </xf>
    <xf numFmtId="0" fontId="0" fillId="0" borderId="3" xfId="0" applyFont="1" applyBorder="1" applyAlignment="1">
      <alignment horizontal="left"/>
    </xf>
    <xf numFmtId="0" fontId="0" fillId="0" borderId="4" xfId="0" applyFont="1" applyBorder="1" applyAlignment="1">
      <alignment horizontal="left"/>
    </xf>
    <xf numFmtId="0" fontId="0" fillId="0" borderId="0" xfId="0" applyFill="1"/>
    <xf numFmtId="0" fontId="0" fillId="0" borderId="3" xfId="0" applyFont="1" applyBorder="1" applyAlignment="1">
      <alignment horizontal="left"/>
    </xf>
    <xf numFmtId="0" fontId="0" fillId="0" borderId="4" xfId="0" applyFont="1" applyBorder="1" applyAlignment="1">
      <alignment horizontal="left"/>
    </xf>
    <xf numFmtId="0" fontId="2" fillId="0" borderId="4" xfId="0" applyFont="1" applyBorder="1" applyAlignment="1">
      <alignment horizontal="left"/>
    </xf>
    <xf numFmtId="0" fontId="0" fillId="0" borderId="3" xfId="0" applyFont="1" applyFill="1" applyBorder="1" applyAlignment="1">
      <alignment horizontal="left"/>
    </xf>
    <xf numFmtId="165" fontId="2" fillId="0" borderId="0" xfId="0" applyNumberFormat="1" applyFont="1"/>
    <xf numFmtId="43" fontId="1" fillId="0" borderId="0" xfId="1" quotePrefix="1" applyFont="1" applyFill="1" applyBorder="1" applyAlignment="1">
      <alignment horizontal="right"/>
    </xf>
    <xf numFmtId="43" fontId="1" fillId="0" borderId="5" xfId="1" quotePrefix="1" applyFont="1" applyFill="1" applyBorder="1" applyAlignment="1">
      <alignment horizontal="right"/>
    </xf>
    <xf numFmtId="43" fontId="1" fillId="0" borderId="3" xfId="1" applyNumberFormat="1" applyFont="1" applyFill="1" applyBorder="1" applyAlignment="1">
      <alignment horizontal="right"/>
    </xf>
    <xf numFmtId="43" fontId="2" fillId="0" borderId="0" xfId="1" applyNumberFormat="1" applyFont="1" applyFill="1" applyBorder="1" applyAlignment="1">
      <alignment horizontal="right"/>
    </xf>
    <xf numFmtId="43" fontId="2" fillId="0" borderId="4" xfId="1" applyNumberFormat="1" applyFont="1" applyFill="1" applyBorder="1" applyAlignment="1">
      <alignment horizontal="right"/>
    </xf>
    <xf numFmtId="43" fontId="2" fillId="0" borderId="3" xfId="1" applyNumberFormat="1" applyFont="1" applyFill="1" applyBorder="1" applyAlignment="1">
      <alignment horizontal="right"/>
    </xf>
    <xf numFmtId="165" fontId="0" fillId="0" borderId="0" xfId="1" applyNumberFormat="1" applyFont="1"/>
    <xf numFmtId="168" fontId="1" fillId="0" borderId="3" xfId="1" applyNumberFormat="1" applyFont="1" applyFill="1" applyBorder="1" applyAlignment="1">
      <alignment horizontal="right"/>
    </xf>
    <xf numFmtId="168" fontId="1" fillId="0" borderId="0" xfId="1" applyNumberFormat="1" applyFont="1" applyFill="1" applyBorder="1" applyAlignment="1">
      <alignment horizontal="right"/>
    </xf>
    <xf numFmtId="168" fontId="1" fillId="0" borderId="4" xfId="1" applyNumberFormat="1" applyFont="1" applyFill="1" applyBorder="1" applyAlignment="1">
      <alignment horizontal="right"/>
    </xf>
    <xf numFmtId="168" fontId="1" fillId="0" borderId="5" xfId="1" applyNumberFormat="1" applyFont="1" applyFill="1" applyBorder="1" applyAlignment="1">
      <alignment horizontal="right"/>
    </xf>
    <xf numFmtId="168" fontId="10" fillId="0" borderId="0" xfId="1" applyNumberFormat="1" applyFont="1" applyFill="1" applyBorder="1" applyAlignment="1">
      <alignment horizontal="right"/>
    </xf>
    <xf numFmtId="168" fontId="4" fillId="0" borderId="3" xfId="1" applyNumberFormat="1" applyFont="1" applyFill="1" applyBorder="1" applyAlignment="1">
      <alignment horizontal="right"/>
    </xf>
    <xf numFmtId="168" fontId="4" fillId="0" borderId="0" xfId="1" applyNumberFormat="1" applyFont="1" applyFill="1" applyBorder="1" applyAlignment="1">
      <alignment horizontal="right"/>
    </xf>
    <xf numFmtId="168" fontId="4" fillId="0" borderId="4" xfId="1" applyNumberFormat="1" applyFont="1" applyFill="1" applyBorder="1" applyAlignment="1">
      <alignment horizontal="right"/>
    </xf>
    <xf numFmtId="168" fontId="4" fillId="0" borderId="5" xfId="1" applyNumberFormat="1" applyFont="1" applyFill="1" applyBorder="1" applyAlignment="1">
      <alignment horizontal="right"/>
    </xf>
    <xf numFmtId="168" fontId="11" fillId="0" borderId="0" xfId="1" applyNumberFormat="1" applyFont="1" applyFill="1" applyBorder="1" applyAlignment="1">
      <alignment horizontal="right"/>
    </xf>
    <xf numFmtId="168" fontId="2" fillId="0" borderId="3" xfId="1" applyNumberFormat="1" applyFont="1" applyFill="1" applyBorder="1" applyAlignment="1">
      <alignment horizontal="right"/>
    </xf>
    <xf numFmtId="168" fontId="2" fillId="0" borderId="0" xfId="1" applyNumberFormat="1" applyFont="1" applyFill="1" applyBorder="1" applyAlignment="1">
      <alignment horizontal="right"/>
    </xf>
    <xf numFmtId="168" fontId="2" fillId="0" borderId="4" xfId="1" applyNumberFormat="1" applyFont="1" applyFill="1" applyBorder="1" applyAlignment="1">
      <alignment horizontal="right"/>
    </xf>
    <xf numFmtId="168" fontId="2" fillId="0" borderId="5" xfId="1" applyNumberFormat="1" applyFont="1" applyFill="1" applyBorder="1" applyAlignment="1">
      <alignment horizontal="right"/>
    </xf>
    <xf numFmtId="168" fontId="12" fillId="0" borderId="0" xfId="1" applyNumberFormat="1" applyFont="1" applyFill="1" applyBorder="1" applyAlignment="1">
      <alignment horizontal="right"/>
    </xf>
    <xf numFmtId="168" fontId="10" fillId="0" borderId="4" xfId="1" applyNumberFormat="1" applyFont="1" applyFill="1" applyBorder="1" applyAlignment="1">
      <alignment horizontal="right"/>
    </xf>
    <xf numFmtId="168" fontId="10" fillId="0" borderId="3" xfId="1" applyNumberFormat="1" applyFont="1" applyFill="1" applyBorder="1" applyAlignment="1">
      <alignment horizontal="right"/>
    </xf>
    <xf numFmtId="168" fontId="11" fillId="0" borderId="3" xfId="1" applyNumberFormat="1" applyFont="1" applyFill="1" applyBorder="1" applyAlignment="1">
      <alignment horizontal="right"/>
    </xf>
    <xf numFmtId="168" fontId="3" fillId="0" borderId="3" xfId="1" applyNumberFormat="1" applyFont="1" applyFill="1" applyBorder="1" applyAlignment="1">
      <alignment horizontal="right"/>
    </xf>
    <xf numFmtId="168" fontId="3" fillId="0" borderId="0" xfId="1" applyNumberFormat="1" applyFont="1" applyFill="1" applyBorder="1" applyAlignment="1">
      <alignment horizontal="right"/>
    </xf>
    <xf numFmtId="168" fontId="3" fillId="0" borderId="4" xfId="1" applyNumberFormat="1" applyFont="1" applyFill="1" applyBorder="1" applyAlignment="1">
      <alignment horizontal="right"/>
    </xf>
    <xf numFmtId="168" fontId="3" fillId="0" borderId="5" xfId="1" applyNumberFormat="1" applyFont="1" applyFill="1" applyBorder="1" applyAlignment="1">
      <alignment horizontal="right"/>
    </xf>
    <xf numFmtId="168" fontId="19" fillId="0" borderId="0" xfId="1" applyNumberFormat="1" applyFont="1" applyFill="1" applyBorder="1" applyAlignment="1">
      <alignment horizontal="right"/>
    </xf>
    <xf numFmtId="168" fontId="19" fillId="0" borderId="4" xfId="1" applyNumberFormat="1" applyFont="1" applyFill="1" applyBorder="1" applyAlignment="1">
      <alignment horizontal="right"/>
    </xf>
    <xf numFmtId="168" fontId="19" fillId="0" borderId="3" xfId="1" applyNumberFormat="1" applyFont="1" applyFill="1" applyBorder="1" applyAlignment="1">
      <alignment horizontal="right"/>
    </xf>
    <xf numFmtId="168" fontId="12" fillId="0" borderId="4" xfId="1" applyNumberFormat="1" applyFont="1" applyFill="1" applyBorder="1" applyAlignment="1">
      <alignment horizontal="right"/>
    </xf>
    <xf numFmtId="168" fontId="12" fillId="0" borderId="3" xfId="1" applyNumberFormat="1" applyFont="1" applyFill="1" applyBorder="1" applyAlignment="1">
      <alignment horizontal="right"/>
    </xf>
    <xf numFmtId="9" fontId="1" fillId="0" borderId="0" xfId="2" quotePrefix="1" applyFont="1" applyFill="1" applyBorder="1" applyAlignment="1">
      <alignment horizontal="right"/>
    </xf>
    <xf numFmtId="168" fontId="1" fillId="0" borderId="0" xfId="1" quotePrefix="1" applyNumberFormat="1" applyFont="1" applyFill="1" applyBorder="1" applyAlignment="1">
      <alignment horizontal="right"/>
    </xf>
    <xf numFmtId="168" fontId="1" fillId="0" borderId="5" xfId="1" quotePrefix="1" applyNumberFormat="1" applyFont="1" applyFill="1" applyBorder="1" applyAlignment="1">
      <alignment horizontal="right"/>
    </xf>
    <xf numFmtId="168" fontId="0" fillId="0" borderId="0" xfId="1" applyNumberFormat="1" applyFont="1"/>
    <xf numFmtId="0" fontId="4" fillId="0" borderId="0" xfId="0" applyFont="1"/>
    <xf numFmtId="168" fontId="1" fillId="2" borderId="0" xfId="1" quotePrefix="1" applyNumberFormat="1" applyFont="1" applyFill="1" applyBorder="1" applyAlignment="1">
      <alignment horizontal="right"/>
    </xf>
    <xf numFmtId="168" fontId="1" fillId="0" borderId="4" xfId="1" quotePrefix="1" applyNumberFormat="1" applyFont="1" applyFill="1" applyBorder="1" applyAlignment="1">
      <alignment horizontal="right"/>
    </xf>
    <xf numFmtId="168" fontId="1" fillId="0" borderId="3" xfId="1" quotePrefix="1" applyNumberFormat="1" applyFont="1" applyFill="1" applyBorder="1" applyAlignment="1">
      <alignment horizontal="right"/>
    </xf>
    <xf numFmtId="168" fontId="4" fillId="0" borderId="3" xfId="1" quotePrefix="1" applyNumberFormat="1" applyFont="1" applyFill="1" applyBorder="1" applyAlignment="1">
      <alignment horizontal="right"/>
    </xf>
    <xf numFmtId="168" fontId="4" fillId="0" borderId="0" xfId="1" quotePrefix="1" applyNumberFormat="1" applyFont="1" applyFill="1" applyBorder="1" applyAlignment="1">
      <alignment horizontal="right"/>
    </xf>
    <xf numFmtId="168" fontId="4" fillId="0" borderId="4" xfId="1" quotePrefix="1" applyNumberFormat="1" applyFont="1" applyFill="1" applyBorder="1" applyAlignment="1">
      <alignment horizontal="right"/>
    </xf>
    <xf numFmtId="168" fontId="4" fillId="0" borderId="5" xfId="1" quotePrefix="1" applyNumberFormat="1" applyFont="1" applyFill="1" applyBorder="1" applyAlignment="1">
      <alignment horizontal="right"/>
    </xf>
    <xf numFmtId="168" fontId="2" fillId="0" borderId="4" xfId="1" quotePrefix="1" applyNumberFormat="1" applyFont="1" applyFill="1" applyBorder="1" applyAlignment="1">
      <alignment horizontal="right"/>
    </xf>
    <xf numFmtId="168" fontId="2" fillId="0" borderId="5" xfId="1" quotePrefix="1" applyNumberFormat="1" applyFont="1" applyFill="1" applyBorder="1" applyAlignment="1">
      <alignment horizontal="right"/>
    </xf>
    <xf numFmtId="168" fontId="2" fillId="0" borderId="3" xfId="1" quotePrefix="1" applyNumberFormat="1" applyFont="1" applyFill="1" applyBorder="1" applyAlignment="1">
      <alignment horizontal="right"/>
    </xf>
    <xf numFmtId="0" fontId="67" fillId="0" borderId="4" xfId="0" applyFont="1" applyFill="1" applyBorder="1" applyAlignment="1">
      <alignment horizontal="left"/>
    </xf>
    <xf numFmtId="168" fontId="0" fillId="0" borderId="0" xfId="1" applyNumberFormat="1" applyFont="1" applyAlignment="1">
      <alignment horizontal="right"/>
    </xf>
    <xf numFmtId="226" fontId="0" fillId="0" borderId="4" xfId="2" applyNumberFormat="1" applyFont="1" applyFill="1" applyBorder="1" applyAlignment="1">
      <alignment horizontal="right"/>
    </xf>
    <xf numFmtId="226" fontId="0" fillId="0" borderId="4" xfId="1" applyNumberFormat="1" applyFont="1" applyFill="1" applyBorder="1" applyAlignment="1">
      <alignment horizontal="right"/>
    </xf>
    <xf numFmtId="226" fontId="0" fillId="2" borderId="4" xfId="1" applyNumberFormat="1" applyFont="1" applyFill="1" applyBorder="1" applyAlignment="1">
      <alignment horizontal="right"/>
    </xf>
    <xf numFmtId="0" fontId="0" fillId="0" borderId="3" xfId="0" applyFont="1" applyFill="1" applyBorder="1" applyAlignment="1">
      <alignment horizontal="left"/>
    </xf>
    <xf numFmtId="0" fontId="2" fillId="0" borderId="3" xfId="0" applyFont="1" applyFill="1" applyBorder="1" applyAlignment="1">
      <alignment horizontal="left"/>
    </xf>
    <xf numFmtId="6" fontId="2" fillId="0" borderId="10" xfId="1" applyNumberFormat="1" applyFont="1" applyBorder="1" applyAlignment="1">
      <alignment horizontal="right"/>
    </xf>
    <xf numFmtId="166" fontId="0" fillId="0" borderId="0" xfId="2" applyNumberFormat="1" applyFont="1" applyAlignment="1">
      <alignment horizontal="right"/>
    </xf>
    <xf numFmtId="10" fontId="0" fillId="0" borderId="0" xfId="2" applyNumberFormat="1" applyFont="1" applyAlignment="1">
      <alignment horizontal="right"/>
    </xf>
    <xf numFmtId="0" fontId="0" fillId="0" borderId="1" xfId="0" applyFont="1" applyBorder="1"/>
    <xf numFmtId="5" fontId="0" fillId="0" borderId="4" xfId="1" applyNumberFormat="1" applyFont="1" applyFill="1" applyBorder="1" applyAlignment="1">
      <alignment horizontal="right"/>
    </xf>
    <xf numFmtId="0" fontId="0" fillId="0" borderId="27" xfId="0" applyFont="1" applyFill="1" applyBorder="1"/>
    <xf numFmtId="6" fontId="0" fillId="0" borderId="28" xfId="0" applyNumberFormat="1" applyFont="1" applyBorder="1"/>
    <xf numFmtId="0" fontId="2" fillId="0" borderId="1" xfId="0" applyFont="1" applyFill="1" applyBorder="1" applyAlignment="1">
      <alignment horizontal="left"/>
    </xf>
    <xf numFmtId="167" fontId="0" fillId="0" borderId="0" xfId="2" applyNumberFormat="1" applyFont="1" applyFill="1" applyBorder="1" applyAlignment="1">
      <alignment horizontal="right"/>
    </xf>
    <xf numFmtId="167" fontId="0" fillId="0" borderId="0" xfId="1" applyNumberFormat="1" applyFont="1" applyFill="1" applyBorder="1" applyAlignment="1">
      <alignment horizontal="right"/>
    </xf>
    <xf numFmtId="7" fontId="2" fillId="0" borderId="0" xfId="1" applyNumberFormat="1" applyFont="1" applyFill="1" applyBorder="1" applyAlignment="1">
      <alignment horizontal="right"/>
    </xf>
    <xf numFmtId="166" fontId="0" fillId="0" borderId="0" xfId="1" applyNumberFormat="1" applyFont="1" applyAlignment="1">
      <alignment horizontal="right"/>
    </xf>
    <xf numFmtId="9" fontId="0" fillId="2" borderId="11" xfId="1" applyNumberFormat="1" applyFont="1" applyFill="1" applyBorder="1" applyAlignment="1">
      <alignment horizontal="right"/>
    </xf>
    <xf numFmtId="9" fontId="0" fillId="2" borderId="4" xfId="2" applyFont="1" applyFill="1" applyBorder="1" applyAlignment="1">
      <alignment horizontal="right"/>
    </xf>
    <xf numFmtId="0" fontId="69" fillId="0" borderId="0" xfId="0" applyFont="1"/>
    <xf numFmtId="0" fontId="0" fillId="0" borderId="3" xfId="0" applyFont="1" applyFill="1" applyBorder="1" applyAlignment="1">
      <alignment horizontal="left"/>
    </xf>
    <xf numFmtId="0" fontId="0" fillId="0" borderId="4" xfId="0" applyFont="1" applyFill="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165" fontId="2" fillId="0" borderId="9" xfId="1" applyNumberFormat="1" applyFont="1" applyFill="1" applyBorder="1" applyAlignment="1">
      <alignment horizontal="left"/>
    </xf>
    <xf numFmtId="0" fontId="0" fillId="0" borderId="0" xfId="0" applyFont="1" applyFill="1"/>
    <xf numFmtId="0" fontId="0" fillId="0" borderId="0" xfId="0" applyFill="1" applyBorder="1"/>
    <xf numFmtId="0" fontId="8" fillId="0" borderId="0" xfId="0" applyFont="1" applyFill="1" applyBorder="1" applyAlignment="1">
      <alignment horizontal="left"/>
    </xf>
    <xf numFmtId="164" fontId="13" fillId="0" borderId="0" xfId="1" applyNumberFormat="1" applyFont="1" applyAlignment="1">
      <alignment horizontal="right"/>
    </xf>
    <xf numFmtId="165" fontId="13" fillId="0" borderId="3" xfId="1" applyNumberFormat="1" applyFont="1" applyFill="1" applyBorder="1" applyAlignment="1">
      <alignment horizontal="right"/>
    </xf>
    <xf numFmtId="165" fontId="13" fillId="0" borderId="0" xfId="1" applyNumberFormat="1" applyFont="1" applyBorder="1" applyAlignment="1">
      <alignment horizontal="right"/>
    </xf>
    <xf numFmtId="165" fontId="13" fillId="0" borderId="4" xfId="1" applyNumberFormat="1" applyFont="1" applyBorder="1" applyAlignment="1">
      <alignment horizontal="right"/>
    </xf>
    <xf numFmtId="165" fontId="13" fillId="0" borderId="5" xfId="1" applyNumberFormat="1" applyFont="1" applyBorder="1" applyAlignment="1">
      <alignment horizontal="right"/>
    </xf>
    <xf numFmtId="165" fontId="5" fillId="0" borderId="0" xfId="1" applyNumberFormat="1" applyFont="1" applyBorder="1" applyAlignment="1">
      <alignment horizontal="right"/>
    </xf>
    <xf numFmtId="165" fontId="7" fillId="0" borderId="0" xfId="1" applyNumberFormat="1" applyFont="1" applyFill="1" applyBorder="1" applyAlignment="1">
      <alignment horizontal="right"/>
    </xf>
    <xf numFmtId="165" fontId="6" fillId="0" borderId="0" xfId="1" applyNumberFormat="1" applyFont="1" applyBorder="1" applyAlignment="1">
      <alignment horizontal="right"/>
    </xf>
    <xf numFmtId="165" fontId="7" fillId="0" borderId="5" xfId="1" applyNumberFormat="1" applyFont="1" applyBorder="1" applyAlignment="1">
      <alignment horizontal="right"/>
    </xf>
    <xf numFmtId="165" fontId="7" fillId="0" borderId="0" xfId="1" applyNumberFormat="1" applyFont="1" applyBorder="1" applyAlignment="1">
      <alignment horizontal="right"/>
    </xf>
    <xf numFmtId="168" fontId="0" fillId="0" borderId="3" xfId="1" applyNumberFormat="1" applyFont="1" applyFill="1" applyBorder="1" applyAlignment="1">
      <alignment horizontal="right"/>
    </xf>
    <xf numFmtId="168" fontId="0" fillId="0" borderId="0" xfId="1" applyNumberFormat="1" applyFont="1" applyFill="1" applyBorder="1" applyAlignment="1">
      <alignment horizontal="right"/>
    </xf>
    <xf numFmtId="168" fontId="0" fillId="0" borderId="4" xfId="1" applyNumberFormat="1" applyFont="1" applyFill="1" applyBorder="1" applyAlignment="1">
      <alignment horizontal="right"/>
    </xf>
    <xf numFmtId="168" fontId="0" fillId="0" borderId="5" xfId="1" applyNumberFormat="1" applyFont="1" applyFill="1" applyBorder="1" applyAlignment="1">
      <alignment horizontal="right"/>
    </xf>
    <xf numFmtId="168" fontId="10" fillId="0" borderId="0" xfId="1" applyNumberFormat="1" applyFont="1" applyBorder="1" applyAlignment="1">
      <alignment horizontal="right"/>
    </xf>
    <xf numFmtId="168" fontId="0" fillId="0" borderId="5" xfId="1" applyNumberFormat="1" applyFont="1" applyBorder="1" applyAlignment="1">
      <alignment horizontal="right"/>
    </xf>
    <xf numFmtId="168" fontId="2" fillId="0" borderId="5" xfId="1" applyNumberFormat="1" applyFont="1" applyBorder="1" applyAlignment="1">
      <alignment horizontal="right"/>
    </xf>
    <xf numFmtId="168" fontId="12" fillId="0" borderId="0" xfId="1" applyNumberFormat="1" applyFont="1" applyBorder="1" applyAlignment="1">
      <alignment horizontal="right"/>
    </xf>
    <xf numFmtId="168" fontId="10" fillId="0" borderId="0" xfId="3" applyNumberFormat="1" applyFont="1" applyFill="1">
      <alignment vertical="top"/>
    </xf>
    <xf numFmtId="168" fontId="2" fillId="0" borderId="0" xfId="1" applyNumberFormat="1" applyFont="1" applyBorder="1" applyAlignment="1">
      <alignment horizontal="right"/>
    </xf>
    <xf numFmtId="168" fontId="2" fillId="0" borderId="7" xfId="1" applyNumberFormat="1" applyFont="1" applyFill="1" applyBorder="1" applyAlignment="1">
      <alignment horizontal="right"/>
    </xf>
    <xf numFmtId="168" fontId="2" fillId="0" borderId="10" xfId="1" applyNumberFormat="1" applyFont="1" applyFill="1" applyBorder="1" applyAlignment="1">
      <alignment horizontal="right"/>
    </xf>
    <xf numFmtId="168" fontId="2" fillId="0" borderId="8" xfId="1" applyNumberFormat="1" applyFont="1" applyFill="1" applyBorder="1" applyAlignment="1">
      <alignment horizontal="right"/>
    </xf>
    <xf numFmtId="168" fontId="2" fillId="0" borderId="7" xfId="1" applyNumberFormat="1" applyFont="1" applyBorder="1" applyAlignment="1">
      <alignment horizontal="right"/>
    </xf>
    <xf numFmtId="0" fontId="0" fillId="0" borderId="0" xfId="0" applyFont="1" applyAlignment="1">
      <alignment horizontal="left"/>
    </xf>
    <xf numFmtId="168" fontId="0" fillId="0" borderId="0" xfId="0" applyNumberFormat="1" applyAlignment="1">
      <alignment horizontal="right"/>
    </xf>
    <xf numFmtId="165" fontId="0" fillId="0" borderId="3" xfId="1" applyNumberFormat="1" applyFont="1" applyFill="1" applyBorder="1" applyAlignment="1">
      <alignment horizontal="right"/>
    </xf>
    <xf numFmtId="165" fontId="0" fillId="0" borderId="0" xfId="1" applyNumberFormat="1" applyFont="1" applyBorder="1" applyAlignment="1">
      <alignment horizontal="right"/>
    </xf>
    <xf numFmtId="165" fontId="0" fillId="0" borderId="4" xfId="1" applyNumberFormat="1" applyFont="1" applyBorder="1" applyAlignment="1">
      <alignment horizontal="right"/>
    </xf>
    <xf numFmtId="165" fontId="0" fillId="0" borderId="5" xfId="1" applyNumberFormat="1" applyFont="1" applyBorder="1" applyAlignment="1">
      <alignment horizontal="right"/>
    </xf>
    <xf numFmtId="165" fontId="5" fillId="0" borderId="3" xfId="1" applyNumberFormat="1" applyFont="1" applyBorder="1" applyAlignment="1">
      <alignment horizontal="right"/>
    </xf>
    <xf numFmtId="168" fontId="0" fillId="0" borderId="3" xfId="1" applyNumberFormat="1" applyFont="1" applyBorder="1" applyAlignment="1">
      <alignment horizontal="right"/>
    </xf>
    <xf numFmtId="168" fontId="0" fillId="0" borderId="4" xfId="1" applyNumberFormat="1" applyFont="1" applyBorder="1" applyAlignment="1">
      <alignment horizontal="right"/>
    </xf>
    <xf numFmtId="0" fontId="0" fillId="0" borderId="4" xfId="0" applyFont="1" applyBorder="1" applyAlignment="1"/>
    <xf numFmtId="168" fontId="2" fillId="0" borderId="4" xfId="1" applyNumberFormat="1" applyFont="1" applyBorder="1" applyAlignment="1">
      <alignment horizontal="right"/>
    </xf>
    <xf numFmtId="168" fontId="2" fillId="0" borderId="3" xfId="1" applyNumberFormat="1" applyFont="1" applyBorder="1" applyAlignment="1">
      <alignment horizontal="right"/>
    </xf>
    <xf numFmtId="168" fontId="1" fillId="0" borderId="3" xfId="1" applyNumberFormat="1" applyFont="1" applyBorder="1" applyAlignment="1">
      <alignment horizontal="right"/>
    </xf>
    <xf numFmtId="43" fontId="1" fillId="0" borderId="7" xfId="1" applyFont="1" applyBorder="1" applyAlignment="1">
      <alignment horizontal="right"/>
    </xf>
    <xf numFmtId="43" fontId="1" fillId="0" borderId="10" xfId="1" applyFont="1" applyBorder="1" applyAlignment="1">
      <alignment horizontal="right"/>
    </xf>
    <xf numFmtId="43" fontId="1" fillId="0" borderId="8" xfId="1" applyFont="1" applyBorder="1" applyAlignment="1">
      <alignment horizontal="right"/>
    </xf>
    <xf numFmtId="43" fontId="1" fillId="0" borderId="6" xfId="1" applyFont="1" applyBorder="1" applyAlignment="1">
      <alignment horizontal="right"/>
    </xf>
    <xf numFmtId="43" fontId="1" fillId="0" borderId="7" xfId="1" applyFont="1" applyFill="1" applyBorder="1" applyAlignment="1">
      <alignment horizontal="right"/>
    </xf>
    <xf numFmtId="164" fontId="3" fillId="0" borderId="8" xfId="1" quotePrefix="1" applyNumberFormat="1" applyFont="1" applyFill="1" applyBorder="1" applyAlignment="1">
      <alignment horizontal="right"/>
    </xf>
    <xf numFmtId="165" fontId="0" fillId="0" borderId="0" xfId="1" applyNumberFormat="1" applyFont="1" applyFill="1" applyBorder="1" applyAlignment="1">
      <alignment horizontal="right"/>
    </xf>
    <xf numFmtId="165" fontId="1" fillId="2" borderId="0" xfId="1" quotePrefix="1" applyNumberFormat="1" applyFont="1" applyFill="1" applyBorder="1" applyAlignment="1">
      <alignment horizontal="right"/>
    </xf>
    <xf numFmtId="0" fontId="0" fillId="0" borderId="3" xfId="0" applyFont="1" applyFill="1" applyBorder="1" applyAlignment="1">
      <alignment horizontal="left"/>
    </xf>
    <xf numFmtId="0" fontId="0" fillId="0" borderId="4" xfId="0" applyFont="1" applyFill="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0" fillId="0" borderId="3" xfId="0" applyFont="1" applyFill="1" applyBorder="1" applyAlignment="1">
      <alignment horizontal="left"/>
    </xf>
    <xf numFmtId="0" fontId="0" fillId="0" borderId="4" xfId="0" applyFont="1" applyFill="1" applyBorder="1" applyAlignment="1">
      <alignment horizontal="left"/>
    </xf>
    <xf numFmtId="0" fontId="10" fillId="0" borderId="3" xfId="3" applyFont="1" applyFill="1" applyBorder="1" applyAlignment="1">
      <alignment horizontal="left" vertical="top"/>
    </xf>
    <xf numFmtId="0" fontId="10" fillId="0" borderId="4" xfId="3" applyFont="1" applyFill="1" applyBorder="1" applyAlignment="1">
      <alignment horizontal="left" vertical="top"/>
    </xf>
    <xf numFmtId="0" fontId="2" fillId="0" borderId="3" xfId="0" applyFont="1" applyFill="1" applyBorder="1" applyAlignment="1">
      <alignment horizontal="left"/>
    </xf>
    <xf numFmtId="10" fontId="1" fillId="0" borderId="0" xfId="2" quotePrefix="1" applyNumberFormat="1" applyFont="1" applyFill="1" applyBorder="1" applyAlignment="1">
      <alignment horizontal="right"/>
    </xf>
    <xf numFmtId="2" fontId="1" fillId="0" borderId="10" xfId="1" applyNumberFormat="1" applyFont="1" applyBorder="1" applyAlignment="1">
      <alignment horizontal="right"/>
    </xf>
    <xf numFmtId="165" fontId="13" fillId="0" borderId="0" xfId="1" quotePrefix="1" applyNumberFormat="1" applyFont="1" applyFill="1" applyBorder="1" applyAlignment="1">
      <alignment horizontal="right"/>
    </xf>
    <xf numFmtId="0" fontId="0" fillId="0" borderId="3" xfId="0" applyFont="1" applyFill="1" applyBorder="1" applyAlignment="1">
      <alignment horizontal="left"/>
    </xf>
    <xf numFmtId="0" fontId="0" fillId="0" borderId="4" xfId="0" applyFont="1" applyFill="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43" fontId="0" fillId="0" borderId="0" xfId="1" applyNumberFormat="1" applyFont="1" applyFill="1" applyBorder="1" applyAlignment="1">
      <alignment horizontal="right"/>
    </xf>
    <xf numFmtId="43" fontId="0" fillId="0" borderId="5" xfId="1" applyNumberFormat="1" applyFont="1" applyFill="1" applyBorder="1" applyAlignment="1">
      <alignment horizontal="right"/>
    </xf>
    <xf numFmtId="0" fontId="0" fillId="0" borderId="0" xfId="0" applyFont="1" applyFill="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0" fillId="0" borderId="3" xfId="0" applyFont="1" applyFill="1" applyBorder="1" applyAlignment="1">
      <alignment horizontal="left"/>
    </xf>
    <xf numFmtId="0" fontId="0" fillId="0" borderId="4" xfId="0" applyFont="1" applyFill="1" applyBorder="1" applyAlignment="1">
      <alignment horizontal="left"/>
    </xf>
    <xf numFmtId="0" fontId="0" fillId="0" borderId="3" xfId="0" applyFont="1" applyFill="1" applyBorder="1" applyAlignment="1">
      <alignment horizontal="left"/>
    </xf>
    <xf numFmtId="0" fontId="0" fillId="0" borderId="4" xfId="0" applyFont="1" applyFill="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0" fillId="0" borderId="3" xfId="0" applyFont="1" applyFill="1" applyBorder="1" applyAlignment="1">
      <alignment horizontal="left"/>
    </xf>
    <xf numFmtId="0" fontId="0" fillId="0" borderId="4" xfId="0" applyFont="1" applyFill="1" applyBorder="1" applyAlignment="1">
      <alignment horizontal="left"/>
    </xf>
    <xf numFmtId="0" fontId="2" fillId="0" borderId="3" xfId="0" applyFont="1" applyFill="1" applyBorder="1" applyAlignment="1">
      <alignment horizontal="left"/>
    </xf>
    <xf numFmtId="0" fontId="0" fillId="0" borderId="0" xfId="0" applyBorder="1"/>
    <xf numFmtId="0" fontId="0" fillId="0" borderId="3" xfId="0" applyBorder="1"/>
    <xf numFmtId="164" fontId="0" fillId="0" borderId="3" xfId="1" applyNumberFormat="1" applyFont="1" applyBorder="1" applyAlignment="1">
      <alignment horizontal="right"/>
    </xf>
    <xf numFmtId="0" fontId="0" fillId="0" borderId="0" xfId="0" applyFont="1" applyBorder="1"/>
    <xf numFmtId="165" fontId="10" fillId="0" borderId="0" xfId="1" quotePrefix="1" applyNumberFormat="1" applyFont="1" applyFill="1" applyBorder="1" applyAlignment="1">
      <alignment horizontal="right"/>
    </xf>
    <xf numFmtId="165" fontId="10" fillId="0" borderId="0" xfId="0" applyNumberFormat="1" applyFont="1" applyFill="1"/>
    <xf numFmtId="165" fontId="10" fillId="0" borderId="5" xfId="1" quotePrefix="1" applyNumberFormat="1" applyFont="1" applyFill="1" applyBorder="1" applyAlignment="1">
      <alignment horizontal="right"/>
    </xf>
    <xf numFmtId="166" fontId="0" fillId="0" borderId="0" xfId="2" applyNumberFormat="1" applyFont="1" applyFill="1"/>
    <xf numFmtId="0" fontId="0" fillId="0" borderId="5" xfId="0" applyFill="1" applyBorder="1"/>
    <xf numFmtId="166" fontId="0" fillId="0" borderId="3" xfId="2" applyNumberFormat="1" applyFont="1" applyFill="1" applyBorder="1"/>
    <xf numFmtId="9" fontId="1" fillId="2" borderId="0" xfId="2" quotePrefix="1" applyFont="1" applyFill="1" applyBorder="1" applyAlignment="1">
      <alignment horizontal="right"/>
    </xf>
    <xf numFmtId="0" fontId="0" fillId="0" borderId="3" xfId="0" applyFont="1" applyFill="1" applyBorder="1" applyAlignment="1">
      <alignment horizontal="left" vertical="center"/>
    </xf>
    <xf numFmtId="168" fontId="1" fillId="0" borderId="0" xfId="1" quotePrefix="1" applyNumberFormat="1" applyFont="1" applyFill="1" applyBorder="1" applyAlignment="1">
      <alignment horizontal="left" vertical="center"/>
    </xf>
    <xf numFmtId="168" fontId="4" fillId="0" borderId="3" xfId="1" quotePrefix="1" applyNumberFormat="1" applyFont="1" applyFill="1" applyBorder="1" applyAlignment="1">
      <alignment horizontal="center"/>
    </xf>
    <xf numFmtId="168" fontId="1" fillId="0" borderId="5" xfId="1" quotePrefix="1" applyNumberFormat="1" applyFont="1" applyFill="1" applyBorder="1" applyAlignment="1">
      <alignment horizontal="right" vertical="center"/>
    </xf>
    <xf numFmtId="168" fontId="1" fillId="0" borderId="5" xfId="1" quotePrefix="1" applyNumberFormat="1" applyFont="1" applyFill="1" applyBorder="1" applyAlignment="1">
      <alignment horizontal="center" vertical="center"/>
    </xf>
    <xf numFmtId="168" fontId="4" fillId="0" borderId="3" xfId="1" quotePrefix="1" applyNumberFormat="1" applyFont="1" applyFill="1" applyBorder="1" applyAlignment="1">
      <alignment horizontal="center" vertical="center"/>
    </xf>
    <xf numFmtId="168" fontId="4" fillId="0" borderId="0" xfId="1" quotePrefix="1" applyNumberFormat="1" applyFont="1" applyFill="1" applyBorder="1" applyAlignment="1">
      <alignment horizontal="center" vertical="center"/>
    </xf>
    <xf numFmtId="168" fontId="4" fillId="0" borderId="4" xfId="1" quotePrefix="1" applyNumberFormat="1" applyFont="1" applyFill="1" applyBorder="1" applyAlignment="1">
      <alignment horizontal="center" vertical="center"/>
    </xf>
    <xf numFmtId="168" fontId="4" fillId="0" borderId="5" xfId="1" quotePrefix="1" applyNumberFormat="1" applyFont="1" applyFill="1" applyBorder="1" applyAlignment="1">
      <alignment horizontal="center" vertical="center"/>
    </xf>
    <xf numFmtId="168" fontId="1" fillId="0" borderId="3" xfId="1" quotePrefix="1" applyNumberFormat="1" applyFont="1" applyFill="1" applyBorder="1" applyAlignment="1">
      <alignment horizontal="center" vertical="center"/>
    </xf>
    <xf numFmtId="168" fontId="1" fillId="0" borderId="0" xfId="1" quotePrefix="1" applyNumberFormat="1" applyFont="1" applyFill="1" applyBorder="1" applyAlignment="1">
      <alignment horizontal="center" vertical="center"/>
    </xf>
    <xf numFmtId="168" fontId="3" fillId="0" borderId="0" xfId="1" quotePrefix="1" applyNumberFormat="1" applyFont="1" applyFill="1" applyBorder="1" applyAlignment="1">
      <alignment horizontal="right"/>
    </xf>
    <xf numFmtId="168" fontId="1" fillId="0" borderId="4" xfId="1" quotePrefix="1" applyNumberFormat="1" applyFont="1" applyFill="1" applyBorder="1" applyAlignment="1">
      <alignment horizontal="center" vertical="center"/>
    </xf>
    <xf numFmtId="168" fontId="4" fillId="0" borderId="0" xfId="1" quotePrefix="1" applyNumberFormat="1" applyFont="1" applyFill="1" applyBorder="1" applyAlignment="1">
      <alignment horizontal="right" vertical="center"/>
    </xf>
    <xf numFmtId="168" fontId="4" fillId="0" borderId="5" xfId="1" quotePrefix="1" applyNumberFormat="1" applyFont="1" applyFill="1" applyBorder="1" applyAlignment="1">
      <alignment horizontal="right" vertical="center"/>
    </xf>
    <xf numFmtId="168" fontId="2" fillId="0" borderId="5" xfId="1" quotePrefix="1" applyNumberFormat="1" applyFont="1" applyFill="1" applyBorder="1" applyAlignment="1">
      <alignment horizontal="right" vertical="center"/>
    </xf>
    <xf numFmtId="168" fontId="4" fillId="0" borderId="3" xfId="1" quotePrefix="1" applyNumberFormat="1" applyFont="1" applyFill="1" applyBorder="1" applyAlignment="1">
      <alignment horizontal="right" vertical="center"/>
    </xf>
    <xf numFmtId="0" fontId="2" fillId="0" borderId="4" xfId="0" applyFont="1" applyBorder="1" applyAlignment="1">
      <alignment horizontal="left"/>
    </xf>
    <xf numFmtId="0" fontId="0" fillId="0" borderId="3" xfId="0" applyFont="1" applyBorder="1" applyAlignment="1">
      <alignment horizontal="left"/>
    </xf>
    <xf numFmtId="0" fontId="2" fillId="0" borderId="0" xfId="1" applyNumberFormat="1" applyFont="1" applyFill="1" applyBorder="1" applyAlignment="1">
      <alignment horizontal="right"/>
    </xf>
    <xf numFmtId="168" fontId="3" fillId="0" borderId="5" xfId="1" quotePrefix="1" applyNumberFormat="1" applyFont="1" applyFill="1" applyBorder="1" applyAlignment="1">
      <alignment horizontal="right"/>
    </xf>
    <xf numFmtId="168" fontId="10" fillId="4" borderId="0" xfId="1" applyNumberFormat="1" applyFont="1" applyFill="1" applyBorder="1" applyAlignment="1">
      <alignment horizontal="right"/>
    </xf>
    <xf numFmtId="165" fontId="1" fillId="0" borderId="5" xfId="1" quotePrefix="1" applyNumberFormat="1" applyFont="1" applyBorder="1" applyAlignment="1">
      <alignment horizontal="right"/>
    </xf>
    <xf numFmtId="9" fontId="1" fillId="0" borderId="5" xfId="2" quotePrefix="1" applyFont="1" applyBorder="1" applyAlignment="1">
      <alignment horizontal="right"/>
    </xf>
    <xf numFmtId="43" fontId="12" fillId="4" borderId="0" xfId="1" applyNumberFormat="1" applyFont="1" applyFill="1" applyBorder="1" applyAlignment="1">
      <alignment horizontal="right"/>
    </xf>
    <xf numFmtId="43" fontId="0" fillId="0" borderId="0" xfId="1" applyFont="1" applyFill="1" applyAlignment="1">
      <alignment horizontal="left"/>
    </xf>
    <xf numFmtId="227" fontId="1" fillId="0" borderId="8" xfId="1" applyNumberFormat="1" applyFont="1" applyBorder="1" applyAlignment="1">
      <alignment horizontal="right"/>
    </xf>
    <xf numFmtId="0" fontId="0" fillId="0" borderId="3" xfId="0" applyFont="1" applyBorder="1" applyAlignment="1">
      <alignment horizontal="left"/>
    </xf>
    <xf numFmtId="0" fontId="0" fillId="0" borderId="3" xfId="0" applyFont="1" applyFill="1" applyBorder="1" applyAlignment="1">
      <alignment horizontal="left"/>
    </xf>
    <xf numFmtId="0" fontId="0" fillId="0" borderId="4" xfId="0" applyFont="1" applyFill="1" applyBorder="1" applyAlignment="1">
      <alignment horizontal="left"/>
    </xf>
    <xf numFmtId="0" fontId="2" fillId="0" borderId="4" xfId="0" applyFont="1" applyFill="1" applyBorder="1" applyAlignment="1">
      <alignment horizontal="left"/>
    </xf>
    <xf numFmtId="43" fontId="1" fillId="0" borderId="6" xfId="1" applyNumberFormat="1" applyFont="1" applyFill="1" applyBorder="1" applyAlignment="1">
      <alignment horizontal="right"/>
    </xf>
    <xf numFmtId="2" fontId="0" fillId="0" borderId="7" xfId="0" applyNumberFormat="1" applyFill="1" applyBorder="1"/>
    <xf numFmtId="43" fontId="0" fillId="0" borderId="0" xfId="0" applyNumberFormat="1" applyBorder="1"/>
    <xf numFmtId="43" fontId="4" fillId="0" borderId="0" xfId="0" applyNumberFormat="1" applyFont="1" applyBorder="1"/>
    <xf numFmtId="43" fontId="2" fillId="4" borderId="5" xfId="1" applyNumberFormat="1" applyFont="1" applyFill="1" applyBorder="1" applyAlignment="1">
      <alignment horizontal="right"/>
    </xf>
    <xf numFmtId="168" fontId="1" fillId="4" borderId="5" xfId="1" applyNumberFormat="1" applyFont="1" applyFill="1" applyBorder="1" applyAlignment="1">
      <alignment horizontal="right"/>
    </xf>
    <xf numFmtId="43" fontId="2" fillId="0" borderId="4" xfId="1" applyNumberFormat="1" applyFont="1" applyBorder="1" applyAlignment="1">
      <alignment horizontal="right"/>
    </xf>
    <xf numFmtId="7" fontId="2" fillId="0" borderId="11" xfId="1" applyNumberFormat="1" applyFont="1" applyBorder="1" applyAlignment="1">
      <alignment horizontal="right"/>
    </xf>
    <xf numFmtId="0" fontId="0" fillId="0" borderId="0" xfId="0" applyFill="1" applyAlignment="1">
      <alignment horizontal="left"/>
    </xf>
    <xf numFmtId="168" fontId="0" fillId="0" borderId="0" xfId="1" applyNumberFormat="1" applyFont="1" applyFill="1"/>
    <xf numFmtId="0" fontId="2" fillId="0" borderId="0" xfId="0" applyFont="1" applyFill="1"/>
    <xf numFmtId="0" fontId="15" fillId="3" borderId="12" xfId="0" applyFont="1" applyFill="1" applyBorder="1" applyAlignment="1">
      <alignment horizontal="left"/>
    </xf>
    <xf numFmtId="0" fontId="15" fillId="3" borderId="13" xfId="0" applyFont="1" applyFill="1" applyBorder="1" applyAlignment="1">
      <alignment horizontal="left"/>
    </xf>
    <xf numFmtId="0" fontId="17" fillId="3" borderId="3" xfId="0" applyFont="1" applyFill="1" applyBorder="1" applyAlignment="1">
      <alignment horizontal="left"/>
    </xf>
    <xf numFmtId="0" fontId="17" fillId="3" borderId="0" xfId="0" applyFont="1" applyFill="1" applyBorder="1" applyAlignment="1">
      <alignment horizontal="left"/>
    </xf>
    <xf numFmtId="0" fontId="8" fillId="0" borderId="3" xfId="0" applyFont="1" applyBorder="1" applyAlignment="1">
      <alignment horizontal="left"/>
    </xf>
    <xf numFmtId="0" fontId="8" fillId="0" borderId="4" xfId="0" applyFont="1" applyBorder="1" applyAlignment="1">
      <alignment horizontal="left"/>
    </xf>
    <xf numFmtId="0" fontId="0" fillId="0" borderId="3" xfId="0" applyFont="1" applyFill="1" applyBorder="1" applyAlignment="1">
      <alignment horizontal="left"/>
    </xf>
    <xf numFmtId="0" fontId="0" fillId="0" borderId="4" xfId="0" applyFont="1" applyFill="1" applyBorder="1" applyAlignment="1">
      <alignment horizontal="left"/>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6" xfId="0" applyFont="1" applyFill="1" applyBorder="1" applyAlignment="1">
      <alignment horizontal="left"/>
    </xf>
    <xf numFmtId="0" fontId="0" fillId="0" borderId="10" xfId="0" applyFont="1" applyFill="1" applyBorder="1" applyAlignment="1">
      <alignment horizontal="left"/>
    </xf>
    <xf numFmtId="0" fontId="15" fillId="3" borderId="1" xfId="0" applyFont="1" applyFill="1" applyBorder="1" applyAlignment="1">
      <alignment horizontal="left"/>
    </xf>
    <xf numFmtId="0" fontId="15" fillId="3" borderId="2" xfId="0" applyFont="1" applyFill="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2" fillId="0" borderId="3" xfId="0" applyFont="1" applyFill="1" applyBorder="1" applyAlignment="1">
      <alignment horizontal="left"/>
    </xf>
    <xf numFmtId="0" fontId="2" fillId="0" borderId="4" xfId="0" applyFont="1" applyFill="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2" borderId="1" xfId="0" applyFont="1" applyFill="1" applyBorder="1" applyAlignment="1">
      <alignment horizontal="left"/>
    </xf>
    <xf numFmtId="0" fontId="0" fillId="2" borderId="11" xfId="0" applyFont="1" applyFill="1" applyBorder="1" applyAlignment="1">
      <alignment horizontal="left"/>
    </xf>
    <xf numFmtId="0" fontId="0" fillId="11" borderId="3" xfId="0" applyFont="1" applyFill="1" applyBorder="1" applyAlignment="1">
      <alignment horizontal="left"/>
    </xf>
    <xf numFmtId="0" fontId="0" fillId="11" borderId="4" xfId="0" applyFont="1" applyFill="1" applyBorder="1" applyAlignment="1">
      <alignment horizontal="left"/>
    </xf>
    <xf numFmtId="0" fontId="0" fillId="4" borderId="6" xfId="0" applyFont="1" applyFill="1" applyBorder="1" applyAlignment="1">
      <alignment horizontal="left"/>
    </xf>
    <xf numFmtId="0" fontId="0" fillId="4" borderId="10" xfId="0" applyFont="1" applyFill="1" applyBorder="1" applyAlignment="1">
      <alignment horizontal="left"/>
    </xf>
    <xf numFmtId="0" fontId="2" fillId="0" borderId="6" xfId="0" applyFont="1" applyBorder="1" applyAlignment="1">
      <alignment horizontal="left"/>
    </xf>
    <xf numFmtId="0" fontId="2" fillId="0" borderId="10" xfId="0" applyFont="1"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10" fillId="0" borderId="3" xfId="3" applyFont="1" applyFill="1" applyBorder="1" applyAlignment="1">
      <alignment horizontal="left" vertical="top"/>
    </xf>
    <xf numFmtId="0" fontId="10" fillId="0" borderId="4" xfId="3" applyFont="1" applyFill="1" applyBorder="1" applyAlignment="1">
      <alignment horizontal="left" vertical="top"/>
    </xf>
    <xf numFmtId="0" fontId="0" fillId="0" borderId="6" xfId="0" applyFont="1" applyBorder="1" applyAlignment="1">
      <alignment horizontal="left"/>
    </xf>
    <xf numFmtId="0" fontId="0" fillId="0" borderId="10" xfId="0" applyFont="1" applyBorder="1" applyAlignment="1">
      <alignment horizontal="left"/>
    </xf>
    <xf numFmtId="168" fontId="11" fillId="0" borderId="5" xfId="1" applyNumberFormat="1" applyFont="1" applyFill="1" applyBorder="1" applyAlignment="1">
      <alignment horizontal="right"/>
    </xf>
    <xf numFmtId="165" fontId="7" fillId="0" borderId="3" xfId="1" applyNumberFormat="1" applyFont="1" applyBorder="1" applyAlignment="1">
      <alignment horizontal="right"/>
    </xf>
    <xf numFmtId="168" fontId="2" fillId="0" borderId="6" xfId="1" applyNumberFormat="1" applyFont="1" applyBorder="1" applyAlignment="1">
      <alignment horizontal="right"/>
    </xf>
    <xf numFmtId="0" fontId="0" fillId="0" borderId="5" xfId="0" applyBorder="1"/>
    <xf numFmtId="0" fontId="0" fillId="0" borderId="5" xfId="0" applyFont="1" applyBorder="1"/>
    <xf numFmtId="0" fontId="0" fillId="0" borderId="8" xfId="0" applyBorder="1"/>
    <xf numFmtId="0" fontId="0" fillId="0" borderId="4" xfId="0" applyBorder="1"/>
    <xf numFmtId="0" fontId="0" fillId="0" borderId="4" xfId="0" applyFont="1" applyBorder="1"/>
    <xf numFmtId="0" fontId="0" fillId="0" borderId="7" xfId="0" applyBorder="1"/>
    <xf numFmtId="0" fontId="0" fillId="0" borderId="10" xfId="0" applyBorder="1"/>
    <xf numFmtId="0" fontId="0" fillId="0" borderId="6" xfId="0" applyBorder="1"/>
    <xf numFmtId="168" fontId="4" fillId="0" borderId="3" xfId="1" applyNumberFormat="1" applyFont="1" applyBorder="1" applyAlignment="1">
      <alignment horizontal="right"/>
    </xf>
    <xf numFmtId="43" fontId="4" fillId="0" borderId="3" xfId="1" applyFont="1" applyBorder="1"/>
    <xf numFmtId="43" fontId="4" fillId="0" borderId="0" xfId="1" applyFont="1" applyBorder="1"/>
    <xf numFmtId="43" fontId="0" fillId="0" borderId="3" xfId="1" applyFont="1" applyBorder="1"/>
    <xf numFmtId="168" fontId="67" fillId="0" borderId="3" xfId="1" applyNumberFormat="1" applyFont="1" applyFill="1" applyBorder="1" applyAlignment="1">
      <alignment horizontal="right"/>
    </xf>
    <xf numFmtId="168" fontId="67" fillId="0" borderId="0" xfId="1" applyNumberFormat="1" applyFont="1" applyFill="1" applyBorder="1" applyAlignment="1">
      <alignment horizontal="right"/>
    </xf>
    <xf numFmtId="168" fontId="67" fillId="0" borderId="4" xfId="1" applyNumberFormat="1" applyFont="1" applyFill="1" applyBorder="1" applyAlignment="1">
      <alignment horizontal="right"/>
    </xf>
    <xf numFmtId="168" fontId="67" fillId="0" borderId="5" xfId="1" applyNumberFormat="1" applyFont="1" applyFill="1" applyBorder="1" applyAlignment="1">
      <alignment horizontal="right"/>
    </xf>
    <xf numFmtId="168" fontId="70" fillId="0" borderId="0" xfId="1" applyNumberFormat="1" applyFont="1" applyFill="1" applyBorder="1" applyAlignment="1">
      <alignment horizontal="right"/>
    </xf>
    <xf numFmtId="168" fontId="67" fillId="0" borderId="3" xfId="1" applyNumberFormat="1" applyFont="1" applyBorder="1" applyAlignment="1">
      <alignment horizontal="right"/>
    </xf>
    <xf numFmtId="168" fontId="70" fillId="0" borderId="3" xfId="1" applyNumberFormat="1" applyFont="1" applyFill="1" applyBorder="1" applyAlignment="1">
      <alignment horizontal="right"/>
    </xf>
    <xf numFmtId="168" fontId="11" fillId="0" borderId="0" xfId="3" applyNumberFormat="1" applyFont="1" applyFill="1">
      <alignment vertical="top"/>
    </xf>
    <xf numFmtId="168" fontId="4" fillId="0" borderId="5" xfId="1" applyNumberFormat="1" applyFont="1" applyBorder="1" applyAlignment="1">
      <alignment horizontal="right"/>
    </xf>
    <xf numFmtId="168" fontId="4" fillId="0" borderId="0" xfId="1" applyNumberFormat="1" applyFont="1" applyBorder="1" applyAlignment="1">
      <alignment horizontal="right"/>
    </xf>
    <xf numFmtId="168" fontId="4" fillId="0" borderId="4" xfId="1" applyNumberFormat="1" applyFont="1" applyBorder="1" applyAlignment="1">
      <alignment horizontal="right"/>
    </xf>
    <xf numFmtId="43" fontId="0" fillId="0" borderId="3" xfId="0" applyNumberFormat="1" applyBorder="1"/>
    <xf numFmtId="168" fontId="0" fillId="0" borderId="3" xfId="0" applyNumberFormat="1" applyBorder="1"/>
    <xf numFmtId="0" fontId="0" fillId="0" borderId="6" xfId="0" applyFill="1" applyBorder="1"/>
    <xf numFmtId="0" fontId="0" fillId="0" borderId="10" xfId="0" applyFill="1" applyBorder="1"/>
    <xf numFmtId="0" fontId="0" fillId="0" borderId="8" xfId="0" applyFill="1" applyBorder="1"/>
    <xf numFmtId="0" fontId="0" fillId="0" borderId="7" xfId="0" applyFill="1" applyBorder="1"/>
    <xf numFmtId="0" fontId="0" fillId="0" borderId="3" xfId="0" applyFill="1" applyBorder="1"/>
    <xf numFmtId="0" fontId="0" fillId="0" borderId="27" xfId="0" applyFont="1" applyFill="1" applyBorder="1" applyAlignment="1">
      <alignment horizontal="left"/>
    </xf>
    <xf numFmtId="0" fontId="0" fillId="0" borderId="28" xfId="0" applyFont="1" applyFill="1" applyBorder="1" applyAlignment="1">
      <alignment horizontal="left"/>
    </xf>
    <xf numFmtId="228" fontId="1" fillId="0" borderId="0" xfId="2" quotePrefix="1" applyNumberFormat="1" applyFont="1" applyFill="1" applyBorder="1" applyAlignment="1">
      <alignment horizontal="right"/>
    </xf>
    <xf numFmtId="228" fontId="1" fillId="0" borderId="5" xfId="2" quotePrefix="1" applyNumberFormat="1" applyFont="1" applyFill="1" applyBorder="1" applyAlignment="1">
      <alignment horizontal="right"/>
    </xf>
    <xf numFmtId="228" fontId="1" fillId="0" borderId="0" xfId="1" quotePrefix="1" applyNumberFormat="1" applyFont="1" applyFill="1" applyBorder="1" applyAlignment="1">
      <alignment horizontal="right"/>
    </xf>
    <xf numFmtId="228" fontId="1" fillId="0" borderId="5" xfId="1" quotePrefix="1" applyNumberFormat="1" applyFont="1" applyFill="1" applyBorder="1" applyAlignment="1">
      <alignment horizontal="right"/>
    </xf>
    <xf numFmtId="168" fontId="1" fillId="0" borderId="30" xfId="1" quotePrefix="1" applyNumberFormat="1" applyFont="1" applyFill="1" applyBorder="1" applyAlignment="1">
      <alignment horizontal="right"/>
    </xf>
    <xf numFmtId="168" fontId="1" fillId="0" borderId="29" xfId="1" quotePrefix="1" applyNumberFormat="1" applyFont="1" applyFill="1" applyBorder="1" applyAlignment="1">
      <alignment horizontal="right"/>
    </xf>
    <xf numFmtId="168" fontId="1" fillId="0" borderId="27" xfId="1" quotePrefix="1" applyNumberFormat="1" applyFont="1" applyFill="1" applyBorder="1" applyAlignment="1">
      <alignment horizontal="right"/>
    </xf>
    <xf numFmtId="168" fontId="1" fillId="0" borderId="28" xfId="1" quotePrefix="1" applyNumberFormat="1" applyFont="1" applyFill="1" applyBorder="1" applyAlignment="1">
      <alignment horizontal="right"/>
    </xf>
    <xf numFmtId="168" fontId="1" fillId="2" borderId="30" xfId="2" quotePrefix="1" applyNumberFormat="1" applyFont="1" applyFill="1" applyBorder="1" applyAlignment="1">
      <alignment horizontal="right"/>
    </xf>
    <xf numFmtId="0" fontId="0" fillId="0" borderId="27" xfId="0" applyFont="1" applyFill="1" applyBorder="1" applyAlignment="1">
      <alignment horizontal="left"/>
    </xf>
    <xf numFmtId="0" fontId="0" fillId="0" borderId="28" xfId="0" applyFont="1" applyFill="1" applyBorder="1" applyAlignment="1">
      <alignment horizontal="left"/>
    </xf>
    <xf numFmtId="166" fontId="1" fillId="0" borderId="30" xfId="2" quotePrefix="1" applyNumberFormat="1" applyFont="1" applyFill="1" applyBorder="1" applyAlignment="1">
      <alignment horizontal="right"/>
    </xf>
    <xf numFmtId="166" fontId="1" fillId="0" borderId="29" xfId="2" quotePrefix="1" applyNumberFormat="1" applyFont="1" applyFill="1" applyBorder="1" applyAlignment="1">
      <alignment horizontal="right"/>
    </xf>
    <xf numFmtId="166" fontId="1" fillId="0" borderId="27" xfId="2" quotePrefix="1" applyNumberFormat="1" applyFont="1" applyFill="1" applyBorder="1" applyAlignment="1">
      <alignment horizontal="right"/>
    </xf>
    <xf numFmtId="166" fontId="1" fillId="0" borderId="28" xfId="2" quotePrefix="1" applyNumberFormat="1" applyFont="1" applyFill="1" applyBorder="1" applyAlignment="1">
      <alignment horizontal="right"/>
    </xf>
    <xf numFmtId="9" fontId="1" fillId="0" borderId="0" xfId="2" quotePrefix="1" applyFont="1" applyBorder="1" applyAlignment="1">
      <alignment horizontal="right"/>
    </xf>
    <xf numFmtId="9" fontId="10" fillId="2" borderId="0" xfId="2" quotePrefix="1" applyFont="1" applyFill="1" applyBorder="1" applyAlignment="1">
      <alignment horizontal="right"/>
    </xf>
    <xf numFmtId="43" fontId="1" fillId="0" borderId="0" xfId="1" applyFont="1" applyFill="1" applyBorder="1" applyAlignment="1">
      <alignment horizontal="right"/>
    </xf>
    <xf numFmtId="0" fontId="8" fillId="0" borderId="3" xfId="0" applyFont="1" applyFill="1" applyBorder="1" applyAlignment="1">
      <alignment horizontal="left"/>
    </xf>
    <xf numFmtId="0" fontId="0" fillId="0" borderId="27" xfId="0" applyFont="1" applyBorder="1" applyAlignment="1">
      <alignment horizontal="left"/>
    </xf>
    <xf numFmtId="0" fontId="0" fillId="0" borderId="28" xfId="0" applyFont="1" applyBorder="1" applyAlignment="1">
      <alignment horizontal="left"/>
    </xf>
    <xf numFmtId="164" fontId="0" fillId="0" borderId="7" xfId="1" applyNumberFormat="1" applyFont="1" applyFill="1" applyBorder="1" applyAlignment="1">
      <alignment horizontal="right"/>
    </xf>
    <xf numFmtId="165" fontId="3" fillId="0" borderId="8" xfId="1" quotePrefix="1" applyNumberFormat="1" applyFont="1" applyFill="1" applyBorder="1" applyAlignment="1">
      <alignment horizontal="right"/>
    </xf>
    <xf numFmtId="0" fontId="2" fillId="0" borderId="27" xfId="0" applyFont="1" applyFill="1" applyBorder="1" applyAlignment="1">
      <alignment horizontal="left"/>
    </xf>
    <xf numFmtId="0" fontId="67" fillId="0" borderId="28" xfId="0" applyFont="1" applyFill="1" applyBorder="1" applyAlignment="1">
      <alignment horizontal="left"/>
    </xf>
    <xf numFmtId="168" fontId="2" fillId="0" borderId="30" xfId="1" quotePrefix="1" applyNumberFormat="1" applyFont="1" applyFill="1" applyBorder="1" applyAlignment="1">
      <alignment horizontal="right"/>
    </xf>
    <xf numFmtId="168" fontId="1" fillId="0" borderId="29" xfId="1" quotePrefix="1" applyNumberFormat="1" applyFont="1" applyFill="1" applyBorder="1" applyAlignment="1">
      <alignment horizontal="right" vertical="center"/>
    </xf>
    <xf numFmtId="0" fontId="8" fillId="0" borderId="16" xfId="0" applyFont="1" applyFill="1" applyBorder="1" applyAlignment="1">
      <alignment horizontal="left"/>
    </xf>
    <xf numFmtId="0" fontId="8" fillId="0" borderId="17" xfId="0" applyFont="1" applyFill="1" applyBorder="1" applyAlignment="1">
      <alignment horizontal="left"/>
    </xf>
    <xf numFmtId="168" fontId="4" fillId="2" borderId="0" xfId="1" quotePrefix="1" applyNumberFormat="1" applyFont="1" applyFill="1" applyBorder="1" applyAlignment="1">
      <alignment horizontal="right"/>
    </xf>
    <xf numFmtId="9" fontId="1" fillId="0" borderId="0" xfId="2" quotePrefix="1" applyFont="1" applyFill="1" applyBorder="1" applyAlignment="1">
      <alignment horizontal="right" vertical="center"/>
    </xf>
    <xf numFmtId="168" fontId="1" fillId="2" borderId="4" xfId="1" quotePrefix="1" applyNumberFormat="1" applyFont="1" applyFill="1" applyBorder="1" applyAlignment="1">
      <alignment horizontal="right"/>
    </xf>
    <xf numFmtId="168" fontId="4" fillId="2" borderId="4" xfId="1" quotePrefix="1" applyNumberFormat="1" applyFont="1" applyFill="1" applyBorder="1" applyAlignment="1">
      <alignment horizontal="right"/>
    </xf>
    <xf numFmtId="168" fontId="1" fillId="2" borderId="3" xfId="1" quotePrefix="1" applyNumberFormat="1" applyFont="1" applyFill="1" applyBorder="1" applyAlignment="1">
      <alignment horizontal="right"/>
    </xf>
    <xf numFmtId="168" fontId="4" fillId="2" borderId="3" xfId="1" quotePrefix="1" applyNumberFormat="1" applyFont="1" applyFill="1" applyBorder="1" applyAlignment="1">
      <alignment horizontal="right"/>
    </xf>
  </cellXfs>
  <cellStyles count="329">
    <cellStyle name="_%(SignOnly)" xfId="7"/>
    <cellStyle name="_%(SignSpaceOnly)" xfId="8"/>
    <cellStyle name="_Comma" xfId="9"/>
    <cellStyle name="_Currency" xfId="10"/>
    <cellStyle name="_CurrencySpace" xfId="11"/>
    <cellStyle name="_Euro" xfId="12"/>
    <cellStyle name="_Heading" xfId="13"/>
    <cellStyle name="_Heading_prestemp" xfId="14"/>
    <cellStyle name="_Heading_prestemp_1st Qtr PL FY07" xfId="15"/>
    <cellStyle name="_Heading_prestemp_Financial Statements" xfId="16"/>
    <cellStyle name="_Heading_prestemp_Financial Statementsvs1" xfId="17"/>
    <cellStyle name="_Highlight" xfId="18"/>
    <cellStyle name="_Multiple" xfId="19"/>
    <cellStyle name="_MultipleSpace" xfId="20"/>
    <cellStyle name="_SubHeading" xfId="21"/>
    <cellStyle name="_SubHeading_prestemp" xfId="22"/>
    <cellStyle name="_SubHeading_prestemp_1st Qtr PL FY07" xfId="23"/>
    <cellStyle name="_SubHeading_prestemp_Financial Statements" xfId="24"/>
    <cellStyle name="_SubHeading_prestemp_Financial Statementsvs1" xfId="25"/>
    <cellStyle name="_Table" xfId="26"/>
    <cellStyle name="_TableHead" xfId="27"/>
    <cellStyle name="_TableRowHead" xfId="28"/>
    <cellStyle name="_TableSuperHead" xfId="29"/>
    <cellStyle name="=C:\WINNT\SYSTEM32\COMMAND.COM" xfId="30"/>
    <cellStyle name="=C:\WINNT\SYSTEM32\COMMAND.COM 2" xfId="255"/>
    <cellStyle name="6-0" xfId="31"/>
    <cellStyle name="Bold12" xfId="32"/>
    <cellStyle name="BoldItal12" xfId="33"/>
    <cellStyle name="Border" xfId="34"/>
    <cellStyle name="Border 10" xfId="35"/>
    <cellStyle name="Border 11" xfId="36"/>
    <cellStyle name="Border 12" xfId="37"/>
    <cellStyle name="Border 13" xfId="38"/>
    <cellStyle name="Border 14" xfId="39"/>
    <cellStyle name="Border 15" xfId="40"/>
    <cellStyle name="Border 16" xfId="41"/>
    <cellStyle name="Border 17" xfId="42"/>
    <cellStyle name="Border 18" xfId="43"/>
    <cellStyle name="Border 19" xfId="44"/>
    <cellStyle name="Border 2" xfId="45"/>
    <cellStyle name="Border 20" xfId="46"/>
    <cellStyle name="Border 21" xfId="47"/>
    <cellStyle name="Border 22" xfId="48"/>
    <cellStyle name="Border 23" xfId="49"/>
    <cellStyle name="Border 24" xfId="50"/>
    <cellStyle name="Border 25" xfId="51"/>
    <cellStyle name="Border 26" xfId="52"/>
    <cellStyle name="Border 27" xfId="53"/>
    <cellStyle name="Border 28" xfId="54"/>
    <cellStyle name="Border 29" xfId="55"/>
    <cellStyle name="Border 3" xfId="56"/>
    <cellStyle name="Border 30" xfId="57"/>
    <cellStyle name="Border 31" xfId="58"/>
    <cellStyle name="Border 32" xfId="59"/>
    <cellStyle name="Border 33" xfId="60"/>
    <cellStyle name="Border 34" xfId="61"/>
    <cellStyle name="Border 35" xfId="62"/>
    <cellStyle name="Border 36" xfId="63"/>
    <cellStyle name="Border 37" xfId="64"/>
    <cellStyle name="Border 38" xfId="65"/>
    <cellStyle name="Border 39" xfId="66"/>
    <cellStyle name="Border 4" xfId="67"/>
    <cellStyle name="Border 40" xfId="68"/>
    <cellStyle name="Border 41" xfId="69"/>
    <cellStyle name="Border 42" xfId="70"/>
    <cellStyle name="Border 5" xfId="71"/>
    <cellStyle name="Border 6" xfId="72"/>
    <cellStyle name="Border 7" xfId="73"/>
    <cellStyle name="Border 8" xfId="74"/>
    <cellStyle name="Border 9" xfId="75"/>
    <cellStyle name="Calc Currency (0)" xfId="76"/>
    <cellStyle name="Calc Currency (0) 2" xfId="256"/>
    <cellStyle name="Calc Currency (2)" xfId="77"/>
    <cellStyle name="Calc Currency (2) 2" xfId="257"/>
    <cellStyle name="Calc Percent (0)" xfId="78"/>
    <cellStyle name="Calc Percent (0) 2" xfId="258"/>
    <cellStyle name="Calc Percent (1)" xfId="79"/>
    <cellStyle name="Calc Percent (1) 2" xfId="259"/>
    <cellStyle name="Calc Percent (2)" xfId="80"/>
    <cellStyle name="Calc Percent (2) 2" xfId="260"/>
    <cellStyle name="Calc Units (0)" xfId="81"/>
    <cellStyle name="Calc Units (0) 2" xfId="261"/>
    <cellStyle name="Calc Units (1)" xfId="82"/>
    <cellStyle name="Calc Units (1) 2" xfId="262"/>
    <cellStyle name="Calc Units (2)" xfId="83"/>
    <cellStyle name="Calc Units (2) 2" xfId="263"/>
    <cellStyle name="Centered Heading" xfId="84"/>
    <cellStyle name="columns" xfId="85"/>
    <cellStyle name="Comma" xfId="1" builtinId="3"/>
    <cellStyle name="Comma  - Style1" xfId="264"/>
    <cellStyle name="Comma  - Style2" xfId="265"/>
    <cellStyle name="Comma  - Style3" xfId="266"/>
    <cellStyle name="Comma  - Style4" xfId="267"/>
    <cellStyle name="Comma  - Style5" xfId="268"/>
    <cellStyle name="Comma  - Style6" xfId="269"/>
    <cellStyle name="Comma  - Style7" xfId="270"/>
    <cellStyle name="Comma  - Style8" xfId="271"/>
    <cellStyle name="comma (0)" xfId="86"/>
    <cellStyle name="comma (0) 2" xfId="87"/>
    <cellStyle name="comma (0) 2 2" xfId="272"/>
    <cellStyle name="comma (0) 3" xfId="88"/>
    <cellStyle name="Comma [00]" xfId="89"/>
    <cellStyle name="Comma [00] 2" xfId="273"/>
    <cellStyle name="Comma 2" xfId="5"/>
    <cellStyle name="Comma 2 2" xfId="91"/>
    <cellStyle name="Comma 2 2 2" xfId="274"/>
    <cellStyle name="Comma 2 3" xfId="92"/>
    <cellStyle name="Comma 2 4" xfId="93"/>
    <cellStyle name="Comma 2 5" xfId="275"/>
    <cellStyle name="Comma 2 6" xfId="90"/>
    <cellStyle name="Comma 3" xfId="94"/>
    <cellStyle name="Comma 3 2" xfId="276"/>
    <cellStyle name="Comma 4" xfId="95"/>
    <cellStyle name="Comma 4 2" xfId="277"/>
    <cellStyle name="Comma 5" xfId="96"/>
    <cellStyle name="Comma 5 2" xfId="317"/>
    <cellStyle name="Comma Acctg" xfId="97"/>
    <cellStyle name="Comma Acctg 2" xfId="98"/>
    <cellStyle name="Comma0" xfId="99"/>
    <cellStyle name="Company Name" xfId="100"/>
    <cellStyle name="Contracts" xfId="101"/>
    <cellStyle name="CR Comma" xfId="102"/>
    <cellStyle name="CR Currency" xfId="103"/>
    <cellStyle name="curr" xfId="104"/>
    <cellStyle name="Currency [00]" xfId="105"/>
    <cellStyle name="Currency [00] 2" xfId="278"/>
    <cellStyle name="Currency 2" xfId="106"/>
    <cellStyle name="Currency Acctg" xfId="107"/>
    <cellStyle name="Currency0" xfId="108"/>
    <cellStyle name="Data" xfId="109"/>
    <cellStyle name="Date" xfId="110"/>
    <cellStyle name="Date Short" xfId="111"/>
    <cellStyle name="DateJoel" xfId="112"/>
    <cellStyle name="debbie" xfId="113"/>
    <cellStyle name="Dezimal [0]_laroux" xfId="114"/>
    <cellStyle name="Dezimal_laroux" xfId="115"/>
    <cellStyle name="Enter Currency (0)" xfId="116"/>
    <cellStyle name="Enter Currency (0) 2" xfId="279"/>
    <cellStyle name="Enter Currency (2)" xfId="117"/>
    <cellStyle name="Enter Currency (2) 2" xfId="280"/>
    <cellStyle name="Enter Units (0)" xfId="118"/>
    <cellStyle name="Enter Units (0) 2" xfId="281"/>
    <cellStyle name="Enter Units (1)" xfId="119"/>
    <cellStyle name="Enter Units (1) 2" xfId="282"/>
    <cellStyle name="Enter Units (2)" xfId="120"/>
    <cellStyle name="Enter Units (2) 2" xfId="283"/>
    <cellStyle name="eps" xfId="121"/>
    <cellStyle name="Euro" xfId="122"/>
    <cellStyle name="Grey" xfId="123"/>
    <cellStyle name="Header1" xfId="124"/>
    <cellStyle name="Header2" xfId="125"/>
    <cellStyle name="Header2 10" xfId="126"/>
    <cellStyle name="Header2 11" xfId="127"/>
    <cellStyle name="Header2 12" xfId="128"/>
    <cellStyle name="Header2 13" xfId="129"/>
    <cellStyle name="Header2 14" xfId="130"/>
    <cellStyle name="Header2 15" xfId="131"/>
    <cellStyle name="Header2 16" xfId="132"/>
    <cellStyle name="Header2 17" xfId="133"/>
    <cellStyle name="Header2 18" xfId="134"/>
    <cellStyle name="Header2 19" xfId="135"/>
    <cellStyle name="Header2 2" xfId="136"/>
    <cellStyle name="Header2 20" xfId="137"/>
    <cellStyle name="Header2 21" xfId="138"/>
    <cellStyle name="Header2 22" xfId="139"/>
    <cellStyle name="Header2 23" xfId="140"/>
    <cellStyle name="Header2 24" xfId="141"/>
    <cellStyle name="Header2 25" xfId="142"/>
    <cellStyle name="Header2 26" xfId="143"/>
    <cellStyle name="Header2 27" xfId="144"/>
    <cellStyle name="Header2 28" xfId="145"/>
    <cellStyle name="Header2 29" xfId="146"/>
    <cellStyle name="Header2 3" xfId="147"/>
    <cellStyle name="Header2 30" xfId="148"/>
    <cellStyle name="Header2 31" xfId="149"/>
    <cellStyle name="Header2 32" xfId="150"/>
    <cellStyle name="Header2 33" xfId="151"/>
    <cellStyle name="Header2 34" xfId="152"/>
    <cellStyle name="Header2 35" xfId="153"/>
    <cellStyle name="Header2 36" xfId="154"/>
    <cellStyle name="Header2 37" xfId="155"/>
    <cellStyle name="Header2 38" xfId="156"/>
    <cellStyle name="Header2 39" xfId="157"/>
    <cellStyle name="Header2 4" xfId="158"/>
    <cellStyle name="Header2 40" xfId="159"/>
    <cellStyle name="Header2 41" xfId="160"/>
    <cellStyle name="Header2 42" xfId="161"/>
    <cellStyle name="Header2 5" xfId="162"/>
    <cellStyle name="Header2 6" xfId="163"/>
    <cellStyle name="Header2 7" xfId="164"/>
    <cellStyle name="Header2 8" xfId="165"/>
    <cellStyle name="Header2 9" xfId="166"/>
    <cellStyle name="Heading" xfId="167"/>
    <cellStyle name="Heading 1 2" xfId="168"/>
    <cellStyle name="Heading 1 3" xfId="169"/>
    <cellStyle name="Heading 1 4" xfId="170"/>
    <cellStyle name="Heading 2 2" xfId="171"/>
    <cellStyle name="Heading 2 3" xfId="172"/>
    <cellStyle name="Heading 2 4" xfId="173"/>
    <cellStyle name="Heading No Underline" xfId="174"/>
    <cellStyle name="Heading With Underline" xfId="175"/>
    <cellStyle name="Hyperlink 2" xfId="284"/>
    <cellStyle name="Hyperlink 2 2" xfId="319"/>
    <cellStyle name="Hyperlink 2 2 2" xfId="320"/>
    <cellStyle name="Hyperlink 3" xfId="285"/>
    <cellStyle name="Hyperlink 4" xfId="321"/>
    <cellStyle name="Input [yellow]" xfId="176"/>
    <cellStyle name="Link Currency (0)" xfId="177"/>
    <cellStyle name="Link Currency (0) 2" xfId="286"/>
    <cellStyle name="Link Currency (2)" xfId="178"/>
    <cellStyle name="Link Currency (2) 2" xfId="287"/>
    <cellStyle name="Link Units (0)" xfId="179"/>
    <cellStyle name="Link Units (0) 2" xfId="288"/>
    <cellStyle name="Link Units (1)" xfId="180"/>
    <cellStyle name="Link Units (1) 2" xfId="289"/>
    <cellStyle name="Link Units (2)" xfId="181"/>
    <cellStyle name="Link Units (2) 2" xfId="290"/>
    <cellStyle name="Millares [0]_pldt" xfId="182"/>
    <cellStyle name="Millares_pldt" xfId="183"/>
    <cellStyle name="Milliers [0]_AR1194" xfId="184"/>
    <cellStyle name="Milliers_AR1194" xfId="185"/>
    <cellStyle name="Moneda [0]_pldt" xfId="186"/>
    <cellStyle name="Moneda_pldt" xfId="187"/>
    <cellStyle name="Monétaire [0]_AR1194" xfId="188"/>
    <cellStyle name="Monétaire_AR1194" xfId="189"/>
    <cellStyle name="negativ" xfId="190"/>
    <cellStyle name="no dec" xfId="191"/>
    <cellStyle name="nodollars" xfId="192"/>
    <cellStyle name="nodollars 2" xfId="193"/>
    <cellStyle name="Normal" xfId="0" builtinId="0"/>
    <cellStyle name="Normal - Style1" xfId="194"/>
    <cellStyle name="Normal - Style1 2" xfId="291"/>
    <cellStyle name="Normal - Style2" xfId="292"/>
    <cellStyle name="Normal - Style3" xfId="293"/>
    <cellStyle name="Normal - Style4" xfId="294"/>
    <cellStyle name="Normal - Style5" xfId="295"/>
    <cellStyle name="Normal 10" xfId="322"/>
    <cellStyle name="Normal 2" xfId="3"/>
    <cellStyle name="Normal 2 2" xfId="196"/>
    <cellStyle name="Normal 2 2 2" xfId="197"/>
    <cellStyle name="Normal 2 3" xfId="198"/>
    <cellStyle name="Normal 2 3 2" xfId="296"/>
    <cellStyle name="Normal 2 4" xfId="199"/>
    <cellStyle name="Normal 2 5" xfId="297"/>
    <cellStyle name="Normal 2 6" xfId="323"/>
    <cellStyle name="Normal 2 7" xfId="324"/>
    <cellStyle name="Normal 2 8" xfId="195"/>
    <cellStyle name="Normal 3" xfId="4"/>
    <cellStyle name="Normal 3 2" xfId="298"/>
    <cellStyle name="Normal 3 3" xfId="299"/>
    <cellStyle name="Normal 3 4" xfId="200"/>
    <cellStyle name="Normal 4" xfId="201"/>
    <cellStyle name="Normal 5" xfId="6"/>
    <cellStyle name="Normal 5 2" xfId="300"/>
    <cellStyle name="Normal 6" xfId="202"/>
    <cellStyle name="Normal 6 2" xfId="301"/>
    <cellStyle name="Normal 6 3" xfId="302"/>
    <cellStyle name="Normal 7" xfId="203"/>
    <cellStyle name="Normal 7 2" xfId="303"/>
    <cellStyle name="Normal 8" xfId="204"/>
    <cellStyle name="Normal 8 2" xfId="304"/>
    <cellStyle name="Normal 8 3" xfId="316"/>
    <cellStyle name="Normal 9" xfId="325"/>
    <cellStyle name="Number0DecimalStyle" xfId="205"/>
    <cellStyle name="Number0DecimalStyle 2" xfId="253"/>
    <cellStyle name="Number10DecimalStyle" xfId="206"/>
    <cellStyle name="Number1DecimalStyle" xfId="207"/>
    <cellStyle name="Number2DecimalStyle" xfId="208"/>
    <cellStyle name="Number2DecimalStyle 2" xfId="254"/>
    <cellStyle name="Number3DecimalStyle" xfId="209"/>
    <cellStyle name="Number4DecimalStyle" xfId="210"/>
    <cellStyle name="Number5DecimalStyle" xfId="211"/>
    <cellStyle name="Number6DecimalStyle" xfId="212"/>
    <cellStyle name="Number7DecimalStyle" xfId="213"/>
    <cellStyle name="Number8DecimalStyle" xfId="214"/>
    <cellStyle name="Number9DecimalStyle" xfId="215"/>
    <cellStyle name="over" xfId="216"/>
    <cellStyle name="Percent" xfId="2" builtinId="5"/>
    <cellStyle name="percent (0)" xfId="217"/>
    <cellStyle name="Percent [0]" xfId="218"/>
    <cellStyle name="Percent [0] 2" xfId="305"/>
    <cellStyle name="Percent [00]" xfId="219"/>
    <cellStyle name="Percent [00] 2" xfId="306"/>
    <cellStyle name="Percent [2]" xfId="220"/>
    <cellStyle name="Percent 10" xfId="318"/>
    <cellStyle name="Percent 2" xfId="221"/>
    <cellStyle name="Percent 2 2" xfId="222"/>
    <cellStyle name="Percent 2 3" xfId="223"/>
    <cellStyle name="Percent 2 4" xfId="224"/>
    <cellStyle name="Percent 3" xfId="225"/>
    <cellStyle name="Percent 3 2" xfId="307"/>
    <cellStyle name="Percent 4" xfId="308"/>
    <cellStyle name="Percent 6" xfId="326"/>
    <cellStyle name="PERCENTAGE" xfId="226"/>
    <cellStyle name="posit" xfId="227"/>
    <cellStyle name="Powerpoint Style" xfId="228"/>
    <cellStyle name="PrePop Currency (0)" xfId="229"/>
    <cellStyle name="PrePop Currency (0) 2" xfId="309"/>
    <cellStyle name="PrePop Currency (2)" xfId="230"/>
    <cellStyle name="PrePop Currency (2) 2" xfId="310"/>
    <cellStyle name="PrePop Units (0)" xfId="231"/>
    <cellStyle name="PrePop Units (0) 2" xfId="311"/>
    <cellStyle name="PrePop Units (1)" xfId="232"/>
    <cellStyle name="PrePop Units (1) 2" xfId="312"/>
    <cellStyle name="PrePop Units (2)" xfId="233"/>
    <cellStyle name="PrePop Units (2) 2" xfId="313"/>
    <cellStyle name="SingleTopDoubleBott" xfId="234"/>
    <cellStyle name="Standard_A" xfId="235"/>
    <cellStyle name="Style 1" xfId="236"/>
    <cellStyle name="Style 2" xfId="237"/>
    <cellStyle name="Style 3" xfId="327"/>
    <cellStyle name="Style 4" xfId="328"/>
    <cellStyle name="Text Indent A" xfId="238"/>
    <cellStyle name="Text Indent B" xfId="239"/>
    <cellStyle name="Text Indent B 2" xfId="314"/>
    <cellStyle name="Text Indent C" xfId="240"/>
    <cellStyle name="Text Indent C 2" xfId="315"/>
    <cellStyle name="TextStyle" xfId="241"/>
    <cellStyle name="Tickmark" xfId="242"/>
    <cellStyle name="TimStyle" xfId="243"/>
    <cellStyle name="Total 2" xfId="244"/>
    <cellStyle name="Total 3" xfId="245"/>
    <cellStyle name="Total 4" xfId="246"/>
    <cellStyle name="Underline" xfId="247"/>
    <cellStyle name="UnderlineDouble" xfId="248"/>
    <cellStyle name="Währung [0]_RESULTS" xfId="249"/>
    <cellStyle name="Währung_RESULTS" xfId="250"/>
    <cellStyle name="표준_BINV" xfId="251"/>
    <cellStyle name="標準_99B-05PE_IC2" xfId="2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xmlns:c16="http://schemas.microsoft.com/office/drawing/2014/char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A721-4EFC-AAD3-C4056A0A7B99}"/>
            </c:ext>
          </c:extLst>
        </c:ser>
        <c:dLbls>
          <c:showLegendKey val="0"/>
          <c:showVal val="0"/>
          <c:showCatName val="0"/>
          <c:showSerName val="0"/>
          <c:showPercent val="0"/>
          <c:showBubbleSize val="0"/>
        </c:dLbls>
        <c:smooth val="0"/>
        <c:axId val="-2108109904"/>
        <c:axId val="2143940944"/>
      </c:lineChart>
      <c:catAx>
        <c:axId val="-2108109904"/>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2143940944"/>
        <c:crosses val="autoZero"/>
        <c:auto val="1"/>
        <c:lblAlgn val="ctr"/>
        <c:lblOffset val="100"/>
        <c:tickLblSkip val="7"/>
        <c:noMultiLvlLbl val="1"/>
      </c:catAx>
      <c:valAx>
        <c:axId val="2143940944"/>
        <c:scaling>
          <c:orientation val="minMax"/>
        </c:scaling>
        <c:delete val="0"/>
        <c:axPos val="l"/>
        <c:majorGridlines/>
        <c:numFmt formatCode="0.0\x" sourceLinked="0"/>
        <c:majorTickMark val="out"/>
        <c:minorTickMark val="none"/>
        <c:tickLblPos val="nextTo"/>
        <c:crossAx val="-210810990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xmlns:c16="http://schemas.microsoft.com/office/drawing/2014/char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C4A-4712-9787-47F5870BB50C}"/>
            </c:ext>
          </c:extLst>
        </c:ser>
        <c:dLbls>
          <c:showLegendKey val="0"/>
          <c:showVal val="0"/>
          <c:showCatName val="0"/>
          <c:showSerName val="0"/>
          <c:showPercent val="0"/>
          <c:showBubbleSize val="0"/>
        </c:dLbls>
        <c:smooth val="0"/>
        <c:axId val="-2071871728"/>
        <c:axId val="2112653264"/>
      </c:lineChart>
      <c:catAx>
        <c:axId val="-207187172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2112653264"/>
        <c:crosses val="autoZero"/>
        <c:auto val="1"/>
        <c:lblAlgn val="ctr"/>
        <c:lblOffset val="100"/>
        <c:tickLblSkip val="7"/>
        <c:noMultiLvlLbl val="1"/>
      </c:catAx>
      <c:valAx>
        <c:axId val="2112653264"/>
        <c:scaling>
          <c:orientation val="minMax"/>
        </c:scaling>
        <c:delete val="0"/>
        <c:axPos val="l"/>
        <c:majorGridlines/>
        <c:numFmt formatCode="0.0\x" sourceLinked="0"/>
        <c:majorTickMark val="out"/>
        <c:minorTickMark val="none"/>
        <c:tickLblPos val="nextTo"/>
        <c:crossAx val="-207187172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xmlns:c16="http://schemas.microsoft.com/office/drawing/2014/char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477F-4015-B873-EB220D30F9CA}"/>
            </c:ext>
          </c:extLst>
        </c:ser>
        <c:dLbls>
          <c:showLegendKey val="0"/>
          <c:showVal val="0"/>
          <c:showCatName val="0"/>
          <c:showSerName val="0"/>
          <c:showPercent val="0"/>
          <c:showBubbleSize val="0"/>
        </c:dLbls>
        <c:smooth val="0"/>
        <c:axId val="2143377216"/>
        <c:axId val="-2071863552"/>
      </c:lineChart>
      <c:catAx>
        <c:axId val="2143377216"/>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2071863552"/>
        <c:crosses val="autoZero"/>
        <c:auto val="1"/>
        <c:lblAlgn val="ctr"/>
        <c:lblOffset val="100"/>
        <c:tickLblSkip val="7"/>
        <c:noMultiLvlLbl val="1"/>
      </c:catAx>
      <c:valAx>
        <c:axId val="-2071863552"/>
        <c:scaling>
          <c:orientation val="minMax"/>
        </c:scaling>
        <c:delete val="0"/>
        <c:axPos val="l"/>
        <c:majorGridlines/>
        <c:numFmt formatCode="0.0\x" sourceLinked="0"/>
        <c:majorTickMark val="out"/>
        <c:minorTickMark val="none"/>
        <c:tickLblPos val="nextTo"/>
        <c:crossAx val="2143377216"/>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236802</xdr:colOff>
      <xdr:row>37</xdr:row>
      <xdr:rowOff>0</xdr:rowOff>
    </xdr:from>
    <xdr:to>
      <xdr:col>11</xdr:col>
      <xdr:colOff>718343</xdr:colOff>
      <xdr:row>37</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236802</xdr:colOff>
      <xdr:row>101</xdr:row>
      <xdr:rowOff>0</xdr:rowOff>
    </xdr:from>
    <xdr:to>
      <xdr:col>11</xdr:col>
      <xdr:colOff>718343</xdr:colOff>
      <xdr:row>101</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236802</xdr:colOff>
      <xdr:row>153</xdr:row>
      <xdr:rowOff>0</xdr:rowOff>
    </xdr:from>
    <xdr:to>
      <xdr:col>11</xdr:col>
      <xdr:colOff>718343</xdr:colOff>
      <xdr:row>153</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wner\Documents\Articles%20(10-8-2015)\Apple\Apple%20Model%209-3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rnings Model"/>
      <sheetName val="BOTE"/>
      <sheetName val="Estimates by Analyst"/>
      <sheetName val="After Earnings"/>
      <sheetName val="Charts"/>
      <sheetName val="Terms of Use"/>
    </sheetNames>
    <sheetDataSet>
      <sheetData sheetId="0"/>
      <sheetData sheetId="1"/>
      <sheetData sheetId="2">
        <row r="6">
          <cell r="B6" t="str">
            <v>Raymond James</v>
          </cell>
          <cell r="C6" t="str">
            <v>TAVIS C MCCOURT</v>
          </cell>
          <cell r="D6" t="str">
            <v>market perform</v>
          </cell>
          <cell r="E6">
            <v>42209</v>
          </cell>
          <cell r="F6">
            <v>0</v>
          </cell>
          <cell r="G6">
            <v>14314</v>
          </cell>
          <cell r="H6">
            <v>10550</v>
          </cell>
          <cell r="I6">
            <v>50163</v>
          </cell>
          <cell r="J6">
            <v>13914</v>
          </cell>
          <cell r="K6">
            <v>1.84</v>
          </cell>
          <cell r="L6">
            <v>33.299999999999997</v>
          </cell>
          <cell r="M6">
            <v>-146185</v>
          </cell>
        </row>
        <row r="7">
          <cell r="B7" t="str">
            <v>Exane BNP Paribas</v>
          </cell>
          <cell r="C7" t="str">
            <v>ALEXANDER PETERC</v>
          </cell>
          <cell r="D7" t="str">
            <v>outperform</v>
          </cell>
          <cell r="E7">
            <v>42209</v>
          </cell>
          <cell r="F7">
            <v>150</v>
          </cell>
          <cell r="G7">
            <v>0</v>
          </cell>
          <cell r="H7">
            <v>0</v>
          </cell>
          <cell r="I7">
            <v>0</v>
          </cell>
          <cell r="J7">
            <v>0</v>
          </cell>
          <cell r="K7">
            <v>0</v>
          </cell>
          <cell r="L7">
            <v>0</v>
          </cell>
          <cell r="M7">
            <v>0</v>
          </cell>
        </row>
        <row r="8">
          <cell r="B8" t="str">
            <v>Morgan Stanley</v>
          </cell>
          <cell r="C8" t="str">
            <v>KATHRYN HUBERTY</v>
          </cell>
          <cell r="D8" t="str">
            <v>Overwt/Cautious</v>
          </cell>
          <cell r="E8">
            <v>42208</v>
          </cell>
          <cell r="F8">
            <v>155</v>
          </cell>
          <cell r="G8">
            <v>0</v>
          </cell>
          <cell r="H8">
            <v>0</v>
          </cell>
          <cell r="I8">
            <v>0</v>
          </cell>
          <cell r="J8">
            <v>0</v>
          </cell>
          <cell r="K8">
            <v>0</v>
          </cell>
          <cell r="L8">
            <v>0</v>
          </cell>
          <cell r="M8">
            <v>0</v>
          </cell>
        </row>
        <row r="9">
          <cell r="B9" t="str">
            <v>BMO Capital Markets</v>
          </cell>
          <cell r="C9" t="str">
            <v>KEITH F BACHMAN</v>
          </cell>
          <cell r="D9" t="str">
            <v>outperform</v>
          </cell>
          <cell r="E9">
            <v>42207</v>
          </cell>
          <cell r="F9">
            <v>145</v>
          </cell>
          <cell r="G9">
            <v>0</v>
          </cell>
          <cell r="H9">
            <v>0</v>
          </cell>
          <cell r="I9">
            <v>0</v>
          </cell>
          <cell r="J9">
            <v>0</v>
          </cell>
          <cell r="K9">
            <v>0</v>
          </cell>
          <cell r="L9">
            <v>0</v>
          </cell>
          <cell r="M9">
            <v>0</v>
          </cell>
        </row>
        <row r="10">
          <cell r="B10" t="str">
            <v>Societe Generale</v>
          </cell>
          <cell r="C10" t="str">
            <v>ANDY PERKINS</v>
          </cell>
          <cell r="D10" t="str">
            <v>buy</v>
          </cell>
          <cell r="E10">
            <v>42207</v>
          </cell>
          <cell r="F10">
            <v>140</v>
          </cell>
          <cell r="G10">
            <v>14395</v>
          </cell>
          <cell r="H10">
            <v>10652</v>
          </cell>
          <cell r="I10">
            <v>49101</v>
          </cell>
          <cell r="J10">
            <v>0</v>
          </cell>
          <cell r="K10">
            <v>1.87</v>
          </cell>
          <cell r="L10">
            <v>0</v>
          </cell>
          <cell r="M10">
            <v>0</v>
          </cell>
        </row>
        <row r="11">
          <cell r="B11" t="str">
            <v>ABG Sundal Collier</v>
          </cell>
          <cell r="C11" t="str">
            <v>PER LINDBERG</v>
          </cell>
          <cell r="D11" t="str">
            <v>sell</v>
          </cell>
          <cell r="E11">
            <v>42207</v>
          </cell>
          <cell r="F11">
            <v>65</v>
          </cell>
          <cell r="G11">
            <v>0</v>
          </cell>
          <cell r="H11">
            <v>0</v>
          </cell>
          <cell r="I11">
            <v>0</v>
          </cell>
          <cell r="J11">
            <v>0</v>
          </cell>
          <cell r="K11">
            <v>0</v>
          </cell>
          <cell r="L11">
            <v>0</v>
          </cell>
          <cell r="M11">
            <v>0</v>
          </cell>
        </row>
        <row r="12">
          <cell r="B12" t="str">
            <v>RBC Capital Markets</v>
          </cell>
          <cell r="C12" t="str">
            <v>AMIT DARYANANI</v>
          </cell>
          <cell r="D12" t="str">
            <v>outperform</v>
          </cell>
          <cell r="E12">
            <v>42207</v>
          </cell>
          <cell r="F12">
            <v>150</v>
          </cell>
          <cell r="G12">
            <v>0</v>
          </cell>
          <cell r="H12">
            <v>0</v>
          </cell>
          <cell r="I12">
            <v>0</v>
          </cell>
          <cell r="J12">
            <v>0</v>
          </cell>
          <cell r="K12">
            <v>0</v>
          </cell>
          <cell r="L12">
            <v>0</v>
          </cell>
          <cell r="M12">
            <v>0</v>
          </cell>
        </row>
        <row r="13">
          <cell r="B13" t="str">
            <v>Argus Research Corp</v>
          </cell>
          <cell r="C13" t="str">
            <v>JAMES KELLEHER</v>
          </cell>
          <cell r="D13" t="str">
            <v>buy</v>
          </cell>
          <cell r="E13">
            <v>42207</v>
          </cell>
          <cell r="F13">
            <v>145</v>
          </cell>
          <cell r="G13">
            <v>0</v>
          </cell>
          <cell r="H13">
            <v>0</v>
          </cell>
          <cell r="I13">
            <v>51300</v>
          </cell>
          <cell r="J13">
            <v>0</v>
          </cell>
          <cell r="K13">
            <v>1.81</v>
          </cell>
          <cell r="L13">
            <v>0</v>
          </cell>
          <cell r="M13">
            <v>0</v>
          </cell>
        </row>
        <row r="14">
          <cell r="B14" t="str">
            <v>Brean Capital LLC</v>
          </cell>
          <cell r="C14" t="str">
            <v>ANANDA BARUAH</v>
          </cell>
          <cell r="D14" t="str">
            <v>buy</v>
          </cell>
          <cell r="E14">
            <v>42207</v>
          </cell>
          <cell r="F14">
            <v>170</v>
          </cell>
          <cell r="G14">
            <v>14482</v>
          </cell>
          <cell r="H14">
            <v>10934</v>
          </cell>
          <cell r="I14">
            <v>51300</v>
          </cell>
          <cell r="J14">
            <v>0</v>
          </cell>
          <cell r="K14">
            <v>1.91</v>
          </cell>
          <cell r="L14">
            <v>0</v>
          </cell>
          <cell r="M14">
            <v>0</v>
          </cell>
        </row>
        <row r="15">
          <cell r="B15" t="str">
            <v>Credit Suisse</v>
          </cell>
          <cell r="C15" t="str">
            <v>KULBINDER GARCHA</v>
          </cell>
          <cell r="D15" t="str">
            <v>outperform</v>
          </cell>
          <cell r="E15">
            <v>42207</v>
          </cell>
          <cell r="F15">
            <v>145</v>
          </cell>
          <cell r="G15">
            <v>0</v>
          </cell>
          <cell r="H15">
            <v>0</v>
          </cell>
          <cell r="I15">
            <v>0</v>
          </cell>
          <cell r="J15">
            <v>0</v>
          </cell>
          <cell r="K15">
            <v>0</v>
          </cell>
          <cell r="L15">
            <v>0</v>
          </cell>
          <cell r="M15">
            <v>0</v>
          </cell>
        </row>
        <row r="16">
          <cell r="B16" t="str">
            <v>Hilliard Lyons</v>
          </cell>
          <cell r="C16" t="str">
            <v>STEPHEN TURNER</v>
          </cell>
          <cell r="D16" t="str">
            <v>long-term buy</v>
          </cell>
          <cell r="E16">
            <v>42207</v>
          </cell>
          <cell r="F16">
            <v>154</v>
          </cell>
          <cell r="G16">
            <v>14643</v>
          </cell>
          <cell r="H16">
            <v>10792</v>
          </cell>
          <cell r="I16">
            <v>51383</v>
          </cell>
          <cell r="J16">
            <v>0</v>
          </cell>
          <cell r="K16">
            <v>1.9</v>
          </cell>
          <cell r="L16">
            <v>0</v>
          </cell>
          <cell r="M16">
            <v>0</v>
          </cell>
        </row>
        <row r="17">
          <cell r="B17" t="str">
            <v>JPMorgan</v>
          </cell>
          <cell r="C17" t="str">
            <v>ROD HALL</v>
          </cell>
          <cell r="D17" t="str">
            <v>overweight</v>
          </cell>
          <cell r="E17">
            <v>42207</v>
          </cell>
          <cell r="F17">
            <v>145</v>
          </cell>
          <cell r="G17">
            <v>0</v>
          </cell>
          <cell r="H17">
            <v>0</v>
          </cell>
          <cell r="I17">
            <v>0</v>
          </cell>
          <cell r="J17">
            <v>0</v>
          </cell>
          <cell r="K17">
            <v>0</v>
          </cell>
          <cell r="L17">
            <v>0</v>
          </cell>
          <cell r="M17">
            <v>0</v>
          </cell>
        </row>
        <row r="18">
          <cell r="B18" t="str">
            <v>Jefferies</v>
          </cell>
          <cell r="C18" t="str">
            <v>SUNDEEP BAJIKAR</v>
          </cell>
          <cell r="D18" t="str">
            <v>hold</v>
          </cell>
          <cell r="E18">
            <v>42207</v>
          </cell>
          <cell r="F18">
            <v>135</v>
          </cell>
          <cell r="G18">
            <v>14046</v>
          </cell>
          <cell r="H18">
            <v>10352</v>
          </cell>
          <cell r="I18">
            <v>50185</v>
          </cell>
          <cell r="J18">
            <v>13816</v>
          </cell>
          <cell r="K18">
            <v>1.81</v>
          </cell>
          <cell r="L18">
            <v>0</v>
          </cell>
          <cell r="M18">
            <v>0</v>
          </cell>
        </row>
        <row r="19">
          <cell r="B19" t="str">
            <v>Robert W. Baird &amp; Co</v>
          </cell>
          <cell r="C19" t="str">
            <v>WILLIAM V POWER</v>
          </cell>
          <cell r="D19" t="str">
            <v>outperform</v>
          </cell>
          <cell r="E19">
            <v>42207</v>
          </cell>
          <cell r="F19">
            <v>155</v>
          </cell>
          <cell r="G19">
            <v>0</v>
          </cell>
          <cell r="H19">
            <v>0</v>
          </cell>
          <cell r="I19">
            <v>0</v>
          </cell>
          <cell r="J19">
            <v>0</v>
          </cell>
          <cell r="K19">
            <v>0</v>
          </cell>
          <cell r="L19">
            <v>0</v>
          </cell>
          <cell r="M19">
            <v>0</v>
          </cell>
        </row>
        <row r="20">
          <cell r="B20" t="str">
            <v>FBR Capital Markets</v>
          </cell>
          <cell r="C20" t="str">
            <v>DANIEL H IVES</v>
          </cell>
          <cell r="D20" t="str">
            <v>outperform</v>
          </cell>
          <cell r="E20">
            <v>42207</v>
          </cell>
          <cell r="F20">
            <v>175</v>
          </cell>
          <cell r="G20">
            <v>14400</v>
          </cell>
          <cell r="H20">
            <v>10400</v>
          </cell>
          <cell r="I20">
            <v>50900</v>
          </cell>
          <cell r="J20">
            <v>0</v>
          </cell>
          <cell r="K20">
            <v>1.89</v>
          </cell>
          <cell r="L20">
            <v>0</v>
          </cell>
          <cell r="M20">
            <v>0</v>
          </cell>
        </row>
        <row r="21">
          <cell r="B21" t="str">
            <v>Macquarie</v>
          </cell>
          <cell r="C21" t="str">
            <v>BENJAMIN A SCHACHTER</v>
          </cell>
          <cell r="D21" t="str">
            <v>outperform</v>
          </cell>
          <cell r="E21">
            <v>42207</v>
          </cell>
          <cell r="F21">
            <v>140</v>
          </cell>
          <cell r="G21">
            <v>0</v>
          </cell>
          <cell r="H21">
            <v>0</v>
          </cell>
          <cell r="I21">
            <v>0</v>
          </cell>
          <cell r="J21">
            <v>0</v>
          </cell>
          <cell r="K21">
            <v>0</v>
          </cell>
          <cell r="L21">
            <v>0</v>
          </cell>
          <cell r="M21">
            <v>0</v>
          </cell>
        </row>
        <row r="22">
          <cell r="B22" t="str">
            <v>Cantor Fitzgerald</v>
          </cell>
          <cell r="C22" t="str">
            <v>BRIAN J WHITE</v>
          </cell>
          <cell r="D22" t="str">
            <v>buy</v>
          </cell>
          <cell r="E22">
            <v>42207</v>
          </cell>
          <cell r="F22">
            <v>195</v>
          </cell>
          <cell r="G22">
            <v>0</v>
          </cell>
          <cell r="H22">
            <v>0</v>
          </cell>
          <cell r="I22">
            <v>0</v>
          </cell>
          <cell r="J22">
            <v>0</v>
          </cell>
          <cell r="K22">
            <v>0</v>
          </cell>
          <cell r="L22">
            <v>0</v>
          </cell>
          <cell r="M22">
            <v>0</v>
          </cell>
        </row>
        <row r="23">
          <cell r="B23" t="str">
            <v>Stifel</v>
          </cell>
          <cell r="C23" t="str">
            <v>AARON C RAKERS</v>
          </cell>
          <cell r="D23" t="str">
            <v>buy</v>
          </cell>
          <cell r="E23">
            <v>42207</v>
          </cell>
          <cell r="F23">
            <v>150</v>
          </cell>
          <cell r="G23">
            <v>14315</v>
          </cell>
          <cell r="H23">
            <v>10550</v>
          </cell>
          <cell r="I23">
            <v>50235</v>
          </cell>
          <cell r="J23">
            <v>13915</v>
          </cell>
          <cell r="K23">
            <v>1.85</v>
          </cell>
          <cell r="L23">
            <v>0</v>
          </cell>
          <cell r="M23">
            <v>0</v>
          </cell>
        </row>
        <row r="24">
          <cell r="B24" t="str">
            <v>Berenberg</v>
          </cell>
          <cell r="C24" t="str">
            <v>ADNAAN AHMAD</v>
          </cell>
          <cell r="D24" t="str">
            <v>sell</v>
          </cell>
          <cell r="E24">
            <v>42207</v>
          </cell>
          <cell r="F24">
            <v>85</v>
          </cell>
          <cell r="G24">
            <v>0</v>
          </cell>
          <cell r="H24">
            <v>0</v>
          </cell>
          <cell r="I24">
            <v>0</v>
          </cell>
          <cell r="J24">
            <v>0</v>
          </cell>
          <cell r="K24">
            <v>0</v>
          </cell>
          <cell r="L24">
            <v>0</v>
          </cell>
          <cell r="M24">
            <v>0</v>
          </cell>
        </row>
        <row r="25">
          <cell r="B25" t="str">
            <v>Oppenheimer &amp; Co</v>
          </cell>
          <cell r="C25" t="str">
            <v>ANDREW UERKWITZ</v>
          </cell>
          <cell r="D25" t="str">
            <v>outperform</v>
          </cell>
          <cell r="E25">
            <v>42207</v>
          </cell>
          <cell r="F25">
            <v>155</v>
          </cell>
          <cell r="G25">
            <v>14469</v>
          </cell>
          <cell r="H25">
            <v>11600</v>
          </cell>
          <cell r="I25">
            <v>51071</v>
          </cell>
          <cell r="J25">
            <v>0</v>
          </cell>
          <cell r="K25">
            <v>2.0299999999999998</v>
          </cell>
          <cell r="L25">
            <v>33.9</v>
          </cell>
          <cell r="M25">
            <v>0</v>
          </cell>
        </row>
        <row r="26">
          <cell r="B26" t="str">
            <v>Wells Fargo Securities</v>
          </cell>
          <cell r="C26" t="str">
            <v>MAYNARD UM</v>
          </cell>
          <cell r="D26" t="str">
            <v>market perform</v>
          </cell>
          <cell r="E26">
            <v>42207</v>
          </cell>
          <cell r="F26">
            <v>0</v>
          </cell>
          <cell r="G26">
            <v>0</v>
          </cell>
          <cell r="H26">
            <v>0</v>
          </cell>
          <cell r="I26">
            <v>0</v>
          </cell>
          <cell r="J26">
            <v>0</v>
          </cell>
          <cell r="K26">
            <v>0</v>
          </cell>
          <cell r="L26">
            <v>0</v>
          </cell>
          <cell r="M26">
            <v>0</v>
          </cell>
        </row>
        <row r="27">
          <cell r="B27" t="str">
            <v>Cowen and Company</v>
          </cell>
          <cell r="C27" t="str">
            <v>TIMOTHY M ARCURI</v>
          </cell>
          <cell r="D27" t="str">
            <v>market perform</v>
          </cell>
          <cell r="E27">
            <v>42207</v>
          </cell>
          <cell r="F27">
            <v>130</v>
          </cell>
          <cell r="G27">
            <v>0</v>
          </cell>
          <cell r="H27">
            <v>0</v>
          </cell>
          <cell r="I27">
            <v>0</v>
          </cell>
          <cell r="J27">
            <v>0</v>
          </cell>
          <cell r="K27">
            <v>0</v>
          </cell>
          <cell r="L27">
            <v>0</v>
          </cell>
          <cell r="M27">
            <v>0</v>
          </cell>
        </row>
        <row r="28">
          <cell r="B28" t="str">
            <v>JMP Securities</v>
          </cell>
          <cell r="C28" t="str">
            <v>ALEX GAUNA</v>
          </cell>
          <cell r="D28" t="str">
            <v>market outperform</v>
          </cell>
          <cell r="E28">
            <v>42207</v>
          </cell>
          <cell r="F28">
            <v>150</v>
          </cell>
          <cell r="G28">
            <v>0</v>
          </cell>
          <cell r="H28">
            <v>0</v>
          </cell>
          <cell r="I28">
            <v>0</v>
          </cell>
          <cell r="J28">
            <v>0</v>
          </cell>
          <cell r="K28">
            <v>0</v>
          </cell>
          <cell r="L28">
            <v>0</v>
          </cell>
          <cell r="M28">
            <v>0</v>
          </cell>
        </row>
        <row r="29">
          <cell r="B29" t="str">
            <v>Maxim Group LLC</v>
          </cell>
          <cell r="C29" t="str">
            <v>NEHAL CHOKSHI</v>
          </cell>
          <cell r="D29" t="str">
            <v>hold</v>
          </cell>
          <cell r="E29">
            <v>42207</v>
          </cell>
          <cell r="F29">
            <v>144</v>
          </cell>
          <cell r="G29">
            <v>13770</v>
          </cell>
          <cell r="H29">
            <v>10158</v>
          </cell>
          <cell r="I29">
            <v>50070</v>
          </cell>
          <cell r="J29">
            <v>13459</v>
          </cell>
          <cell r="K29">
            <v>1.77</v>
          </cell>
          <cell r="L29">
            <v>0</v>
          </cell>
          <cell r="M29">
            <v>-142758</v>
          </cell>
        </row>
        <row r="30">
          <cell r="B30" t="str">
            <v>Susquehanna Financial Group</v>
          </cell>
          <cell r="C30" t="str">
            <v>CHRISTOPHER CASO</v>
          </cell>
          <cell r="D30" t="str">
            <v>Positive</v>
          </cell>
          <cell r="E30">
            <v>42207</v>
          </cell>
          <cell r="F30">
            <v>155</v>
          </cell>
          <cell r="G30">
            <v>14056</v>
          </cell>
          <cell r="H30">
            <v>10366</v>
          </cell>
          <cell r="I30">
            <v>50087</v>
          </cell>
          <cell r="J30">
            <v>0</v>
          </cell>
          <cell r="K30">
            <v>1.8</v>
          </cell>
          <cell r="L30">
            <v>0</v>
          </cell>
          <cell r="M30">
            <v>0</v>
          </cell>
        </row>
        <row r="31">
          <cell r="B31" t="str">
            <v>Atlantic Equities LLP</v>
          </cell>
          <cell r="C31" t="str">
            <v>JAMES CORDWELL</v>
          </cell>
          <cell r="D31" t="str">
            <v>overweight</v>
          </cell>
          <cell r="E31">
            <v>42207</v>
          </cell>
          <cell r="F31">
            <v>150</v>
          </cell>
          <cell r="G31">
            <v>14523</v>
          </cell>
          <cell r="H31">
            <v>10704</v>
          </cell>
          <cell r="I31">
            <v>51212</v>
          </cell>
          <cell r="J31">
            <v>0</v>
          </cell>
          <cell r="K31">
            <v>1.87</v>
          </cell>
          <cell r="L31">
            <v>0</v>
          </cell>
          <cell r="M31">
            <v>0</v>
          </cell>
        </row>
        <row r="32">
          <cell r="B32" t="str">
            <v>Cross Research</v>
          </cell>
          <cell r="C32" t="str">
            <v>SHANNON S CROSS</v>
          </cell>
          <cell r="D32" t="str">
            <v>buy</v>
          </cell>
          <cell r="E32">
            <v>42207</v>
          </cell>
          <cell r="F32">
            <v>150</v>
          </cell>
          <cell r="G32">
            <v>14485</v>
          </cell>
          <cell r="H32">
            <v>10647</v>
          </cell>
          <cell r="I32">
            <v>50514</v>
          </cell>
          <cell r="J32">
            <v>0</v>
          </cell>
          <cell r="K32">
            <v>1.86</v>
          </cell>
          <cell r="L32">
            <v>0</v>
          </cell>
          <cell r="M32">
            <v>0</v>
          </cell>
        </row>
        <row r="33">
          <cell r="B33" t="str">
            <v>Piper Jaffray</v>
          </cell>
          <cell r="C33" t="str">
            <v>EUGENE E MUNSTER</v>
          </cell>
          <cell r="D33" t="str">
            <v>overweight</v>
          </cell>
          <cell r="E33">
            <v>42207</v>
          </cell>
          <cell r="F33">
            <v>172</v>
          </cell>
          <cell r="G33">
            <v>0</v>
          </cell>
          <cell r="H33">
            <v>0</v>
          </cell>
          <cell r="I33">
            <v>0</v>
          </cell>
          <cell r="J33">
            <v>0</v>
          </cell>
          <cell r="K33">
            <v>0</v>
          </cell>
          <cell r="L33">
            <v>0</v>
          </cell>
          <cell r="M33">
            <v>0</v>
          </cell>
        </row>
        <row r="34">
          <cell r="B34" t="str">
            <v>FBN Securities</v>
          </cell>
          <cell r="C34" t="str">
            <v>SHEBLY SEYRAFI</v>
          </cell>
          <cell r="D34" t="str">
            <v>outperform</v>
          </cell>
          <cell r="E34">
            <v>42207</v>
          </cell>
          <cell r="F34">
            <v>150</v>
          </cell>
          <cell r="G34">
            <v>14745</v>
          </cell>
          <cell r="H34">
            <v>10867</v>
          </cell>
          <cell r="I34">
            <v>51554</v>
          </cell>
          <cell r="J34">
            <v>0</v>
          </cell>
          <cell r="K34">
            <v>1.9</v>
          </cell>
          <cell r="L34">
            <v>29.2</v>
          </cell>
          <cell r="M34">
            <v>-160538</v>
          </cell>
        </row>
        <row r="35">
          <cell r="B35" t="str">
            <v>Pacific Crest Securities</v>
          </cell>
          <cell r="C35" t="str">
            <v>ANDY HARGREAVES</v>
          </cell>
          <cell r="D35" t="str">
            <v>sector weight</v>
          </cell>
          <cell r="E35">
            <v>42206</v>
          </cell>
          <cell r="F35">
            <v>0</v>
          </cell>
          <cell r="G35">
            <v>0</v>
          </cell>
          <cell r="H35">
            <v>0</v>
          </cell>
          <cell r="I35">
            <v>0</v>
          </cell>
          <cell r="J35">
            <v>0</v>
          </cell>
          <cell r="K35">
            <v>0</v>
          </cell>
          <cell r="L35">
            <v>0</v>
          </cell>
          <cell r="M35">
            <v>0</v>
          </cell>
        </row>
        <row r="36">
          <cell r="B36" t="str">
            <v>William Blair &amp; Co</v>
          </cell>
          <cell r="C36" t="str">
            <v>ANIL K DORADLA</v>
          </cell>
          <cell r="D36" t="str">
            <v>outperform</v>
          </cell>
          <cell r="E36">
            <v>42206</v>
          </cell>
          <cell r="F36">
            <v>0</v>
          </cell>
          <cell r="G36">
            <v>14190</v>
          </cell>
          <cell r="H36">
            <v>10458</v>
          </cell>
          <cell r="I36">
            <v>50511</v>
          </cell>
          <cell r="J36">
            <v>0</v>
          </cell>
          <cell r="K36">
            <v>1.82</v>
          </cell>
          <cell r="L36">
            <v>0</v>
          </cell>
          <cell r="M36">
            <v>0</v>
          </cell>
        </row>
        <row r="37">
          <cell r="B37" t="str">
            <v>Canaccord Genuity Corp</v>
          </cell>
          <cell r="C37" t="str">
            <v>T MICHAEL WALKLEY</v>
          </cell>
          <cell r="D37" t="str">
            <v>buy</v>
          </cell>
          <cell r="E37">
            <v>42206</v>
          </cell>
          <cell r="F37">
            <v>155</v>
          </cell>
          <cell r="G37">
            <v>0</v>
          </cell>
          <cell r="H37">
            <v>0</v>
          </cell>
          <cell r="I37">
            <v>0</v>
          </cell>
          <cell r="J37">
            <v>0</v>
          </cell>
          <cell r="K37">
            <v>0</v>
          </cell>
          <cell r="L37">
            <v>0</v>
          </cell>
          <cell r="M37">
            <v>0</v>
          </cell>
        </row>
        <row r="38">
          <cell r="B38" t="str">
            <v>BGC Partners</v>
          </cell>
          <cell r="C38" t="str">
            <v>COLIN W GILLIS</v>
          </cell>
          <cell r="D38" t="str">
            <v>hold</v>
          </cell>
          <cell r="E38">
            <v>42206</v>
          </cell>
          <cell r="F38">
            <v>115</v>
          </cell>
          <cell r="G38">
            <v>14341</v>
          </cell>
          <cell r="H38">
            <v>10584</v>
          </cell>
          <cell r="I38">
            <v>51811</v>
          </cell>
          <cell r="J38">
            <v>0</v>
          </cell>
          <cell r="K38">
            <v>1.84</v>
          </cell>
          <cell r="L38">
            <v>0</v>
          </cell>
          <cell r="M38">
            <v>0</v>
          </cell>
        </row>
        <row r="39">
          <cell r="B39" t="str">
            <v>BTIG LLC</v>
          </cell>
          <cell r="C39" t="str">
            <v>WALTER P PIECYK JR</v>
          </cell>
          <cell r="D39" t="str">
            <v>buy</v>
          </cell>
          <cell r="E39">
            <v>42206</v>
          </cell>
          <cell r="F39">
            <v>160</v>
          </cell>
          <cell r="G39">
            <v>14761</v>
          </cell>
          <cell r="H39">
            <v>10879</v>
          </cell>
          <cell r="I39">
            <v>51168</v>
          </cell>
          <cell r="J39">
            <v>0</v>
          </cell>
          <cell r="K39">
            <v>1.92</v>
          </cell>
          <cell r="L39">
            <v>0</v>
          </cell>
          <cell r="M39">
            <v>-145107</v>
          </cell>
        </row>
        <row r="40">
          <cell r="B40" t="str">
            <v>Edward Jones</v>
          </cell>
          <cell r="C40" t="str">
            <v>WILLIAM C KREHER</v>
          </cell>
          <cell r="D40" t="str">
            <v>hold</v>
          </cell>
          <cell r="E40">
            <v>42179</v>
          </cell>
          <cell r="F40">
            <v>0</v>
          </cell>
          <cell r="G40">
            <v>0</v>
          </cell>
          <cell r="H40">
            <v>0</v>
          </cell>
          <cell r="I40">
            <v>0</v>
          </cell>
          <cell r="J40">
            <v>0</v>
          </cell>
          <cell r="K40">
            <v>0</v>
          </cell>
          <cell r="L40">
            <v>0</v>
          </cell>
          <cell r="M40">
            <v>0</v>
          </cell>
        </row>
        <row r="41">
          <cell r="B41" t="str">
            <v>EVA Dimensions</v>
          </cell>
          <cell r="C41" t="str">
            <v>AUSTIN BURKETT</v>
          </cell>
          <cell r="D41" t="str">
            <v>hold</v>
          </cell>
          <cell r="E41">
            <v>42160</v>
          </cell>
          <cell r="F41">
            <v>0</v>
          </cell>
          <cell r="G41">
            <v>0</v>
          </cell>
          <cell r="H41">
            <v>0</v>
          </cell>
          <cell r="I41">
            <v>0</v>
          </cell>
          <cell r="J41">
            <v>0</v>
          </cell>
          <cell r="K41">
            <v>0</v>
          </cell>
          <cell r="L41">
            <v>0</v>
          </cell>
          <cell r="M41">
            <v>0</v>
          </cell>
        </row>
        <row r="42">
          <cell r="B42" t="str">
            <v>Ameriprise Advisor Services, Inc</v>
          </cell>
          <cell r="C42" t="str">
            <v>JUSTIN H BURGIN</v>
          </cell>
          <cell r="D42" t="str">
            <v>buy</v>
          </cell>
          <cell r="E42">
            <v>42131</v>
          </cell>
          <cell r="F42">
            <v>0</v>
          </cell>
          <cell r="G42">
            <v>0</v>
          </cell>
          <cell r="H42">
            <v>0</v>
          </cell>
          <cell r="I42">
            <v>0</v>
          </cell>
          <cell r="J42">
            <v>0</v>
          </cell>
          <cell r="K42">
            <v>0</v>
          </cell>
          <cell r="L42">
            <v>0</v>
          </cell>
          <cell r="M42">
            <v>0</v>
          </cell>
        </row>
        <row r="43">
          <cell r="B43" t="str">
            <v>Daiwa Securities Co. Ltd.</v>
          </cell>
          <cell r="C43" t="str">
            <v>YOKO YAMADA</v>
          </cell>
          <cell r="D43" t="str">
            <v>outperform</v>
          </cell>
          <cell r="E43">
            <v>42125</v>
          </cell>
          <cell r="F43">
            <v>137</v>
          </cell>
          <cell r="G43">
            <v>0</v>
          </cell>
          <cell r="H43">
            <v>0</v>
          </cell>
          <cell r="I43">
            <v>0</v>
          </cell>
          <cell r="J43">
            <v>0</v>
          </cell>
          <cell r="K43">
            <v>0</v>
          </cell>
          <cell r="L43">
            <v>0</v>
          </cell>
          <cell r="M43">
            <v>0</v>
          </cell>
        </row>
        <row r="44">
          <cell r="B44" t="str">
            <v>First Shanghai Securities Ltd</v>
          </cell>
          <cell r="C44" t="str">
            <v>TSOI HO</v>
          </cell>
          <cell r="D44" t="str">
            <v>buy</v>
          </cell>
          <cell r="E44">
            <v>42124</v>
          </cell>
          <cell r="F44">
            <v>165</v>
          </cell>
          <cell r="G44">
            <v>0</v>
          </cell>
          <cell r="H44">
            <v>0</v>
          </cell>
          <cell r="I44">
            <v>0</v>
          </cell>
          <cell r="J44">
            <v>0</v>
          </cell>
          <cell r="K44">
            <v>0</v>
          </cell>
          <cell r="L44">
            <v>0</v>
          </cell>
          <cell r="M44">
            <v>0</v>
          </cell>
        </row>
        <row r="45">
          <cell r="B45" t="str">
            <v>Goldman Sachs</v>
          </cell>
          <cell r="C45" t="str">
            <v>BILL SHOPE</v>
          </cell>
          <cell r="D45" t="str">
            <v>Buy/Cautious</v>
          </cell>
          <cell r="E45">
            <v>42122</v>
          </cell>
          <cell r="F45">
            <v>163</v>
          </cell>
          <cell r="G45">
            <v>0</v>
          </cell>
          <cell r="H45">
            <v>0</v>
          </cell>
          <cell r="I45">
            <v>0</v>
          </cell>
          <cell r="J45">
            <v>0</v>
          </cell>
          <cell r="K45">
            <v>0</v>
          </cell>
          <cell r="L45">
            <v>0</v>
          </cell>
          <cell r="M45">
            <v>0</v>
          </cell>
        </row>
        <row r="46">
          <cell r="B46" t="str">
            <v>Hamburger Sparkasse</v>
          </cell>
          <cell r="C46" t="str">
            <v>MARCO GUENTHER</v>
          </cell>
          <cell r="D46" t="str">
            <v>neutral</v>
          </cell>
          <cell r="E46">
            <v>42122</v>
          </cell>
          <cell r="F46">
            <v>0</v>
          </cell>
          <cell r="G46">
            <v>0</v>
          </cell>
          <cell r="H46">
            <v>0</v>
          </cell>
          <cell r="I46">
            <v>0</v>
          </cell>
          <cell r="J46">
            <v>0</v>
          </cell>
          <cell r="K46">
            <v>0</v>
          </cell>
          <cell r="L46">
            <v>0</v>
          </cell>
          <cell r="M46">
            <v>0</v>
          </cell>
        </row>
        <row r="47">
          <cell r="B47" t="str">
            <v>UBS</v>
          </cell>
          <cell r="C47" t="str">
            <v>STEVEN M MILUNOVICH</v>
          </cell>
          <cell r="D47" t="str">
            <v>buy</v>
          </cell>
          <cell r="E47">
            <v>42048</v>
          </cell>
          <cell r="F47">
            <v>150</v>
          </cell>
          <cell r="G47">
            <v>0</v>
          </cell>
          <cell r="H47">
            <v>0</v>
          </cell>
          <cell r="I47">
            <v>0</v>
          </cell>
          <cell r="J47">
            <v>0</v>
          </cell>
          <cell r="K47">
            <v>0</v>
          </cell>
          <cell r="L47">
            <v>0</v>
          </cell>
          <cell r="M47">
            <v>0</v>
          </cell>
        </row>
        <row r="48">
          <cell r="B48" t="str">
            <v>Accountability Research Corp</v>
          </cell>
          <cell r="C48" t="str">
            <v>KEVIN CHU</v>
          </cell>
          <cell r="D48" t="str">
            <v>buy</v>
          </cell>
          <cell r="E48">
            <v>42040</v>
          </cell>
          <cell r="F48">
            <v>139</v>
          </cell>
          <cell r="G48">
            <v>0</v>
          </cell>
          <cell r="H48">
            <v>0</v>
          </cell>
          <cell r="I48">
            <v>0</v>
          </cell>
          <cell r="J48">
            <v>0</v>
          </cell>
          <cell r="K48">
            <v>0</v>
          </cell>
          <cell r="L48">
            <v>0</v>
          </cell>
          <cell r="M48">
            <v>0</v>
          </cell>
        </row>
        <row r="49">
          <cell r="B49" t="str">
            <v>Scotia Capital</v>
          </cell>
          <cell r="C49" t="str">
            <v>DANIEL CHAN</v>
          </cell>
          <cell r="D49" t="str">
            <v>suspended coverage</v>
          </cell>
          <cell r="E49">
            <v>41913</v>
          </cell>
          <cell r="F49">
            <v>0</v>
          </cell>
          <cell r="G49">
            <v>0</v>
          </cell>
          <cell r="H49">
            <v>0</v>
          </cell>
          <cell r="I49">
            <v>0</v>
          </cell>
          <cell r="J49">
            <v>0</v>
          </cell>
          <cell r="K49">
            <v>1.57</v>
          </cell>
          <cell r="L49">
            <v>0</v>
          </cell>
          <cell r="M49">
            <v>0</v>
          </cell>
        </row>
        <row r="50">
          <cell r="B50" t="str">
            <v>Erste Group</v>
          </cell>
          <cell r="C50" t="str">
            <v>HANS ENGEL</v>
          </cell>
          <cell r="D50" t="str">
            <v>buy</v>
          </cell>
          <cell r="E50">
            <v>41842</v>
          </cell>
          <cell r="F50">
            <v>0</v>
          </cell>
          <cell r="G50">
            <v>0</v>
          </cell>
          <cell r="H50">
            <v>0</v>
          </cell>
          <cell r="I50">
            <v>0</v>
          </cell>
          <cell r="J50">
            <v>0</v>
          </cell>
          <cell r="K50">
            <v>0</v>
          </cell>
          <cell r="L50">
            <v>0</v>
          </cell>
          <cell r="M50">
            <v>0</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42"/>
  <sheetViews>
    <sheetView showGridLines="0" tabSelected="1" workbookViewId="0">
      <selection activeCell="B2" sqref="B2:C2"/>
    </sheetView>
  </sheetViews>
  <sheetFormatPr defaultColWidth="8.77734375" defaultRowHeight="14.4" outlineLevelRow="1" outlineLevelCol="1" x14ac:dyDescent="0.3"/>
  <cols>
    <col min="1" max="1" width="1.77734375" customWidth="1"/>
    <col min="2" max="2" width="31.6640625" customWidth="1"/>
    <col min="3" max="3" width="26.109375" style="12" customWidth="1"/>
    <col min="4" max="4" width="11.33203125" style="1" hidden="1" customWidth="1" outlineLevel="1"/>
    <col min="5" max="7" width="11.44140625" style="1" hidden="1" customWidth="1" outlineLevel="1"/>
    <col min="8" max="8" width="11.44140625" style="1" customWidth="1" collapsed="1"/>
    <col min="9" max="10" width="11.44140625" style="1" hidden="1" customWidth="1" outlineLevel="1"/>
    <col min="11" max="12" width="11.44140625" style="3" hidden="1" customWidth="1" outlineLevel="1"/>
    <col min="13" max="13" width="11.44140625" style="3" customWidth="1" collapsed="1"/>
    <col min="14" max="15" width="11.44140625" style="1" customWidth="1" outlineLevel="1"/>
    <col min="16" max="17" width="11.44140625" style="3" customWidth="1" outlineLevel="1"/>
    <col min="18" max="18" width="11.44140625" style="3" customWidth="1"/>
    <col min="19" max="20" width="11.44140625" style="1" hidden="1" customWidth="1" outlineLevel="1"/>
    <col min="21" max="22" width="11.44140625" style="3" hidden="1" customWidth="1" outlineLevel="1"/>
    <col min="23" max="23" width="11.44140625" style="3" customWidth="1" collapsed="1"/>
    <col min="24" max="24" width="4.33203125" customWidth="1"/>
    <col min="25" max="25" width="16.109375" customWidth="1"/>
  </cols>
  <sheetData>
    <row r="1" spans="1:30" s="57" customFormat="1" ht="7.2" customHeight="1" x14ac:dyDescent="0.3">
      <c r="A1" s="148"/>
      <c r="C1" s="58"/>
      <c r="D1" s="1"/>
      <c r="E1" s="1"/>
      <c r="F1" s="1"/>
      <c r="G1" s="1"/>
      <c r="H1" s="1"/>
      <c r="I1" s="1"/>
      <c r="J1" s="1"/>
      <c r="K1" s="3"/>
      <c r="L1" s="3"/>
      <c r="M1" s="3"/>
      <c r="N1" s="1"/>
      <c r="O1" s="1"/>
      <c r="P1" s="3"/>
      <c r="Q1" s="3"/>
      <c r="R1" s="3"/>
      <c r="S1" s="1"/>
      <c r="T1" s="1"/>
      <c r="U1" s="3"/>
      <c r="V1" s="3"/>
      <c r="W1" s="3"/>
      <c r="AD1" s="148" t="s">
        <v>91</v>
      </c>
    </row>
    <row r="2" spans="1:30" ht="46.2" customHeight="1" x14ac:dyDescent="0.3">
      <c r="B2" s="317" t="s">
        <v>90</v>
      </c>
      <c r="C2" s="318"/>
    </row>
    <row r="3" spans="1:30" x14ac:dyDescent="0.3">
      <c r="B3" s="319" t="s">
        <v>212</v>
      </c>
      <c r="C3" s="320"/>
      <c r="I3" s="13"/>
    </row>
    <row r="4" spans="1:30" x14ac:dyDescent="0.3">
      <c r="B4" s="321" t="s">
        <v>211</v>
      </c>
      <c r="C4" s="322"/>
      <c r="D4" s="9"/>
      <c r="I4" s="13"/>
    </row>
    <row r="5" spans="1:30" x14ac:dyDescent="0.3">
      <c r="B5" s="323" t="s">
        <v>232</v>
      </c>
      <c r="C5" s="324"/>
      <c r="D5" s="9"/>
      <c r="G5" s="128"/>
      <c r="I5" s="13"/>
      <c r="J5" s="13"/>
      <c r="K5" s="13"/>
      <c r="L5" s="128"/>
      <c r="N5" s="274"/>
      <c r="O5" s="18"/>
      <c r="P5" s="18"/>
      <c r="Q5" s="18"/>
      <c r="R5" s="18"/>
      <c r="S5" s="18"/>
      <c r="T5" s="18"/>
      <c r="U5" s="18"/>
      <c r="V5" s="18"/>
      <c r="W5" s="18"/>
      <c r="X5" s="72"/>
    </row>
    <row r="6" spans="1:30" x14ac:dyDescent="0.3">
      <c r="B6" s="141" t="s">
        <v>33</v>
      </c>
      <c r="C6" s="287">
        <f>C215</f>
        <v>150.00011534800441</v>
      </c>
      <c r="I6" s="13"/>
      <c r="J6" s="13"/>
      <c r="K6" s="13"/>
      <c r="L6" s="13"/>
      <c r="N6" s="13"/>
      <c r="O6" s="13"/>
      <c r="P6" s="13"/>
      <c r="Q6" s="13"/>
      <c r="R6" s="13"/>
      <c r="S6" s="13"/>
      <c r="T6" s="13"/>
      <c r="U6" s="13"/>
      <c r="V6" s="13"/>
      <c r="W6" s="13"/>
    </row>
    <row r="7" spans="1:30" s="57" customFormat="1" x14ac:dyDescent="0.3">
      <c r="B7" s="66" t="s">
        <v>83</v>
      </c>
      <c r="C7" s="134" t="str">
        <f>TEXT(C224,"$0")&amp;" to "&amp;TEXT(C223,"$0")</f>
        <v>$137 to $163</v>
      </c>
      <c r="D7" s="1"/>
      <c r="E7" s="1"/>
      <c r="F7" s="1"/>
      <c r="G7" s="1"/>
      <c r="H7" s="1"/>
      <c r="I7" s="13"/>
      <c r="J7" s="13"/>
      <c r="K7" s="13"/>
      <c r="L7" s="13"/>
      <c r="M7" s="3"/>
      <c r="N7" s="13"/>
      <c r="O7" s="13"/>
      <c r="P7" s="13"/>
      <c r="Q7" s="13"/>
      <c r="R7" s="145"/>
      <c r="S7" s="13"/>
      <c r="T7" s="13"/>
      <c r="U7" s="13"/>
      <c r="V7" s="13"/>
      <c r="W7" s="13"/>
    </row>
    <row r="8" spans="1:30" ht="4.5" customHeight="1" x14ac:dyDescent="0.3">
      <c r="C8" s="20"/>
      <c r="D8" s="9"/>
      <c r="E8" s="9"/>
      <c r="F8" s="9"/>
      <c r="G8" s="9"/>
      <c r="H8" s="9"/>
      <c r="I8" s="9"/>
      <c r="J8" s="9"/>
      <c r="K8" s="9"/>
      <c r="L8" s="16"/>
      <c r="M8" s="17"/>
      <c r="N8" s="16"/>
      <c r="O8" s="16"/>
      <c r="P8" s="16"/>
      <c r="Q8" s="18"/>
      <c r="R8" s="18"/>
      <c r="S8" s="16"/>
      <c r="T8" s="16"/>
      <c r="U8" s="16"/>
      <c r="V8" s="18"/>
      <c r="W8" s="18"/>
    </row>
    <row r="9" spans="1:30" ht="15.6" x14ac:dyDescent="0.3">
      <c r="B9" s="309" t="s">
        <v>210</v>
      </c>
      <c r="C9" s="310"/>
      <c r="D9" s="49" t="s">
        <v>5</v>
      </c>
      <c r="E9" s="49" t="s">
        <v>4</v>
      </c>
      <c r="F9" s="49" t="s">
        <v>3</v>
      </c>
      <c r="G9" s="49" t="s">
        <v>6</v>
      </c>
      <c r="H9" s="49" t="s">
        <v>6</v>
      </c>
      <c r="I9" s="49" t="s">
        <v>7</v>
      </c>
      <c r="J9" s="49" t="s">
        <v>8</v>
      </c>
      <c r="K9" s="49" t="s">
        <v>9</v>
      </c>
      <c r="L9" s="60" t="s">
        <v>11</v>
      </c>
      <c r="M9" s="60" t="s">
        <v>11</v>
      </c>
      <c r="N9" s="60" t="s">
        <v>12</v>
      </c>
      <c r="O9" s="60" t="s">
        <v>13</v>
      </c>
      <c r="P9" s="51" t="s">
        <v>14</v>
      </c>
      <c r="Q9" s="51" t="s">
        <v>10</v>
      </c>
      <c r="R9" s="51" t="s">
        <v>10</v>
      </c>
      <c r="S9" s="51" t="s">
        <v>15</v>
      </c>
      <c r="T9" s="51" t="s">
        <v>16</v>
      </c>
      <c r="U9" s="51" t="s">
        <v>17</v>
      </c>
      <c r="V9" s="51" t="s">
        <v>18</v>
      </c>
      <c r="W9" s="68" t="s">
        <v>18</v>
      </c>
    </row>
    <row r="10" spans="1:30" ht="16.2" x14ac:dyDescent="0.45">
      <c r="B10" s="293" t="s">
        <v>0</v>
      </c>
      <c r="C10" s="294"/>
      <c r="D10" s="50" t="s">
        <v>41</v>
      </c>
      <c r="E10" s="50" t="s">
        <v>42</v>
      </c>
      <c r="F10" s="50" t="s">
        <v>43</v>
      </c>
      <c r="G10" s="50" t="s">
        <v>44</v>
      </c>
      <c r="H10" s="61" t="s">
        <v>29</v>
      </c>
      <c r="I10" s="50" t="s">
        <v>45</v>
      </c>
      <c r="J10" s="50" t="s">
        <v>46</v>
      </c>
      <c r="K10" s="50" t="s">
        <v>55</v>
      </c>
      <c r="L10" s="61" t="s">
        <v>81</v>
      </c>
      <c r="M10" s="61" t="s">
        <v>82</v>
      </c>
      <c r="N10" s="61" t="s">
        <v>47</v>
      </c>
      <c r="O10" s="61" t="s">
        <v>48</v>
      </c>
      <c r="P10" s="52" t="s">
        <v>49</v>
      </c>
      <c r="Q10" s="52" t="s">
        <v>50</v>
      </c>
      <c r="R10" s="52" t="s">
        <v>30</v>
      </c>
      <c r="S10" s="52" t="s">
        <v>51</v>
      </c>
      <c r="T10" s="52" t="s">
        <v>52</v>
      </c>
      <c r="U10" s="52" t="s">
        <v>53</v>
      </c>
      <c r="V10" s="52" t="s">
        <v>54</v>
      </c>
      <c r="W10" s="69" t="s">
        <v>31</v>
      </c>
    </row>
    <row r="11" spans="1:30" s="58" customFormat="1" x14ac:dyDescent="0.3">
      <c r="B11" s="311" t="s">
        <v>68</v>
      </c>
      <c r="C11" s="312"/>
      <c r="D11" s="89">
        <v>536.12900000000002</v>
      </c>
      <c r="E11" s="89">
        <v>687.19899999999996</v>
      </c>
      <c r="F11" s="89">
        <v>635.97199999999998</v>
      </c>
      <c r="G11" s="89">
        <f>H11-F11-E11-D11</f>
        <v>605.56700000000035</v>
      </c>
      <c r="H11" s="88">
        <v>2464.8670000000002</v>
      </c>
      <c r="I11" s="89">
        <v>626.79100000000005</v>
      </c>
      <c r="J11" s="89">
        <v>693.72199999999998</v>
      </c>
      <c r="K11" s="89">
        <v>756.61900000000003</v>
      </c>
      <c r="L11" s="89">
        <f>M11-K11-J11-I11</f>
        <v>645.43199999999968</v>
      </c>
      <c r="M11" s="88">
        <v>2722.5639999999999</v>
      </c>
      <c r="N11" s="89">
        <v>680.18600000000004</v>
      </c>
      <c r="O11" s="89">
        <v>827.48800000000006</v>
      </c>
      <c r="P11" s="270">
        <f>P40</f>
        <v>824.54999999999916</v>
      </c>
      <c r="Q11" s="270">
        <f>Q40</f>
        <v>743.32</v>
      </c>
      <c r="R11" s="88">
        <f>R40</f>
        <v>3065.52</v>
      </c>
      <c r="S11" s="270">
        <f>S40</f>
        <v>773</v>
      </c>
      <c r="T11" s="270">
        <f>T40</f>
        <v>906.70000000000095</v>
      </c>
      <c r="U11" s="89">
        <f>U40</f>
        <v>1006.1256269446338</v>
      </c>
      <c r="V11" s="89">
        <f>V40</f>
        <v>838.84305332624695</v>
      </c>
      <c r="W11" s="285">
        <f>W40</f>
        <v>3419.7914631657977</v>
      </c>
    </row>
    <row r="12" spans="1:30" s="48" customFormat="1" ht="17.25" customHeight="1" x14ac:dyDescent="0.45">
      <c r="B12" s="311" t="s">
        <v>56</v>
      </c>
      <c r="C12" s="312"/>
      <c r="D12" s="89">
        <v>249.31100000000001</v>
      </c>
      <c r="E12" s="89">
        <v>307.911</v>
      </c>
      <c r="F12" s="89">
        <v>294.05200000000002</v>
      </c>
      <c r="G12" s="89">
        <f t="shared" ref="G12" si="0">H12-F12-E12-D12</f>
        <v>273.78300000000002</v>
      </c>
      <c r="H12" s="93">
        <v>1125.057</v>
      </c>
      <c r="I12" s="89">
        <v>257.834</v>
      </c>
      <c r="J12" s="89">
        <v>299.214</v>
      </c>
      <c r="K12" s="89">
        <v>291.14299999999997</v>
      </c>
      <c r="L12" s="89">
        <f>M12-K12-J12-I12</f>
        <v>242.07199999999989</v>
      </c>
      <c r="M12" s="93">
        <v>1090.2629999999999</v>
      </c>
      <c r="N12" s="94">
        <v>257.08800000000002</v>
      </c>
      <c r="O12" s="94">
        <v>309.67399999999998</v>
      </c>
      <c r="P12" s="94">
        <f>P11*(1-P58)</f>
        <v>288.59249999999969</v>
      </c>
      <c r="Q12" s="94">
        <f>Q11*(1-Q58)</f>
        <v>267.59520000000003</v>
      </c>
      <c r="R12" s="333">
        <f>R11*(1-R58)</f>
        <v>1047.9011170697941</v>
      </c>
      <c r="S12" s="94">
        <f>S11*(1-S58)</f>
        <v>278.27999999999997</v>
      </c>
      <c r="T12" s="94">
        <f>T11*(1-T58)</f>
        <v>326.41200000000032</v>
      </c>
      <c r="U12" s="94">
        <f>U11*(1-U58)</f>
        <v>372.26648196951453</v>
      </c>
      <c r="V12" s="94">
        <f>V11*(1-V58)</f>
        <v>310.37192973071137</v>
      </c>
      <c r="W12" s="333">
        <f>W11*(1-W58)</f>
        <v>1174.1732323781434</v>
      </c>
    </row>
    <row r="13" spans="1:30" x14ac:dyDescent="0.3">
      <c r="B13" s="315" t="s">
        <v>73</v>
      </c>
      <c r="C13" s="316"/>
      <c r="D13" s="95">
        <f t="shared" ref="D13:R13" si="1">D11-D12</f>
        <v>286.81799999999998</v>
      </c>
      <c r="E13" s="96">
        <f t="shared" si="1"/>
        <v>379.28799999999995</v>
      </c>
      <c r="F13" s="96">
        <f t="shared" si="1"/>
        <v>341.91999999999996</v>
      </c>
      <c r="G13" s="99">
        <f>H13-F13-E13-D13</f>
        <v>331.78400000000033</v>
      </c>
      <c r="H13" s="98">
        <f>H11-H12</f>
        <v>1339.8100000000002</v>
      </c>
      <c r="I13" s="95">
        <f>I11-I12</f>
        <v>368.95700000000005</v>
      </c>
      <c r="J13" s="99">
        <f>J11-J12</f>
        <v>394.50799999999998</v>
      </c>
      <c r="K13" s="99">
        <f>K11-K12</f>
        <v>465.47600000000006</v>
      </c>
      <c r="L13" s="99">
        <f t="shared" si="1"/>
        <v>403.35999999999979</v>
      </c>
      <c r="M13" s="98">
        <f>M11-M12</f>
        <v>1632.3009999999999</v>
      </c>
      <c r="N13" s="99">
        <f t="shared" si="1"/>
        <v>423.09800000000001</v>
      </c>
      <c r="O13" s="99">
        <f t="shared" si="1"/>
        <v>517.81400000000008</v>
      </c>
      <c r="P13" s="99">
        <f>P11-P12</f>
        <v>535.95749999999953</v>
      </c>
      <c r="Q13" s="99">
        <f t="shared" si="1"/>
        <v>475.72480000000002</v>
      </c>
      <c r="R13" s="98">
        <f t="shared" si="1"/>
        <v>2017.6188829302059</v>
      </c>
      <c r="S13" s="99">
        <f t="shared" ref="S13:V13" si="2">S11-S12</f>
        <v>494.72</v>
      </c>
      <c r="T13" s="99">
        <f t="shared" si="2"/>
        <v>580.28800000000069</v>
      </c>
      <c r="U13" s="99">
        <f t="shared" si="2"/>
        <v>633.85914497511931</v>
      </c>
      <c r="V13" s="99">
        <f t="shared" si="2"/>
        <v>528.47112359553557</v>
      </c>
      <c r="W13" s="98">
        <f t="shared" ref="W13" si="3">W11-W12</f>
        <v>2245.6182307876543</v>
      </c>
    </row>
    <row r="14" spans="1:30" s="57" customFormat="1" ht="16.2" x14ac:dyDescent="0.45">
      <c r="B14" s="73" t="s">
        <v>75</v>
      </c>
      <c r="C14" s="75"/>
      <c r="D14" s="91">
        <f>D64</f>
        <v>0</v>
      </c>
      <c r="E14" s="91">
        <f>E64</f>
        <v>0</v>
      </c>
      <c r="F14" s="91">
        <f>F64</f>
        <v>0</v>
      </c>
      <c r="G14" s="91">
        <f>G64</f>
        <v>0</v>
      </c>
      <c r="H14" s="93">
        <f>SUM(D14:G14)</f>
        <v>0</v>
      </c>
      <c r="I14" s="91">
        <f>I64</f>
        <v>-39.761000000000003</v>
      </c>
      <c r="J14" s="91">
        <f>J64</f>
        <v>0</v>
      </c>
      <c r="K14" s="91">
        <f>K64</f>
        <v>0</v>
      </c>
      <c r="L14" s="91">
        <f>L64</f>
        <v>0</v>
      </c>
      <c r="M14" s="93">
        <f>SUM(I14:L14)</f>
        <v>-39.761000000000003</v>
      </c>
      <c r="N14" s="91">
        <f>N64</f>
        <v>0</v>
      </c>
      <c r="O14" s="91">
        <f>O64</f>
        <v>0</v>
      </c>
      <c r="P14" s="91">
        <f>P64</f>
        <v>0</v>
      </c>
      <c r="Q14" s="91">
        <f>Q64</f>
        <v>0</v>
      </c>
      <c r="R14" s="93">
        <f>SUM(N14:Q14)</f>
        <v>0</v>
      </c>
      <c r="S14" s="91">
        <f>S64</f>
        <v>0</v>
      </c>
      <c r="T14" s="91">
        <f>T64</f>
        <v>0</v>
      </c>
      <c r="U14" s="91">
        <f>U64</f>
        <v>0</v>
      </c>
      <c r="V14" s="91">
        <f>V64</f>
        <v>0</v>
      </c>
      <c r="W14" s="93">
        <f>SUM(S14:V14)</f>
        <v>0</v>
      </c>
      <c r="X14" s="116"/>
    </row>
    <row r="15" spans="1:30" s="57" customFormat="1" x14ac:dyDescent="0.3">
      <c r="B15" s="315" t="s">
        <v>76</v>
      </c>
      <c r="C15" s="316"/>
      <c r="D15" s="95">
        <f>D13+D14</f>
        <v>286.81799999999998</v>
      </c>
      <c r="E15" s="96">
        <f>E13+E14</f>
        <v>379.28799999999995</v>
      </c>
      <c r="F15" s="96">
        <f t="shared" ref="F15:W15" si="4">F13+F14</f>
        <v>341.91999999999996</v>
      </c>
      <c r="G15" s="97">
        <f t="shared" si="4"/>
        <v>331.78400000000033</v>
      </c>
      <c r="H15" s="98">
        <f t="shared" si="4"/>
        <v>1339.8100000000002</v>
      </c>
      <c r="I15" s="95">
        <f t="shared" si="4"/>
        <v>329.19600000000003</v>
      </c>
      <c r="J15" s="99">
        <f t="shared" si="4"/>
        <v>394.50799999999998</v>
      </c>
      <c r="K15" s="99">
        <f t="shared" si="4"/>
        <v>465.47600000000006</v>
      </c>
      <c r="L15" s="99">
        <f>L13+L14</f>
        <v>403.35999999999979</v>
      </c>
      <c r="M15" s="98">
        <f>M13+M14</f>
        <v>1592.54</v>
      </c>
      <c r="N15" s="99">
        <f t="shared" si="4"/>
        <v>423.09800000000001</v>
      </c>
      <c r="O15" s="99">
        <f t="shared" si="4"/>
        <v>517.81400000000008</v>
      </c>
      <c r="P15" s="99">
        <f>P13+P14</f>
        <v>535.95749999999953</v>
      </c>
      <c r="Q15" s="99">
        <f t="shared" si="4"/>
        <v>475.72480000000002</v>
      </c>
      <c r="R15" s="98">
        <f t="shared" si="4"/>
        <v>2017.6188829302059</v>
      </c>
      <c r="S15" s="99">
        <f t="shared" si="4"/>
        <v>494.72</v>
      </c>
      <c r="T15" s="99">
        <f t="shared" si="4"/>
        <v>580.28800000000069</v>
      </c>
      <c r="U15" s="99">
        <f t="shared" si="4"/>
        <v>633.85914497511931</v>
      </c>
      <c r="V15" s="99">
        <f t="shared" si="4"/>
        <v>528.47112359553557</v>
      </c>
      <c r="W15" s="98">
        <f t="shared" si="4"/>
        <v>2245.6182307876543</v>
      </c>
    </row>
    <row r="16" spans="1:30" x14ac:dyDescent="0.3">
      <c r="B16" s="311" t="s">
        <v>179</v>
      </c>
      <c r="C16" s="312"/>
      <c r="D16" s="85">
        <v>0</v>
      </c>
      <c r="E16" s="86">
        <v>0</v>
      </c>
      <c r="F16" s="86">
        <v>0</v>
      </c>
      <c r="G16" s="87">
        <v>0</v>
      </c>
      <c r="H16" s="88">
        <f>SUM(D16:G16)</f>
        <v>0</v>
      </c>
      <c r="I16" s="85">
        <v>0</v>
      </c>
      <c r="J16" s="89">
        <v>161.47</v>
      </c>
      <c r="K16" s="89">
        <v>0</v>
      </c>
      <c r="L16" s="100">
        <v>0</v>
      </c>
      <c r="M16" s="88">
        <f>SUM(I16:L16)</f>
        <v>161.47</v>
      </c>
      <c r="N16" s="101">
        <v>0</v>
      </c>
      <c r="O16" s="89">
        <v>0</v>
      </c>
      <c r="P16" s="89"/>
      <c r="Q16" s="89"/>
      <c r="R16" s="88">
        <f>SUM(N16:Q16)</f>
        <v>0</v>
      </c>
      <c r="S16" s="89"/>
      <c r="T16" s="89"/>
      <c r="U16" s="89"/>
      <c r="V16" s="89"/>
      <c r="W16" s="88">
        <f>SUM(S16:V16)</f>
        <v>0</v>
      </c>
    </row>
    <row r="17" spans="2:23" s="57" customFormat="1" ht="16.2" x14ac:dyDescent="0.45">
      <c r="B17" s="73" t="s">
        <v>180</v>
      </c>
      <c r="C17" s="65"/>
      <c r="D17" s="90">
        <v>137.95500000000001</v>
      </c>
      <c r="E17" s="91">
        <v>163.47499999999999</v>
      </c>
      <c r="F17" s="91">
        <v>152.01300000000001</v>
      </c>
      <c r="G17" s="94">
        <f>H17-F17-E17-D17</f>
        <v>138.86199999999988</v>
      </c>
      <c r="H17" s="93">
        <v>592.30499999999995</v>
      </c>
      <c r="I17" s="90">
        <v>361.32799999999997</v>
      </c>
      <c r="J17" s="94">
        <v>189.839</v>
      </c>
      <c r="K17" s="94">
        <v>174.03800000000001</v>
      </c>
      <c r="L17" s="94">
        <f>M17-K17-J17-I17</f>
        <v>174.91300000000001</v>
      </c>
      <c r="M17" s="93">
        <v>900.11800000000005</v>
      </c>
      <c r="N17" s="102">
        <v>168.38499999999999</v>
      </c>
      <c r="O17" s="94">
        <v>229.291</v>
      </c>
      <c r="P17" s="94">
        <f>P11*P54</f>
        <v>181.40099999999981</v>
      </c>
      <c r="Q17" s="94">
        <f>Q11*Q54</f>
        <v>167.24700000000001</v>
      </c>
      <c r="R17" s="93">
        <f t="shared" ref="R17" si="5">SUM(N17:Q17)</f>
        <v>746.32399999999984</v>
      </c>
      <c r="S17" s="94">
        <f>S11*S54</f>
        <v>170.06</v>
      </c>
      <c r="T17" s="94">
        <f>T11*T54</f>
        <v>190.40700000000018</v>
      </c>
      <c r="U17" s="94">
        <f>U11*U54</f>
        <v>211.2863816583731</v>
      </c>
      <c r="V17" s="94">
        <f>V11*V54</f>
        <v>176.15704119851185</v>
      </c>
      <c r="W17" s="93">
        <f t="shared" ref="W17" si="6">SUM(S17:V17)</f>
        <v>747.91042285688513</v>
      </c>
    </row>
    <row r="18" spans="2:23" s="19" customFormat="1" ht="16.2" x14ac:dyDescent="0.45">
      <c r="B18" s="27" t="s">
        <v>64</v>
      </c>
      <c r="C18" s="28"/>
      <c r="D18" s="103">
        <f t="shared" ref="D18:I18" si="7">SUM(D16:D17)</f>
        <v>137.95500000000001</v>
      </c>
      <c r="E18" s="104">
        <f t="shared" si="7"/>
        <v>163.47499999999999</v>
      </c>
      <c r="F18" s="104">
        <f t="shared" si="7"/>
        <v>152.01300000000001</v>
      </c>
      <c r="G18" s="105">
        <f t="shared" si="7"/>
        <v>138.86199999999988</v>
      </c>
      <c r="H18" s="106">
        <f t="shared" si="7"/>
        <v>592.30499999999995</v>
      </c>
      <c r="I18" s="103">
        <f t="shared" si="7"/>
        <v>361.32799999999997</v>
      </c>
      <c r="J18" s="107">
        <f>J17-J16</f>
        <v>28.369</v>
      </c>
      <c r="K18" s="107">
        <f>SUM(K16:K17)</f>
        <v>174.03800000000001</v>
      </c>
      <c r="L18" s="108">
        <f>SUM(L16:L17)</f>
        <v>174.91300000000001</v>
      </c>
      <c r="M18" s="107">
        <f>M17-M16</f>
        <v>738.64800000000002</v>
      </c>
      <c r="N18" s="109">
        <f>SUM(N16:N17)</f>
        <v>168.38499999999999</v>
      </c>
      <c r="O18" s="107">
        <f t="shared" ref="O18:W18" si="8">SUM(O16:O17)</f>
        <v>229.291</v>
      </c>
      <c r="P18" s="107">
        <f>SUM(P16:P17)</f>
        <v>181.40099999999981</v>
      </c>
      <c r="Q18" s="107">
        <f t="shared" si="8"/>
        <v>167.24700000000001</v>
      </c>
      <c r="R18" s="106">
        <f t="shared" si="8"/>
        <v>746.32399999999984</v>
      </c>
      <c r="S18" s="107">
        <f t="shared" si="8"/>
        <v>170.06</v>
      </c>
      <c r="T18" s="107">
        <f t="shared" si="8"/>
        <v>190.40700000000018</v>
      </c>
      <c r="U18" s="107">
        <f t="shared" si="8"/>
        <v>211.2863816583731</v>
      </c>
      <c r="V18" s="107">
        <f t="shared" si="8"/>
        <v>176.15704119851185</v>
      </c>
      <c r="W18" s="106">
        <f t="shared" si="8"/>
        <v>747.91042285688513</v>
      </c>
    </row>
    <row r="19" spans="2:23" x14ac:dyDescent="0.3">
      <c r="B19" s="315" t="s">
        <v>60</v>
      </c>
      <c r="C19" s="316"/>
      <c r="D19" s="95">
        <f t="shared" ref="D19:W19" si="9">D13-D18</f>
        <v>148.86299999999997</v>
      </c>
      <c r="E19" s="96">
        <f t="shared" si="9"/>
        <v>215.81299999999996</v>
      </c>
      <c r="F19" s="96">
        <f t="shared" si="9"/>
        <v>189.90699999999995</v>
      </c>
      <c r="G19" s="97">
        <f t="shared" si="9"/>
        <v>192.92200000000045</v>
      </c>
      <c r="H19" s="98">
        <f t="shared" si="9"/>
        <v>747.50500000000022</v>
      </c>
      <c r="I19" s="95">
        <f>I13-I18</f>
        <v>7.6290000000000759</v>
      </c>
      <c r="J19" s="99">
        <f t="shared" si="9"/>
        <v>366.13900000000001</v>
      </c>
      <c r="K19" s="99">
        <f t="shared" si="9"/>
        <v>291.43800000000005</v>
      </c>
      <c r="L19" s="110">
        <f t="shared" si="9"/>
        <v>228.44699999999978</v>
      </c>
      <c r="M19" s="110">
        <f>M13-M18</f>
        <v>893.65299999999991</v>
      </c>
      <c r="N19" s="111">
        <f>N13-N18</f>
        <v>254.71300000000002</v>
      </c>
      <c r="O19" s="99">
        <f>O13-O18</f>
        <v>288.52300000000008</v>
      </c>
      <c r="P19" s="99">
        <f>P13-P18</f>
        <v>354.55649999999969</v>
      </c>
      <c r="Q19" s="110">
        <f t="shared" si="9"/>
        <v>308.4778</v>
      </c>
      <c r="R19" s="98">
        <f t="shared" si="9"/>
        <v>1271.2948829302061</v>
      </c>
      <c r="S19" s="111">
        <f t="shared" si="9"/>
        <v>324.66000000000003</v>
      </c>
      <c r="T19" s="99">
        <f t="shared" si="9"/>
        <v>389.88100000000054</v>
      </c>
      <c r="U19" s="99">
        <f t="shared" si="9"/>
        <v>422.5727633167462</v>
      </c>
      <c r="V19" s="110">
        <f t="shared" si="9"/>
        <v>352.31408239702375</v>
      </c>
      <c r="W19" s="98">
        <f t="shared" si="9"/>
        <v>1497.7078079307691</v>
      </c>
    </row>
    <row r="20" spans="2:23" s="58" customFormat="1" x14ac:dyDescent="0.3">
      <c r="B20" s="70" t="s">
        <v>74</v>
      </c>
      <c r="C20" s="71"/>
      <c r="D20" s="85">
        <f t="shared" ref="D20:N20" si="10">D75+D76+D77</f>
        <v>0</v>
      </c>
      <c r="E20" s="86">
        <f t="shared" si="10"/>
        <v>1.569</v>
      </c>
      <c r="F20" s="86">
        <f t="shared" si="10"/>
        <v>-0.505</v>
      </c>
      <c r="G20" s="86">
        <f t="shared" si="10"/>
        <v>1.1919999999999999</v>
      </c>
      <c r="H20" s="85">
        <f t="shared" si="10"/>
        <v>2.2560000000000002</v>
      </c>
      <c r="I20" s="85">
        <f t="shared" si="10"/>
        <v>209.577</v>
      </c>
      <c r="J20" s="86">
        <f t="shared" si="10"/>
        <v>-137.727</v>
      </c>
      <c r="K20" s="86">
        <f t="shared" si="10"/>
        <v>2.7630000000000035</v>
      </c>
      <c r="L20" s="86">
        <f t="shared" si="10"/>
        <v>3.4119999999999999</v>
      </c>
      <c r="M20" s="85">
        <f t="shared" si="10"/>
        <v>78.025000000000006</v>
      </c>
      <c r="N20" s="85">
        <f t="shared" si="10"/>
        <v>3.44</v>
      </c>
      <c r="O20" s="86">
        <f>O75+O76+O77</f>
        <v>0</v>
      </c>
      <c r="P20" s="86">
        <f>P70+P71</f>
        <v>0</v>
      </c>
      <c r="Q20" s="86">
        <f>Q75+Q76+Q77</f>
        <v>0.86</v>
      </c>
      <c r="R20" s="88">
        <f>R70+R71</f>
        <v>-3.44</v>
      </c>
      <c r="S20" s="86">
        <f>S70+S71</f>
        <v>0</v>
      </c>
      <c r="T20" s="86">
        <f>T70+T71</f>
        <v>0</v>
      </c>
      <c r="U20" s="86">
        <f>U70+U71</f>
        <v>0</v>
      </c>
      <c r="V20" s="86">
        <f>V70+V71</f>
        <v>0</v>
      </c>
      <c r="W20" s="88">
        <f>SUM(S20:V20)</f>
        <v>0</v>
      </c>
    </row>
    <row r="21" spans="2:23" s="53" customFormat="1" x14ac:dyDescent="0.3">
      <c r="B21" s="315" t="s">
        <v>61</v>
      </c>
      <c r="C21" s="316"/>
      <c r="D21" s="95">
        <f t="shared" ref="D21:W21" si="11">D19+D20+D14</f>
        <v>148.86299999999997</v>
      </c>
      <c r="E21" s="96">
        <f t="shared" si="11"/>
        <v>217.38199999999995</v>
      </c>
      <c r="F21" s="96">
        <f t="shared" si="11"/>
        <v>189.40199999999996</v>
      </c>
      <c r="G21" s="97">
        <f t="shared" si="11"/>
        <v>194.11400000000046</v>
      </c>
      <c r="H21" s="98">
        <f t="shared" si="11"/>
        <v>749.76100000000019</v>
      </c>
      <c r="I21" s="95">
        <f>I19+I20</f>
        <v>217.20600000000007</v>
      </c>
      <c r="J21" s="96">
        <f>J19+J20</f>
        <v>228.41200000000001</v>
      </c>
      <c r="K21" s="96">
        <f>K19+K20</f>
        <v>294.20100000000002</v>
      </c>
      <c r="L21" s="97">
        <f>L19+L20</f>
        <v>231.85899999999978</v>
      </c>
      <c r="M21" s="98">
        <f>M19+M20</f>
        <v>971.67799999999988</v>
      </c>
      <c r="N21" s="99">
        <f t="shared" si="11"/>
        <v>258.15300000000002</v>
      </c>
      <c r="O21" s="99">
        <f t="shared" si="11"/>
        <v>288.52300000000008</v>
      </c>
      <c r="P21" s="99">
        <f>P19+P20+P14</f>
        <v>354.55649999999969</v>
      </c>
      <c r="Q21" s="99">
        <f t="shared" si="11"/>
        <v>309.33780000000002</v>
      </c>
      <c r="R21" s="98">
        <f t="shared" si="11"/>
        <v>1267.854882930206</v>
      </c>
      <c r="S21" s="99">
        <f t="shared" si="11"/>
        <v>324.66000000000003</v>
      </c>
      <c r="T21" s="99">
        <f t="shared" si="11"/>
        <v>389.88100000000054</v>
      </c>
      <c r="U21" s="99">
        <f t="shared" si="11"/>
        <v>422.5727633167462</v>
      </c>
      <c r="V21" s="99">
        <f t="shared" si="11"/>
        <v>352.31408239702375</v>
      </c>
      <c r="W21" s="98">
        <f t="shared" si="11"/>
        <v>1497.7078079307691</v>
      </c>
    </row>
    <row r="22" spans="2:23" s="57" customFormat="1" x14ac:dyDescent="0.3">
      <c r="B22" s="276" t="s">
        <v>149</v>
      </c>
      <c r="C22" s="209"/>
      <c r="D22" s="86">
        <v>0.155</v>
      </c>
      <c r="E22" s="86">
        <v>0.19</v>
      </c>
      <c r="F22" s="86">
        <v>-1.012</v>
      </c>
      <c r="G22" s="89">
        <f>H22-F22-E22-D22</f>
        <v>-1.0089999999999999</v>
      </c>
      <c r="H22" s="88">
        <v>-1.6759999999999999</v>
      </c>
      <c r="I22" s="85">
        <v>1.2330000000000001</v>
      </c>
      <c r="J22" s="89">
        <v>-1.0149999999999999</v>
      </c>
      <c r="K22" s="89">
        <v>-3.3620000000000001</v>
      </c>
      <c r="L22" s="89">
        <f>M22-K22-J22-I22</f>
        <v>1.0390000000000001</v>
      </c>
      <c r="M22" s="88">
        <v>-2.105</v>
      </c>
      <c r="N22" s="89">
        <v>0.60799999999999998</v>
      </c>
      <c r="O22" s="89">
        <v>-0.222</v>
      </c>
      <c r="P22" s="89">
        <f>P55</f>
        <v>0.193</v>
      </c>
      <c r="Q22" s="89">
        <f>Q55</f>
        <v>0.193</v>
      </c>
      <c r="R22" s="88">
        <v>-2.105</v>
      </c>
      <c r="S22" s="89">
        <f>S55</f>
        <v>0.193</v>
      </c>
      <c r="T22" s="89">
        <f>T55</f>
        <v>0.193</v>
      </c>
      <c r="U22" s="89">
        <f>U55</f>
        <v>0.193</v>
      </c>
      <c r="V22" s="89">
        <f>V55</f>
        <v>0.193</v>
      </c>
      <c r="W22" s="88">
        <v>-2.105</v>
      </c>
    </row>
    <row r="23" spans="2:23" s="57" customFormat="1" ht="16.2" x14ac:dyDescent="0.45">
      <c r="B23" s="208" t="s">
        <v>150</v>
      </c>
      <c r="C23" s="209"/>
      <c r="D23" s="91">
        <v>-1E-3</v>
      </c>
      <c r="E23" s="91">
        <v>-1.2E-2</v>
      </c>
      <c r="F23" s="91">
        <v>-2.5999999999999999E-2</v>
      </c>
      <c r="G23" s="94">
        <f>H23-F23-E23-D23</f>
        <v>-2.0000000000000026E-3</v>
      </c>
      <c r="H23" s="93">
        <v>-4.1000000000000002E-2</v>
      </c>
      <c r="I23" s="90">
        <v>0</v>
      </c>
      <c r="J23" s="94">
        <v>0</v>
      </c>
      <c r="K23" s="94">
        <v>0</v>
      </c>
      <c r="L23" s="94">
        <v>0</v>
      </c>
      <c r="M23" s="93">
        <v>0</v>
      </c>
      <c r="N23" s="94">
        <v>0</v>
      </c>
      <c r="O23" s="94">
        <v>0</v>
      </c>
      <c r="P23" s="94">
        <v>0</v>
      </c>
      <c r="Q23" s="94">
        <v>0</v>
      </c>
      <c r="R23" s="93">
        <f>SUM(N23:Q23)</f>
        <v>0</v>
      </c>
      <c r="S23" s="94">
        <v>0</v>
      </c>
      <c r="T23" s="94">
        <v>0</v>
      </c>
      <c r="U23" s="94">
        <v>0</v>
      </c>
      <c r="V23" s="94">
        <v>0</v>
      </c>
      <c r="W23" s="93">
        <f>SUM(S23:V23)</f>
        <v>0</v>
      </c>
    </row>
    <row r="24" spans="2:23" s="57" customFormat="1" ht="16.2" x14ac:dyDescent="0.45">
      <c r="B24" s="210" t="s">
        <v>151</v>
      </c>
      <c r="C24" s="209"/>
      <c r="D24" s="104">
        <f>D22+D23</f>
        <v>0.154</v>
      </c>
      <c r="E24" s="104">
        <f>E22+E23</f>
        <v>0.17799999999999999</v>
      </c>
      <c r="F24" s="104">
        <f>F22+F23</f>
        <v>-1.038</v>
      </c>
      <c r="G24" s="107">
        <f>H24-F24-E24-D24</f>
        <v>-1.0109999999999997</v>
      </c>
      <c r="H24" s="106">
        <f>SUM(H22:H23)</f>
        <v>-1.7169999999999999</v>
      </c>
      <c r="I24" s="104">
        <f>I22+I23</f>
        <v>1.2330000000000001</v>
      </c>
      <c r="J24" s="104">
        <f>J22+J23</f>
        <v>-1.0149999999999999</v>
      </c>
      <c r="K24" s="104">
        <f>K22+K23</f>
        <v>-3.3620000000000001</v>
      </c>
      <c r="L24" s="104">
        <f>L22+L23</f>
        <v>1.0390000000000001</v>
      </c>
      <c r="M24" s="106">
        <f>SUM(M22:M23)</f>
        <v>-2.105</v>
      </c>
      <c r="N24" s="104">
        <f>N22+N23</f>
        <v>0.60799999999999998</v>
      </c>
      <c r="O24" s="104">
        <f>O22+O23</f>
        <v>-0.222</v>
      </c>
      <c r="P24" s="104">
        <f>P22+P23</f>
        <v>0.193</v>
      </c>
      <c r="Q24" s="104">
        <f t="shared" ref="P24:S24" si="12">Q22+Q23</f>
        <v>0.193</v>
      </c>
      <c r="R24" s="106">
        <f>SUM(R22:R23)</f>
        <v>-2.105</v>
      </c>
      <c r="S24" s="104">
        <f t="shared" si="12"/>
        <v>0.193</v>
      </c>
      <c r="T24" s="104">
        <f t="shared" ref="T24" si="13">T22+T23</f>
        <v>0.193</v>
      </c>
      <c r="U24" s="104">
        <f t="shared" ref="U24" si="14">U22+U23</f>
        <v>0.193</v>
      </c>
      <c r="V24" s="104">
        <f t="shared" ref="V24" si="15">V22+V23</f>
        <v>0.193</v>
      </c>
      <c r="W24" s="106">
        <f>SUM(W22:W23)</f>
        <v>-2.105</v>
      </c>
    </row>
    <row r="25" spans="2:23" x14ac:dyDescent="0.3">
      <c r="B25" s="315" t="s">
        <v>57</v>
      </c>
      <c r="C25" s="316"/>
      <c r="D25" s="81">
        <f>D19+D24</f>
        <v>149.01699999999997</v>
      </c>
      <c r="E25" s="81">
        <f>E19+E24</f>
        <v>215.99099999999996</v>
      </c>
      <c r="F25" s="81">
        <f>F19+F24</f>
        <v>188.86899999999994</v>
      </c>
      <c r="G25" s="81">
        <f>G19+G24</f>
        <v>191.91100000000046</v>
      </c>
      <c r="H25" s="55">
        <v>745.78800000000001</v>
      </c>
      <c r="I25" s="81">
        <f>I19+I24</f>
        <v>8.8620000000000765</v>
      </c>
      <c r="J25" s="81">
        <f>J19+J24</f>
        <v>365.12400000000002</v>
      </c>
      <c r="K25" s="81">
        <f>K19+K24</f>
        <v>288.07600000000002</v>
      </c>
      <c r="L25" s="81">
        <f>L19+L24</f>
        <v>229.48599999999976</v>
      </c>
      <c r="M25" s="98">
        <f>M19+M24</f>
        <v>891.54799999999989</v>
      </c>
      <c r="N25" s="81">
        <f>N19+N24</f>
        <v>255.32100000000003</v>
      </c>
      <c r="O25" s="81">
        <f>O19+O24</f>
        <v>288.3010000000001</v>
      </c>
      <c r="P25" s="81">
        <f>P19+P24</f>
        <v>354.74949999999967</v>
      </c>
      <c r="Q25" s="81">
        <f>Q19+Q24</f>
        <v>308.67079999999999</v>
      </c>
      <c r="R25" s="55">
        <f>R19+R24</f>
        <v>1269.1898829302061</v>
      </c>
      <c r="S25" s="81">
        <f>S19+S24</f>
        <v>324.85300000000001</v>
      </c>
      <c r="T25" s="81">
        <f>T19+T24</f>
        <v>390.07400000000052</v>
      </c>
      <c r="U25" s="81">
        <f>U19+U24</f>
        <v>422.76576331674619</v>
      </c>
      <c r="V25" s="81">
        <f>V19+V24</f>
        <v>352.50708239702374</v>
      </c>
      <c r="W25" s="55">
        <f>W19+W24</f>
        <v>1495.6028079307691</v>
      </c>
    </row>
    <row r="26" spans="2:23" ht="16.2" x14ac:dyDescent="0.45">
      <c r="B26" s="311" t="s">
        <v>69</v>
      </c>
      <c r="C26" s="312"/>
      <c r="D26" s="91">
        <v>53.767000000000003</v>
      </c>
      <c r="E26" s="91">
        <v>74.988</v>
      </c>
      <c r="F26" s="91">
        <v>67.269000000000005</v>
      </c>
      <c r="G26" s="94">
        <f>H26-F26-E26-D26</f>
        <v>66.579000000000008</v>
      </c>
      <c r="H26" s="93">
        <v>262.60300000000001</v>
      </c>
      <c r="I26" s="90">
        <v>4.4480000000000004</v>
      </c>
      <c r="J26" s="94">
        <v>136.12</v>
      </c>
      <c r="K26" s="94">
        <v>113.502</v>
      </c>
      <c r="L26" s="94">
        <f>M26-K26-J26-I26</f>
        <v>90.744999999999976</v>
      </c>
      <c r="M26" s="333">
        <v>344.815</v>
      </c>
      <c r="N26" s="94">
        <v>91.444000000000003</v>
      </c>
      <c r="O26" s="94">
        <v>104.08199999999999</v>
      </c>
      <c r="P26" s="94">
        <f>P25*P57</f>
        <v>120.6148299999999</v>
      </c>
      <c r="Q26" s="94">
        <f>Q25*Q57</f>
        <v>104.948072</v>
      </c>
      <c r="R26" s="93">
        <f>SUM(N26:Q26)</f>
        <v>421.08890199999996</v>
      </c>
      <c r="S26" s="94">
        <f>S25*S57</f>
        <v>110.45002000000001</v>
      </c>
      <c r="T26" s="94">
        <f>T25*T57</f>
        <v>132.62516000000019</v>
      </c>
      <c r="U26" s="94">
        <f>U25*U57</f>
        <v>143.74035952769373</v>
      </c>
      <c r="V26" s="94">
        <f>V25*V57</f>
        <v>119.85240801498809</v>
      </c>
      <c r="W26" s="93">
        <f>SUM(S26:V26)</f>
        <v>506.66794754268204</v>
      </c>
    </row>
    <row r="27" spans="2:23" x14ac:dyDescent="0.3">
      <c r="B27" s="315" t="s">
        <v>65</v>
      </c>
      <c r="C27" s="316"/>
      <c r="D27" s="96">
        <f t="shared" ref="D27:I27" si="16">D25-D26</f>
        <v>95.249999999999972</v>
      </c>
      <c r="E27" s="96">
        <f t="shared" si="16"/>
        <v>141.00299999999996</v>
      </c>
      <c r="F27" s="96">
        <f t="shared" si="16"/>
        <v>121.59999999999994</v>
      </c>
      <c r="G27" s="96">
        <f t="shared" si="16"/>
        <v>125.33200000000045</v>
      </c>
      <c r="H27" s="98">
        <f t="shared" si="16"/>
        <v>483.185</v>
      </c>
      <c r="I27" s="95">
        <f t="shared" si="16"/>
        <v>4.4140000000000761</v>
      </c>
      <c r="J27" s="99">
        <f t="shared" ref="J27" si="17">J25-J26</f>
        <v>229.00400000000002</v>
      </c>
      <c r="K27" s="99">
        <f>K25-K26</f>
        <v>174.57400000000001</v>
      </c>
      <c r="L27" s="99">
        <f t="shared" ref="L27:W27" si="18">L25-L26</f>
        <v>138.74099999999979</v>
      </c>
      <c r="M27" s="98">
        <f>M25-M26</f>
        <v>546.73299999999995</v>
      </c>
      <c r="N27" s="99">
        <f>N25-N26</f>
        <v>163.87700000000001</v>
      </c>
      <c r="O27" s="99">
        <f t="shared" si="18"/>
        <v>184.21900000000011</v>
      </c>
      <c r="P27" s="99">
        <f>P25-P26</f>
        <v>234.13466999999977</v>
      </c>
      <c r="Q27" s="99">
        <f t="shared" si="18"/>
        <v>203.72272799999999</v>
      </c>
      <c r="R27" s="98">
        <f t="shared" si="18"/>
        <v>848.10098093020611</v>
      </c>
      <c r="S27" s="99">
        <f t="shared" si="18"/>
        <v>214.40298000000001</v>
      </c>
      <c r="T27" s="99">
        <f t="shared" si="18"/>
        <v>257.44884000000036</v>
      </c>
      <c r="U27" s="99">
        <f t="shared" si="18"/>
        <v>279.02540378905246</v>
      </c>
      <c r="V27" s="99">
        <f t="shared" si="18"/>
        <v>232.65467438203564</v>
      </c>
      <c r="W27" s="98">
        <f t="shared" si="18"/>
        <v>988.93486038808715</v>
      </c>
    </row>
    <row r="28" spans="2:23" s="58" customFormat="1" ht="16.2" x14ac:dyDescent="0.45">
      <c r="B28" s="73" t="s">
        <v>78</v>
      </c>
      <c r="C28" s="74"/>
      <c r="D28" s="91">
        <f t="shared" ref="D28:I28" si="19">D89+D90</f>
        <v>0</v>
      </c>
      <c r="E28" s="91">
        <f t="shared" si="19"/>
        <v>-0.54500000000000004</v>
      </c>
      <c r="F28" s="91">
        <f t="shared" si="19"/>
        <v>0.54500000000000004</v>
      </c>
      <c r="G28" s="91">
        <f t="shared" si="19"/>
        <v>0</v>
      </c>
      <c r="H28" s="93">
        <f t="shared" si="19"/>
        <v>0</v>
      </c>
      <c r="I28" s="91">
        <f t="shared" si="19"/>
        <v>-63.417999999999999</v>
      </c>
      <c r="J28" s="91">
        <f>J90</f>
        <v>51.936999999999998</v>
      </c>
      <c r="K28" s="91">
        <f t="shared" ref="K28:W28" si="20">K89+K90</f>
        <v>2.9860000000000042</v>
      </c>
      <c r="L28" s="91">
        <f t="shared" si="20"/>
        <v>-1.284</v>
      </c>
      <c r="M28" s="93">
        <f t="shared" si="20"/>
        <v>-171.249</v>
      </c>
      <c r="N28" s="91">
        <f t="shared" si="20"/>
        <v>-1.256</v>
      </c>
      <c r="O28" s="91">
        <f t="shared" si="20"/>
        <v>0</v>
      </c>
      <c r="P28" s="91">
        <f>P89+P90</f>
        <v>-0.86</v>
      </c>
      <c r="Q28" s="91">
        <f t="shared" si="20"/>
        <v>-0.43</v>
      </c>
      <c r="R28" s="93">
        <f t="shared" si="20"/>
        <v>-2.5460000000000003</v>
      </c>
      <c r="S28" s="91">
        <f t="shared" si="20"/>
        <v>-0.64500000000000002</v>
      </c>
      <c r="T28" s="91">
        <f t="shared" si="20"/>
        <v>-0.53749999999999998</v>
      </c>
      <c r="U28" s="91">
        <f t="shared" si="20"/>
        <v>-0.59125000000000005</v>
      </c>
      <c r="V28" s="91">
        <f t="shared" si="20"/>
        <v>-0.56437500000000007</v>
      </c>
      <c r="W28" s="93">
        <f t="shared" si="20"/>
        <v>-2.3381250000000002</v>
      </c>
    </row>
    <row r="29" spans="2:23" s="25" customFormat="1" x14ac:dyDescent="0.3">
      <c r="B29" s="315" t="s">
        <v>25</v>
      </c>
      <c r="C29" s="316"/>
      <c r="D29" s="268">
        <f>D27+D20+D14+D28</f>
        <v>95.249999999999972</v>
      </c>
      <c r="E29" s="96">
        <f>E27+E20+E14+E28</f>
        <v>142.02699999999996</v>
      </c>
      <c r="F29" s="96">
        <f>F27+F20+F14+F28</f>
        <v>121.63999999999994</v>
      </c>
      <c r="G29" s="97">
        <f>G27+G20+G14+G28</f>
        <v>126.52400000000044</v>
      </c>
      <c r="H29" s="98">
        <f>H27+H20+H14+H28</f>
        <v>485.44100000000003</v>
      </c>
      <c r="I29" s="95">
        <f>I27+I20+I14+I28</f>
        <v>110.81200000000007</v>
      </c>
      <c r="J29" s="99">
        <f>J27+J20+J14+J28</f>
        <v>143.214</v>
      </c>
      <c r="K29" s="99">
        <f>K27+K20+K14+K28</f>
        <v>180.32300000000004</v>
      </c>
      <c r="L29" s="99">
        <f>L27+L20+L14+L28</f>
        <v>140.8689999999998</v>
      </c>
      <c r="M29" s="98">
        <f>M27+M20+M14+M28</f>
        <v>413.74799999999993</v>
      </c>
      <c r="N29" s="99">
        <f>N27+N20+N14+N28</f>
        <v>166.06100000000001</v>
      </c>
      <c r="O29" s="99">
        <f>O27+O20+O14+O28</f>
        <v>184.21900000000011</v>
      </c>
      <c r="P29" s="99">
        <f>P27+P20+P14+P28</f>
        <v>233.27466999999976</v>
      </c>
      <c r="Q29" s="99">
        <f>Q27+Q20+Q14+Q28</f>
        <v>204.152728</v>
      </c>
      <c r="R29" s="98">
        <f>R27+R20+R14+R28</f>
        <v>842.114980930206</v>
      </c>
      <c r="S29" s="99">
        <f>S27+S20+S14+S28</f>
        <v>213.75798</v>
      </c>
      <c r="T29" s="99">
        <f>T27+T20+T14+T28</f>
        <v>256.91134000000034</v>
      </c>
      <c r="U29" s="99">
        <f>U27+U20+U14+U28</f>
        <v>278.43415378905246</v>
      </c>
      <c r="V29" s="99">
        <f>V27+V20+V14+V28</f>
        <v>232.09029938203562</v>
      </c>
      <c r="W29" s="98">
        <f>W27+W20+W14+W28</f>
        <v>986.59673538808715</v>
      </c>
    </row>
    <row r="30" spans="2:23" x14ac:dyDescent="0.3">
      <c r="B30" s="297" t="s">
        <v>22</v>
      </c>
      <c r="C30" s="298"/>
      <c r="D30" s="86">
        <v>166.91300000000001</v>
      </c>
      <c r="E30" s="86">
        <v>167.09800000000001</v>
      </c>
      <c r="F30" s="86">
        <v>167.346</v>
      </c>
      <c r="G30" s="87">
        <v>167.67500000000001</v>
      </c>
      <c r="H30" s="88">
        <v>167.25700000000001</v>
      </c>
      <c r="I30" s="85">
        <v>169.87100000000001</v>
      </c>
      <c r="J30" s="89">
        <v>176.98500000000001</v>
      </c>
      <c r="K30" s="89">
        <v>205.05099999999999</v>
      </c>
      <c r="L30" s="89">
        <v>202.816</v>
      </c>
      <c r="M30" s="88">
        <v>188.816</v>
      </c>
      <c r="N30" s="89">
        <v>202.946</v>
      </c>
      <c r="O30" s="89">
        <v>200.97900000000001</v>
      </c>
      <c r="P30" s="89">
        <f>O30*(1+P94)-P98</f>
        <v>201.34286935897435</v>
      </c>
      <c r="Q30" s="89">
        <f>P30*(1+Q94)-Q98</f>
        <v>202.18932729551278</v>
      </c>
      <c r="R30" s="88">
        <f>((N30*N27/R27)+(O30*O27/R27)+(P30*P27/R27)+(Q30*Q27/R27))</f>
        <v>187.02282300437088</v>
      </c>
      <c r="S30" s="89">
        <f>Q30*(1+S94)-S98</f>
        <v>203.04001752173392</v>
      </c>
      <c r="T30" s="89">
        <f>S30*(1+T94)-T98</f>
        <v>203.89496119908617</v>
      </c>
      <c r="U30" s="89">
        <f>T30*(1+U94)-U98</f>
        <v>204.75417959482516</v>
      </c>
      <c r="V30" s="89">
        <f>U30*(1+V94)-V98</f>
        <v>205.61769408254287</v>
      </c>
      <c r="W30" s="88">
        <f>((S30*S27/W27)+(T30*T27/W27)+(U30*U27/W27)+(V30*V27/W27))</f>
        <v>203.24335748715234</v>
      </c>
    </row>
    <row r="31" spans="2:23" ht="15.75" customHeight="1" x14ac:dyDescent="0.3">
      <c r="B31" s="297" t="s">
        <v>23</v>
      </c>
      <c r="C31" s="298"/>
      <c r="D31" s="86">
        <v>173.74100000000001</v>
      </c>
      <c r="E31" s="86">
        <v>173.964</v>
      </c>
      <c r="F31" s="86">
        <v>174.27</v>
      </c>
      <c r="G31" s="87">
        <v>174.93199999999999</v>
      </c>
      <c r="H31" s="88">
        <v>174.285</v>
      </c>
      <c r="I31" s="85">
        <v>173.77799999999999</v>
      </c>
      <c r="J31" s="89">
        <v>181.417</v>
      </c>
      <c r="K31" s="89">
        <v>208.09399999999999</v>
      </c>
      <c r="L31" s="89">
        <v>205.798</v>
      </c>
      <c r="M31" s="88">
        <v>192.58600000000001</v>
      </c>
      <c r="N31" s="89">
        <v>206.90799999999999</v>
      </c>
      <c r="O31" s="89">
        <v>204.96799999999999</v>
      </c>
      <c r="P31" s="89">
        <f>O31*(1+P95)-P98</f>
        <v>205.35181435897434</v>
      </c>
      <c r="Q31" s="89">
        <f>P31*(1+Q95)-Q98</f>
        <v>206.21831702051279</v>
      </c>
      <c r="R31" s="88">
        <f>((N31*N27/R27)+(O31*O27/R27)+(P31*P27/R27)+(Q31*Q27/R27))</f>
        <v>190.72940998890218</v>
      </c>
      <c r="S31" s="89">
        <f>Q31*(1+S95)-S98</f>
        <v>207.08915219535891</v>
      </c>
      <c r="T31" s="89">
        <f>S31*(1+T95)-T98</f>
        <v>207.96434154607928</v>
      </c>
      <c r="U31" s="89">
        <f>T31*(1+U95)-U98</f>
        <v>208.84390684355324</v>
      </c>
      <c r="V31" s="89">
        <f>U31*(1+V95)-V98</f>
        <v>209.72786996751458</v>
      </c>
      <c r="W31" s="88">
        <f>((S31*S27/W27)+(T31*T27/W27)+(U31*U27/W27)+(V31*V27/W27))</f>
        <v>207.30145411230137</v>
      </c>
    </row>
    <row r="32" spans="2:23" s="58" customFormat="1" ht="15.75" customHeight="1" x14ac:dyDescent="0.3">
      <c r="B32" s="297" t="s">
        <v>20</v>
      </c>
      <c r="C32" s="298"/>
      <c r="D32" s="44">
        <f>D27/D30</f>
        <v>0.57065656959014555</v>
      </c>
      <c r="E32" s="44">
        <f>E27/E30</f>
        <v>0.84383415720116306</v>
      </c>
      <c r="F32" s="44">
        <f>F27/F30</f>
        <v>0.72663822260466304</v>
      </c>
      <c r="G32" s="39">
        <f>G27/G30</f>
        <v>0.74746980766363769</v>
      </c>
      <c r="H32" s="40">
        <f>H27/H30</f>
        <v>2.8888775955565387</v>
      </c>
      <c r="I32" s="80">
        <f>I27/I30</f>
        <v>2.5984423474283872E-2</v>
      </c>
      <c r="J32" s="38">
        <f>J27/J30</f>
        <v>1.2939175636353364</v>
      </c>
      <c r="K32" s="38">
        <f>K27/K30</f>
        <v>0.85136868388839859</v>
      </c>
      <c r="L32" s="38">
        <f>L27/L30</f>
        <v>0.68407324865888186</v>
      </c>
      <c r="M32" s="40">
        <f>M27/M30</f>
        <v>2.8955861791373607</v>
      </c>
      <c r="N32" s="38">
        <f>N27/N30</f>
        <v>0.8074906625407744</v>
      </c>
      <c r="O32" s="38">
        <f>O27/O30</f>
        <v>0.91660820284706412</v>
      </c>
      <c r="P32" s="38">
        <f>P27/P30</f>
        <v>1.1628654679722523</v>
      </c>
      <c r="Q32" s="38">
        <f>Q27/Q30</f>
        <v>1.0075839844021344</v>
      </c>
      <c r="R32" s="40">
        <f>R27/R30</f>
        <v>4.5347459059068171</v>
      </c>
      <c r="S32" s="38">
        <f>S27/S30</f>
        <v>1.0559641523723262</v>
      </c>
      <c r="T32" s="38">
        <f>T27/T30</f>
        <v>1.2626542533761949</v>
      </c>
      <c r="U32" s="38">
        <f>U27/U30</f>
        <v>1.362733617165705</v>
      </c>
      <c r="V32" s="38">
        <f>V27/V30</f>
        <v>1.1314915062156037</v>
      </c>
      <c r="W32" s="40">
        <f>W27/W30</f>
        <v>4.8657671897129573</v>
      </c>
    </row>
    <row r="33" spans="2:25" x14ac:dyDescent="0.3">
      <c r="B33" s="313" t="s">
        <v>21</v>
      </c>
      <c r="C33" s="314"/>
      <c r="D33" s="81">
        <f>D27/D31</f>
        <v>0.5482298363656245</v>
      </c>
      <c r="E33" s="81">
        <f>E27/E31</f>
        <v>0.81052976477891958</v>
      </c>
      <c r="F33" s="81">
        <f>F27/F31</f>
        <v>0.69776783152579291</v>
      </c>
      <c r="G33" s="82">
        <f>G27/G31</f>
        <v>0.71646125351565437</v>
      </c>
      <c r="H33" s="55">
        <f>H27/H31</f>
        <v>2.7723843130504635</v>
      </c>
      <c r="I33" s="83">
        <f>I27/I31</f>
        <v>2.5400223273372213E-2</v>
      </c>
      <c r="J33" s="10">
        <f>J27/J31</f>
        <v>1.2623072810155609</v>
      </c>
      <c r="K33" s="10">
        <f>K27/K31</f>
        <v>0.83891895008986328</v>
      </c>
      <c r="L33" s="10">
        <f>L27/L31</f>
        <v>0.67416107056433872</v>
      </c>
      <c r="M33" s="55">
        <f>M27/M31</f>
        <v>2.8389031393766935</v>
      </c>
      <c r="N33" s="10">
        <f>N27/N31</f>
        <v>0.79202834109845932</v>
      </c>
      <c r="O33" s="10">
        <f>O27/O31</f>
        <v>0.89876956402950758</v>
      </c>
      <c r="P33" s="273">
        <f>P27/P31</f>
        <v>1.140163629578214</v>
      </c>
      <c r="Q33" s="273">
        <f>Q27/Q31</f>
        <v>0.98789831545243112</v>
      </c>
      <c r="R33" s="55">
        <f>R27/R31</f>
        <v>4.4466188039880894</v>
      </c>
      <c r="S33" s="273">
        <f>S27/S31</f>
        <v>1.0353172907760111</v>
      </c>
      <c r="T33" s="273">
        <f>T27/T31</f>
        <v>1.2379470349870372</v>
      </c>
      <c r="U33" s="10">
        <f>U27/U31</f>
        <v>1.3360476156868335</v>
      </c>
      <c r="V33" s="10">
        <f>V27/V31</f>
        <v>1.1093169182430178</v>
      </c>
      <c r="W33" s="284">
        <f>W27/W31</f>
        <v>4.7705157912319889</v>
      </c>
    </row>
    <row r="34" spans="2:25" s="58" customFormat="1" x14ac:dyDescent="0.3">
      <c r="B34" s="297" t="s">
        <v>24</v>
      </c>
      <c r="C34" s="298"/>
      <c r="D34" s="385">
        <f t="shared" ref="D34:N34" si="21">D29/D31</f>
        <v>0.5482298363656245</v>
      </c>
      <c r="E34" s="44">
        <f t="shared" si="21"/>
        <v>0.81641604010025037</v>
      </c>
      <c r="F34" s="44">
        <f t="shared" si="21"/>
        <v>0.69799736041774219</v>
      </c>
      <c r="G34" s="44">
        <f t="shared" si="21"/>
        <v>0.72327532984245568</v>
      </c>
      <c r="H34" s="40">
        <f t="shared" si="21"/>
        <v>2.7853286283960181</v>
      </c>
      <c r="I34" s="44">
        <f t="shared" si="21"/>
        <v>0.63766414620953216</v>
      </c>
      <c r="J34" s="38">
        <f t="shared" si="21"/>
        <v>0.78941885269847922</v>
      </c>
      <c r="K34" s="38">
        <f t="shared" si="21"/>
        <v>0.86654588791603815</v>
      </c>
      <c r="L34" s="38">
        <f t="shared" si="21"/>
        <v>0.68450130710696799</v>
      </c>
      <c r="M34" s="40">
        <f t="shared" si="21"/>
        <v>2.1483804637927988</v>
      </c>
      <c r="N34" s="38">
        <f t="shared" si="21"/>
        <v>0.80258375703211093</v>
      </c>
      <c r="O34" s="38">
        <f>O29/O31</f>
        <v>0.89876956402950758</v>
      </c>
      <c r="P34" s="38">
        <f t="shared" ref="P34:W34" si="22">P29/P31</f>
        <v>1.1359756948249486</v>
      </c>
      <c r="Q34" s="38">
        <f t="shared" si="22"/>
        <v>0.98998348424932925</v>
      </c>
      <c r="R34" s="40">
        <f t="shared" si="22"/>
        <v>4.4152340269872665</v>
      </c>
      <c r="S34" s="38">
        <f t="shared" si="22"/>
        <v>1.0322026901648138</v>
      </c>
      <c r="T34" s="38">
        <f t="shared" si="22"/>
        <v>1.2353624572848982</v>
      </c>
      <c r="U34" s="38">
        <f t="shared" si="22"/>
        <v>1.3332165539195255</v>
      </c>
      <c r="V34" s="38">
        <f t="shared" si="22"/>
        <v>1.1066259311077009</v>
      </c>
      <c r="W34" s="40">
        <f t="shared" si="22"/>
        <v>4.7592369267878762</v>
      </c>
    </row>
    <row r="35" spans="2:25" s="12" customFormat="1" x14ac:dyDescent="0.3">
      <c r="B35" s="36" t="s">
        <v>34</v>
      </c>
      <c r="C35" s="37"/>
      <c r="D35" s="224"/>
      <c r="E35" s="224"/>
      <c r="F35" s="224"/>
      <c r="G35" s="224"/>
      <c r="H35" s="225"/>
      <c r="I35" s="224"/>
      <c r="J35" s="38"/>
      <c r="K35" s="38"/>
      <c r="L35" s="38"/>
      <c r="M35" s="225"/>
      <c r="N35" s="38"/>
      <c r="O35" s="38"/>
      <c r="P35" s="38"/>
      <c r="Q35" s="38"/>
      <c r="R35" s="40"/>
      <c r="S35" s="38"/>
      <c r="T35" s="38"/>
      <c r="U35" s="38"/>
      <c r="V35" s="38"/>
      <c r="W35" s="40"/>
    </row>
    <row r="36" spans="2:25" x14ac:dyDescent="0.3">
      <c r="B36" s="21"/>
      <c r="C36" s="24"/>
      <c r="D36" s="153">
        <f>ROUND(((D44+D46+D48)-D11),0)</f>
        <v>0</v>
      </c>
      <c r="E36" s="153">
        <f>ROUND(((E44+E46+E48)-E11),0)</f>
        <v>0</v>
      </c>
      <c r="F36" s="153">
        <f>ROUND(((F44+F46+F48)-F11),0)</f>
        <v>0</v>
      </c>
      <c r="G36" s="153">
        <f>ROUND(((G44+G46+G48)-G11),0)</f>
        <v>0</v>
      </c>
      <c r="H36" s="67"/>
      <c r="I36" s="153">
        <f>ROUND(((I44+I46+I48)-I11),0)</f>
        <v>0</v>
      </c>
      <c r="J36" s="153">
        <f>ROUND(((J44+J46+J48)-J11),0)</f>
        <v>0</v>
      </c>
      <c r="K36" s="153">
        <f>ROUND(((K44+K46+K48)-K11),0)</f>
        <v>0</v>
      </c>
      <c r="L36" s="153">
        <f>ROUND(((L44+L46+L48)-L11),0)</f>
        <v>0</v>
      </c>
      <c r="M36" s="153">
        <f>(M44+M46+M48)-M11</f>
        <v>0</v>
      </c>
      <c r="N36" s="153">
        <f>ROUND(((N44+N46+N48)-N11),0)</f>
        <v>0</v>
      </c>
      <c r="O36" s="153">
        <f>ROUND(((O44+O46+O48)-O11),0)</f>
        <v>0</v>
      </c>
      <c r="P36" s="153">
        <f>ROUND(((P44+P46+P48)-P11),0)</f>
        <v>0</v>
      </c>
      <c r="Q36" s="153">
        <f>ROUND(((Q44+Q46+Q48)-Q11),0)</f>
        <v>0</v>
      </c>
      <c r="R36" s="67"/>
      <c r="S36" s="153">
        <f>ROUND(((S44+S46+S48)-S11),0)</f>
        <v>0</v>
      </c>
      <c r="T36" s="153">
        <f>ROUND(((T44+T46+T48)-T11),0)</f>
        <v>0</v>
      </c>
      <c r="U36" s="153">
        <f>ROUND(((U44+U46+U48)-U11),0)</f>
        <v>0</v>
      </c>
      <c r="V36" s="153">
        <f>ROUND(((V44+V46+V48)-V11),0)</f>
        <v>0</v>
      </c>
      <c r="W36" s="67"/>
    </row>
    <row r="37" spans="2:25" ht="15.6" x14ac:dyDescent="0.3">
      <c r="B37" s="309" t="s">
        <v>19</v>
      </c>
      <c r="C37" s="310"/>
      <c r="D37" s="60" t="s">
        <v>5</v>
      </c>
      <c r="E37" s="60" t="s">
        <v>4</v>
      </c>
      <c r="F37" s="60" t="s">
        <v>3</v>
      </c>
      <c r="G37" s="60" t="s">
        <v>6</v>
      </c>
      <c r="H37" s="60" t="s">
        <v>6</v>
      </c>
      <c r="I37" s="60" t="s">
        <v>7</v>
      </c>
      <c r="J37" s="60" t="s">
        <v>8</v>
      </c>
      <c r="K37" s="60" t="s">
        <v>9</v>
      </c>
      <c r="L37" s="60" t="s">
        <v>11</v>
      </c>
      <c r="M37" s="60" t="s">
        <v>11</v>
      </c>
      <c r="N37" s="60" t="s">
        <v>12</v>
      </c>
      <c r="O37" s="60" t="s">
        <v>13</v>
      </c>
      <c r="P37" s="62" t="s">
        <v>14</v>
      </c>
      <c r="Q37" s="62" t="s">
        <v>10</v>
      </c>
      <c r="R37" s="62" t="s">
        <v>10</v>
      </c>
      <c r="S37" s="62" t="s">
        <v>15</v>
      </c>
      <c r="T37" s="62" t="s">
        <v>16</v>
      </c>
      <c r="U37" s="62" t="s">
        <v>17</v>
      </c>
      <c r="V37" s="62" t="s">
        <v>18</v>
      </c>
      <c r="W37" s="68" t="s">
        <v>18</v>
      </c>
    </row>
    <row r="38" spans="2:25" ht="16.2" x14ac:dyDescent="0.45">
      <c r="B38" s="293" t="s">
        <v>66</v>
      </c>
      <c r="C38" s="294"/>
      <c r="D38" s="61" t="s">
        <v>41</v>
      </c>
      <c r="E38" s="61" t="s">
        <v>42</v>
      </c>
      <c r="F38" s="61" t="s">
        <v>43</v>
      </c>
      <c r="G38" s="61" t="s">
        <v>44</v>
      </c>
      <c r="H38" s="61" t="s">
        <v>29</v>
      </c>
      <c r="I38" s="61" t="s">
        <v>45</v>
      </c>
      <c r="J38" s="61" t="s">
        <v>46</v>
      </c>
      <c r="K38" s="61" t="s">
        <v>55</v>
      </c>
      <c r="L38" s="61" t="s">
        <v>81</v>
      </c>
      <c r="M38" s="61" t="s">
        <v>82</v>
      </c>
      <c r="N38" s="61" t="s">
        <v>47</v>
      </c>
      <c r="O38" s="61" t="s">
        <v>48</v>
      </c>
      <c r="P38" s="63" t="s">
        <v>49</v>
      </c>
      <c r="Q38" s="63" t="s">
        <v>50</v>
      </c>
      <c r="R38" s="63" t="s">
        <v>30</v>
      </c>
      <c r="S38" s="63" t="s">
        <v>51</v>
      </c>
      <c r="T38" s="63" t="s">
        <v>52</v>
      </c>
      <c r="U38" s="63" t="s">
        <v>53</v>
      </c>
      <c r="V38" s="63" t="s">
        <v>54</v>
      </c>
      <c r="W38" s="69" t="s">
        <v>31</v>
      </c>
    </row>
    <row r="39" spans="2:25" s="154" customFormat="1" ht="14.55" customHeight="1" x14ac:dyDescent="0.3">
      <c r="B39" s="386" t="s">
        <v>222</v>
      </c>
      <c r="C39" s="278"/>
      <c r="D39" s="368"/>
      <c r="E39" s="368"/>
      <c r="F39" s="368"/>
      <c r="G39" s="368"/>
      <c r="H39" s="369"/>
      <c r="I39" s="368"/>
      <c r="J39" s="368"/>
      <c r="K39" s="368"/>
      <c r="L39" s="368"/>
      <c r="M39" s="369"/>
      <c r="N39" s="368"/>
      <c r="O39" s="368"/>
      <c r="P39" s="368"/>
      <c r="Q39" s="368"/>
      <c r="R39" s="369"/>
      <c r="S39" s="368"/>
      <c r="T39" s="368"/>
      <c r="U39" s="368"/>
      <c r="V39" s="368"/>
      <c r="W39" s="369"/>
    </row>
    <row r="40" spans="2:25" s="154" customFormat="1" ht="14.55" hidden="1" customHeight="1" outlineLevel="1" x14ac:dyDescent="0.3">
      <c r="B40" s="235" t="s">
        <v>215</v>
      </c>
      <c r="C40" s="236"/>
      <c r="D40" s="368">
        <f>D41*D43</f>
        <v>536.12900000000002</v>
      </c>
      <c r="E40" s="368">
        <f>E41*E43</f>
        <v>687.19899999999996</v>
      </c>
      <c r="F40" s="368">
        <f>F41*F43</f>
        <v>635.97199999999998</v>
      </c>
      <c r="G40" s="368">
        <f>G41*G43</f>
        <v>605.56700000000001</v>
      </c>
      <c r="H40" s="369">
        <f>SUM(D40:G40)</f>
        <v>2464.8670000000002</v>
      </c>
      <c r="I40" s="368">
        <f>I41*I43</f>
        <v>626.79099999999994</v>
      </c>
      <c r="J40" s="368">
        <f>J41*J43</f>
        <v>693.72199999999987</v>
      </c>
      <c r="K40" s="368">
        <f>K41*K43</f>
        <v>756.61899999999991</v>
      </c>
      <c r="L40" s="368">
        <f>L41*L43</f>
        <v>645.48000000000036</v>
      </c>
      <c r="M40" s="369">
        <f>SUM(I40:L40)</f>
        <v>2722.6120000000001</v>
      </c>
      <c r="N40" s="368">
        <f>N41*N43</f>
        <v>680.18600000000004</v>
      </c>
      <c r="O40" s="368">
        <f>O41*O43</f>
        <v>827.50000000000011</v>
      </c>
      <c r="P40" s="368">
        <f>P41*P43</f>
        <v>824.54999999999916</v>
      </c>
      <c r="Q40" s="368">
        <f t="shared" ref="Q40:W40" si="23">Q41*Q43</f>
        <v>743.32</v>
      </c>
      <c r="R40" s="369">
        <f t="shared" si="23"/>
        <v>3065.52</v>
      </c>
      <c r="S40" s="368">
        <f>S41*S43</f>
        <v>773</v>
      </c>
      <c r="T40" s="368">
        <f t="shared" si="23"/>
        <v>906.70000000000095</v>
      </c>
      <c r="U40" s="368">
        <f t="shared" si="23"/>
        <v>1006.1256269446338</v>
      </c>
      <c r="V40" s="368">
        <f t="shared" si="23"/>
        <v>838.84305332624695</v>
      </c>
      <c r="W40" s="369">
        <f t="shared" si="23"/>
        <v>3419.7914631657977</v>
      </c>
    </row>
    <row r="41" spans="2:25" s="72" customFormat="1" ht="14.55" hidden="1" customHeight="1" outlineLevel="1" x14ac:dyDescent="0.3">
      <c r="B41" s="231" t="s">
        <v>190</v>
      </c>
      <c r="C41" s="232"/>
      <c r="D41" s="370">
        <v>51.926000000000002</v>
      </c>
      <c r="E41" s="370">
        <v>65.587000000000003</v>
      </c>
      <c r="F41" s="370">
        <v>62.204000000000001</v>
      </c>
      <c r="G41" s="370">
        <v>58.563000000000002</v>
      </c>
      <c r="H41" s="371">
        <f>SUM(D41:G41)</f>
        <v>238.28000000000003</v>
      </c>
      <c r="I41" s="370">
        <v>57.779000000000003</v>
      </c>
      <c r="J41" s="370">
        <v>68.037000000000006</v>
      </c>
      <c r="K41" s="370">
        <v>81.274000000000001</v>
      </c>
      <c r="L41" s="370">
        <v>67.531000000000006</v>
      </c>
      <c r="M41" s="371">
        <f>SUM(I41:L41)</f>
        <v>274.62099999999998</v>
      </c>
      <c r="N41" s="370">
        <v>72.653000000000006</v>
      </c>
      <c r="O41" s="370">
        <v>87.573999999999998</v>
      </c>
      <c r="P41" s="370">
        <f>K41*(1+P42)</f>
        <v>98.06292660279081</v>
      </c>
      <c r="Q41" s="370">
        <f>L41*(1+Q42)</f>
        <v>77.872307788193922</v>
      </c>
      <c r="R41" s="371">
        <f>SUM(N41:Q41)</f>
        <v>336.16223439098474</v>
      </c>
      <c r="S41" s="370">
        <f>N41*(1+S42)</f>
        <v>81.368421052631575</v>
      </c>
      <c r="T41" s="370">
        <f>O41*(1+T42)</f>
        <v>100.74444444444455</v>
      </c>
      <c r="U41" s="370">
        <f>P41*(1+U42)</f>
        <v>111.79173632718154</v>
      </c>
      <c r="V41" s="370">
        <f>Q41*(1+V42)</f>
        <v>88.774430878541082</v>
      </c>
      <c r="W41" s="371">
        <f>SUM(S41:V41)</f>
        <v>382.67903270279874</v>
      </c>
    </row>
    <row r="42" spans="2:25" s="72" customFormat="1" hidden="1" outlineLevel="1" x14ac:dyDescent="0.3">
      <c r="B42" s="235" t="s">
        <v>192</v>
      </c>
      <c r="D42" s="365"/>
      <c r="E42" s="245">
        <f>E41/D41-1</f>
        <v>0.26308592997727542</v>
      </c>
      <c r="F42" s="245">
        <f>F41/E41-1</f>
        <v>-5.158034366566544E-2</v>
      </c>
      <c r="G42" s="245">
        <f t="shared" ref="G42:J42" si="24">G41/F41-1</f>
        <v>-5.8533213298180176E-2</v>
      </c>
      <c r="H42" s="246"/>
      <c r="I42" s="247">
        <f>I41/G41-1</f>
        <v>-1.3387292317674993E-2</v>
      </c>
      <c r="J42" s="245">
        <f t="shared" si="24"/>
        <v>0.17753855206909086</v>
      </c>
      <c r="K42" s="245">
        <f>K41/J41-1</f>
        <v>0.19455590340549977</v>
      </c>
      <c r="L42" s="245">
        <f t="shared" ref="L42" si="25">L41/K41-1</f>
        <v>-0.16909466742131551</v>
      </c>
      <c r="M42" s="246"/>
      <c r="N42" s="245">
        <f>N41/L41-1</f>
        <v>7.5846648206009171E-2</v>
      </c>
      <c r="O42" s="245">
        <f t="shared" ref="O42" si="26">O41/N41-1</f>
        <v>0.2053734876742872</v>
      </c>
      <c r="P42" s="248">
        <v>0.20657192463507176</v>
      </c>
      <c r="Q42" s="248">
        <v>0.15313423151136396</v>
      </c>
      <c r="R42" s="79"/>
      <c r="S42" s="248">
        <v>0.11995954816224481</v>
      </c>
      <c r="T42" s="248">
        <v>0.15039217626743742</v>
      </c>
      <c r="U42" s="248">
        <v>0.14000000000000001</v>
      </c>
      <c r="V42" s="248">
        <v>0.14000000000000001</v>
      </c>
      <c r="W42" s="79"/>
    </row>
    <row r="43" spans="2:25" s="72" customFormat="1" hidden="1" outlineLevel="1" x14ac:dyDescent="0.3">
      <c r="B43" s="366" t="s">
        <v>191</v>
      </c>
      <c r="C43" s="367"/>
      <c r="D43" s="372">
        <f>(D44+D48)/D41</f>
        <v>10.324866155683088</v>
      </c>
      <c r="E43" s="372">
        <f>(E44+E48)/E41</f>
        <v>10.477670879899978</v>
      </c>
      <c r="F43" s="372">
        <f>(F44+F48)/F41</f>
        <v>10.223972734872355</v>
      </c>
      <c r="G43" s="372">
        <f>(G44+G48)/G41</f>
        <v>10.34043679456312</v>
      </c>
      <c r="H43" s="373">
        <f>(H44+H48)/H41</f>
        <v>10.344414134631526</v>
      </c>
      <c r="I43" s="374">
        <f>(I44+I48+I46)/I41</f>
        <v>10.848076290693848</v>
      </c>
      <c r="J43" s="372">
        <f>(J44+J48+J46)/J41</f>
        <v>10.196246160177548</v>
      </c>
      <c r="K43" s="372">
        <f>(K44+K48+K46)/K41</f>
        <v>9.309483967812584</v>
      </c>
      <c r="L43" s="375">
        <f>(L44+L48+L46)/L41</f>
        <v>9.5582769394796507</v>
      </c>
      <c r="M43" s="373">
        <f>(M44+M48+M46)/M41</f>
        <v>9.9138958783195772</v>
      </c>
      <c r="N43" s="372">
        <f>(N44+N48+N46)/N41</f>
        <v>9.3621185635830582</v>
      </c>
      <c r="O43" s="372">
        <f>(O44+O48+O46)/O41</f>
        <v>9.4491515746682815</v>
      </c>
      <c r="P43" s="376">
        <v>8.4083764228237197</v>
      </c>
      <c r="Q43" s="376">
        <v>9.5453701208106931</v>
      </c>
      <c r="R43" s="373">
        <v>9.1191683252394871</v>
      </c>
      <c r="S43" s="376">
        <v>9.5</v>
      </c>
      <c r="T43" s="376">
        <v>9</v>
      </c>
      <c r="U43" s="376">
        <v>9</v>
      </c>
      <c r="V43" s="376">
        <v>9.4491515746682815</v>
      </c>
      <c r="W43" s="373">
        <v>8.9364484879466115</v>
      </c>
    </row>
    <row r="44" spans="2:25" s="72" customFormat="1" ht="14.55" hidden="1" customHeight="1" outlineLevel="1" x14ac:dyDescent="0.3">
      <c r="B44" s="297" t="s">
        <v>216</v>
      </c>
      <c r="C44" s="298"/>
      <c r="D44" s="72">
        <v>514.35500000000002</v>
      </c>
      <c r="E44" s="72">
        <v>643.404</v>
      </c>
      <c r="F44" s="72">
        <v>594.34799999999996</v>
      </c>
      <c r="G44" s="17">
        <v>605.56700000000001</v>
      </c>
      <c r="H44" s="32">
        <v>2369.2080000000001</v>
      </c>
      <c r="I44" s="72">
        <v>595.48199999999997</v>
      </c>
      <c r="J44" s="72">
        <v>651.22799999999995</v>
      </c>
      <c r="K44" s="72">
        <v>686.68399999999997</v>
      </c>
      <c r="L44" s="17">
        <f>M44-K44-J44-I44</f>
        <v>585.11100000000033</v>
      </c>
      <c r="M44" s="32">
        <v>2518.5050000000001</v>
      </c>
      <c r="N44" s="72">
        <v>624.29200000000003</v>
      </c>
      <c r="O44" s="45">
        <v>743.5</v>
      </c>
      <c r="P44" s="45">
        <f>P40*P51</f>
        <v>748.82120244339865</v>
      </c>
      <c r="Q44" s="45">
        <f>Q40*Q51</f>
        <v>671.45836758102678</v>
      </c>
      <c r="R44" s="32">
        <f>SUM(N44:Q44)</f>
        <v>2788.0715700244255</v>
      </c>
      <c r="S44" s="45">
        <f>S40*S51</f>
        <v>700.13734706922116</v>
      </c>
      <c r="T44" s="45">
        <f>T40*T51</f>
        <v>820.13909512290002</v>
      </c>
      <c r="U44" s="45">
        <f>U40*U51</f>
        <v>910.68069988754792</v>
      </c>
      <c r="V44" s="45">
        <f>V40*V51</f>
        <v>759.0137559762012</v>
      </c>
      <c r="W44" s="32">
        <f>SUM(S44:V44)</f>
        <v>3189.9708980558703</v>
      </c>
      <c r="Y44" s="288"/>
    </row>
    <row r="45" spans="2:25" s="72" customFormat="1" ht="14.55" hidden="1" customHeight="1" outlineLevel="1" x14ac:dyDescent="0.3">
      <c r="B45" s="297" t="s">
        <v>219</v>
      </c>
      <c r="C45" s="298"/>
      <c r="D45" s="45">
        <v>0</v>
      </c>
      <c r="E45" s="31">
        <f>E44/D44-1</f>
        <v>0.25089481000476321</v>
      </c>
      <c r="F45" s="31">
        <f>F44/E44-1</f>
        <v>-7.6244474700188469E-2</v>
      </c>
      <c r="G45" s="31">
        <f>G44/F44-1</f>
        <v>1.8876146634631663E-2</v>
      </c>
      <c r="H45" s="42"/>
      <c r="I45" s="31">
        <f>I44/G44-1</f>
        <v>-1.6653813698566888E-2</v>
      </c>
      <c r="J45" s="31">
        <f>J44/I44-1</f>
        <v>9.3614920350237218E-2</v>
      </c>
      <c r="K45" s="31">
        <f>K44/J44-1</f>
        <v>5.4444833453107133E-2</v>
      </c>
      <c r="L45" s="31">
        <f>L44/K44-1</f>
        <v>-0.14791811080496942</v>
      </c>
      <c r="M45" s="42"/>
      <c r="N45" s="31">
        <f>N44/L44-1</f>
        <v>6.6963362507284296E-2</v>
      </c>
      <c r="O45" s="31">
        <f>O44/N44-1</f>
        <v>0.19094910714857782</v>
      </c>
      <c r="P45" s="31">
        <f t="shared" ref="P45:Q45" si="27">P44/O44-1</f>
        <v>7.1569636091441957E-3</v>
      </c>
      <c r="Q45" s="31">
        <f t="shared" si="27"/>
        <v>-0.10331282635953343</v>
      </c>
      <c r="R45" s="42"/>
      <c r="S45" s="31">
        <f>S44/Q44-1</f>
        <v>4.2711478287942528E-2</v>
      </c>
      <c r="T45" s="31">
        <f t="shared" ref="T45" si="28">T44/S44-1</f>
        <v>0.17139743873970859</v>
      </c>
      <c r="U45" s="31">
        <f t="shared" ref="U45" si="29">U44/T44-1</f>
        <v>0.11039786458549439</v>
      </c>
      <c r="V45" s="31">
        <f t="shared" ref="V45" si="30">V44/U44-1</f>
        <v>-0.16654239398076054</v>
      </c>
      <c r="W45" s="42"/>
    </row>
    <row r="46" spans="2:25" s="72" customFormat="1" ht="14.55" hidden="1" customHeight="1" outlineLevel="1" x14ac:dyDescent="0.3">
      <c r="B46" s="231" t="s">
        <v>218</v>
      </c>
      <c r="C46" s="232"/>
      <c r="D46" s="45">
        <v>0</v>
      </c>
      <c r="E46" s="45">
        <v>0</v>
      </c>
      <c r="F46" s="45">
        <v>0</v>
      </c>
      <c r="G46" s="45">
        <v>0</v>
      </c>
      <c r="H46" s="32">
        <v>0</v>
      </c>
      <c r="I46" s="45">
        <v>0</v>
      </c>
      <c r="J46" s="45">
        <v>12.978</v>
      </c>
      <c r="K46" s="45">
        <v>69.935000000000002</v>
      </c>
      <c r="L46" s="17">
        <f>M46-K46-J46-I46</f>
        <v>60.369000000000007</v>
      </c>
      <c r="M46" s="32">
        <v>143.28200000000001</v>
      </c>
      <c r="N46" s="45">
        <v>55.893999999999998</v>
      </c>
      <c r="O46" s="45">
        <v>77.400000000000006</v>
      </c>
      <c r="P46" s="45">
        <f>P40*P52</f>
        <v>72.440561907053549</v>
      </c>
      <c r="Q46" s="45">
        <f>Q40*Q52</f>
        <v>67.415186497523067</v>
      </c>
      <c r="R46" s="32">
        <f>SUM(N46:Q46)</f>
        <v>273.1497484045766</v>
      </c>
      <c r="S46" s="45">
        <f>S40*S52</f>
        <v>69.009329667938786</v>
      </c>
      <c r="T46" s="45">
        <f>T40*T52</f>
        <v>81.589120889185409</v>
      </c>
      <c r="U46" s="45">
        <f>U40*U52</f>
        <v>90.178725701552338</v>
      </c>
      <c r="V46" s="45">
        <f>V40*V52</f>
        <v>75.334137634524694</v>
      </c>
      <c r="W46" s="32">
        <f>SUM(S46:V46)</f>
        <v>316.11131389320121</v>
      </c>
    </row>
    <row r="47" spans="2:25" s="72" customFormat="1" ht="14.55" hidden="1" customHeight="1" outlineLevel="1" x14ac:dyDescent="0.3">
      <c r="B47" s="231" t="s">
        <v>217</v>
      </c>
      <c r="C47" s="232"/>
      <c r="D47" s="78">
        <v>0</v>
      </c>
      <c r="E47" s="78">
        <f>E46/E41</f>
        <v>0</v>
      </c>
      <c r="F47" s="78">
        <f>F46/F41</f>
        <v>0</v>
      </c>
      <c r="G47" s="78">
        <f>G46/G41</f>
        <v>0</v>
      </c>
      <c r="H47" s="79"/>
      <c r="I47" s="78">
        <f>I46/I41</f>
        <v>0</v>
      </c>
      <c r="J47" s="31">
        <v>0</v>
      </c>
      <c r="K47" s="31">
        <f>K46/J46-1</f>
        <v>4.3887347819386653</v>
      </c>
      <c r="L47" s="31">
        <f>L46/K46-1</f>
        <v>-0.13678415671695143</v>
      </c>
      <c r="M47" s="79"/>
      <c r="N47" s="31">
        <f>N46/L46-1</f>
        <v>-7.4127449518792909E-2</v>
      </c>
      <c r="O47" s="31">
        <f>O46/N46-1</f>
        <v>0.38476401760475198</v>
      </c>
      <c r="P47" s="31">
        <f t="shared" ref="P47:Q47" si="31">P46/O46-1</f>
        <v>-6.4075427557447773E-2</v>
      </c>
      <c r="Q47" s="31">
        <f t="shared" si="31"/>
        <v>-6.9372396862111607E-2</v>
      </c>
      <c r="R47" s="79"/>
      <c r="S47" s="31">
        <f>S46/Q46-1</f>
        <v>2.3646647784239194E-2</v>
      </c>
      <c r="T47" s="31">
        <f t="shared" ref="T47:V47" si="32">T46/R46-1</f>
        <v>-0.70130259549666718</v>
      </c>
      <c r="U47" s="31">
        <f t="shared" si="32"/>
        <v>0.30676136307187885</v>
      </c>
      <c r="V47" s="31">
        <f t="shared" si="32"/>
        <v>-7.6664427640496968E-2</v>
      </c>
      <c r="W47" s="79"/>
    </row>
    <row r="48" spans="2:25" s="155" customFormat="1" ht="14.55" hidden="1" customHeight="1" outlineLevel="1" x14ac:dyDescent="0.3">
      <c r="B48" s="297" t="s">
        <v>189</v>
      </c>
      <c r="C48" s="298"/>
      <c r="D48" s="45">
        <v>21.774000000000001</v>
      </c>
      <c r="E48" s="45">
        <v>43.795000000000002</v>
      </c>
      <c r="F48" s="45">
        <v>41.624000000000002</v>
      </c>
      <c r="G48" s="45">
        <v>0</v>
      </c>
      <c r="H48" s="32">
        <v>95.659000000000006</v>
      </c>
      <c r="I48" s="242">
        <v>31.309000000000001</v>
      </c>
      <c r="J48" s="242">
        <v>29.515999999999998</v>
      </c>
      <c r="K48" s="242">
        <v>0</v>
      </c>
      <c r="L48" s="243">
        <v>0</v>
      </c>
      <c r="M48" s="244">
        <v>60.777000000000001</v>
      </c>
      <c r="N48" s="45">
        <v>0</v>
      </c>
      <c r="O48" s="78">
        <v>6.6</v>
      </c>
      <c r="P48" s="45">
        <f>P40*P53</f>
        <v>3.2882356495468237</v>
      </c>
      <c r="Q48" s="45">
        <f>Q40*Q53</f>
        <v>4.4464459214501506</v>
      </c>
      <c r="R48" s="32">
        <f>SUM(N48:Q48)</f>
        <v>14.334681570996974</v>
      </c>
      <c r="S48" s="45">
        <f>S40*S53</f>
        <v>3.8533232628398784</v>
      </c>
      <c r="T48" s="45">
        <f>T40*T53</f>
        <v>4.971783987915412</v>
      </c>
      <c r="U48" s="45">
        <f>U40*U53</f>
        <v>5.2662013555334681</v>
      </c>
      <c r="V48" s="45">
        <f>V40*V53</f>
        <v>4.4951597155209377</v>
      </c>
      <c r="W48" s="32">
        <f>SUM(S48:V48)</f>
        <v>18.586468321809697</v>
      </c>
    </row>
    <row r="49" spans="2:31" s="154" customFormat="1" ht="14.55" hidden="1" customHeight="1" outlineLevel="1" x14ac:dyDescent="0.3">
      <c r="B49" s="377" t="s">
        <v>220</v>
      </c>
      <c r="C49" s="378"/>
      <c r="D49" s="379"/>
      <c r="E49" s="379">
        <f>E48/D48-1</f>
        <v>1.0113438045375216</v>
      </c>
      <c r="F49" s="379">
        <f>F48/E48-1</f>
        <v>-4.9571868934809915E-2</v>
      </c>
      <c r="G49" s="379">
        <f>G48/F48-1</f>
        <v>-1</v>
      </c>
      <c r="H49" s="380"/>
      <c r="I49" s="381">
        <v>0</v>
      </c>
      <c r="J49" s="379">
        <f>-(J48/I48-1)</f>
        <v>5.7267878245871873E-2</v>
      </c>
      <c r="K49" s="379">
        <f t="shared" ref="K49" si="33">-(K48/J48-1)</f>
        <v>1</v>
      </c>
      <c r="L49" s="382">
        <v>0</v>
      </c>
      <c r="M49" s="380"/>
      <c r="N49" s="381">
        <v>0</v>
      </c>
      <c r="O49" s="379">
        <v>0</v>
      </c>
      <c r="P49" s="379">
        <v>0</v>
      </c>
      <c r="Q49" s="379">
        <v>0</v>
      </c>
      <c r="R49" s="380"/>
      <c r="S49" s="381">
        <v>0</v>
      </c>
      <c r="T49" s="379">
        <v>0</v>
      </c>
      <c r="U49" s="379">
        <v>0</v>
      </c>
      <c r="V49" s="379">
        <v>0</v>
      </c>
      <c r="W49" s="380"/>
    </row>
    <row r="50" spans="2:31" s="154" customFormat="1" ht="14.55" customHeight="1" collapsed="1" x14ac:dyDescent="0.3">
      <c r="B50" s="386" t="s">
        <v>70</v>
      </c>
      <c r="C50" s="278"/>
      <c r="D50" s="31"/>
      <c r="E50" s="31"/>
      <c r="F50" s="31"/>
      <c r="G50" s="31"/>
      <c r="H50" s="42"/>
      <c r="I50" s="31"/>
      <c r="J50" s="31"/>
      <c r="K50" s="31"/>
      <c r="L50" s="31"/>
      <c r="M50" s="42"/>
      <c r="N50" s="31"/>
      <c r="O50" s="31"/>
      <c r="P50" s="31"/>
      <c r="Q50" s="31"/>
      <c r="R50" s="42"/>
      <c r="S50" s="31"/>
      <c r="T50" s="31"/>
      <c r="U50" s="31"/>
      <c r="V50" s="31"/>
      <c r="W50" s="42"/>
    </row>
    <row r="51" spans="2:31" s="57" customFormat="1" hidden="1" outlineLevel="1" x14ac:dyDescent="0.3">
      <c r="B51" s="267" t="s">
        <v>207</v>
      </c>
      <c r="C51" s="266"/>
      <c r="D51" s="383">
        <f>D44/D40</f>
        <v>0.95938664015563413</v>
      </c>
      <c r="E51" s="383">
        <f>E44/E40</f>
        <v>0.93627027978795085</v>
      </c>
      <c r="F51" s="383">
        <f>F44/F40</f>
        <v>0.93455057769838923</v>
      </c>
      <c r="G51" s="383">
        <f>G44/G40</f>
        <v>1</v>
      </c>
      <c r="H51" s="272">
        <f>H44/H40</f>
        <v>0.96119100949462988</v>
      </c>
      <c r="I51" s="112">
        <f>I44/I40</f>
        <v>0.95004874032971121</v>
      </c>
      <c r="J51" s="112">
        <f>J44/J40</f>
        <v>0.9387449151100874</v>
      </c>
      <c r="K51" s="112">
        <f>K44/K40</f>
        <v>0.90756906712625518</v>
      </c>
      <c r="L51" s="112">
        <f>L44/L40</f>
        <v>0.90647425171965046</v>
      </c>
      <c r="M51" s="272">
        <f>M44/M40</f>
        <v>0.92503265246755695</v>
      </c>
      <c r="N51" s="112">
        <f>N44/N40</f>
        <v>0.9178254183414537</v>
      </c>
      <c r="O51" s="112">
        <f>O44/O40</f>
        <v>0.89848942598187298</v>
      </c>
      <c r="P51" s="384">
        <f>(N51+O51)/2</f>
        <v>0.90815742216166329</v>
      </c>
      <c r="Q51" s="384">
        <f t="shared" ref="P51:Q53" si="34">(O51+P51)/2</f>
        <v>0.90332342407176813</v>
      </c>
      <c r="R51" s="272"/>
      <c r="S51" s="384">
        <f>(P51+Q51)/2</f>
        <v>0.90574042311671565</v>
      </c>
      <c r="T51" s="248">
        <f>(Q51+S51)/2</f>
        <v>0.90453192359424195</v>
      </c>
      <c r="U51" s="384">
        <f t="shared" ref="U51:V53" si="35">(S51+T51)/2</f>
        <v>0.9051361733554788</v>
      </c>
      <c r="V51" s="384">
        <f t="shared" si="35"/>
        <v>0.90483404847486038</v>
      </c>
      <c r="W51" s="271"/>
      <c r="Y51" s="72"/>
      <c r="Z51" s="72"/>
      <c r="AA51" s="72"/>
      <c r="AB51" s="72"/>
      <c r="AC51" s="72"/>
      <c r="AD51" s="72"/>
      <c r="AE51" s="72"/>
    </row>
    <row r="52" spans="2:31" s="57" customFormat="1" hidden="1" outlineLevel="1" x14ac:dyDescent="0.3">
      <c r="B52" s="267" t="s">
        <v>208</v>
      </c>
      <c r="C52" s="266"/>
      <c r="D52" s="383">
        <f>D46/D40</f>
        <v>0</v>
      </c>
      <c r="E52" s="383">
        <f>E46/E40</f>
        <v>0</v>
      </c>
      <c r="F52" s="383">
        <f>F46/F40</f>
        <v>0</v>
      </c>
      <c r="G52" s="383">
        <f>G46/G40</f>
        <v>0</v>
      </c>
      <c r="H52" s="272">
        <f>H45/H40</f>
        <v>0</v>
      </c>
      <c r="I52" s="112">
        <f>I46/I40</f>
        <v>0</v>
      </c>
      <c r="J52" s="112">
        <f>J46/J40</f>
        <v>1.8707782079853318E-2</v>
      </c>
      <c r="K52" s="112">
        <f>K46/K40</f>
        <v>9.2430932873744917E-2</v>
      </c>
      <c r="L52" s="112">
        <f>L46/L40</f>
        <v>9.3525748280349472E-2</v>
      </c>
      <c r="M52" s="272">
        <f>M45/M40</f>
        <v>0</v>
      </c>
      <c r="N52" s="112">
        <f>N46/N40</f>
        <v>8.2174581658546339E-2</v>
      </c>
      <c r="O52" s="112">
        <f>O46/O40</f>
        <v>9.3534743202416906E-2</v>
      </c>
      <c r="P52" s="384">
        <f t="shared" si="34"/>
        <v>8.7854662430481623E-2</v>
      </c>
      <c r="Q52" s="384">
        <f t="shared" si="34"/>
        <v>9.0694702816449257E-2</v>
      </c>
      <c r="R52" s="272"/>
      <c r="S52" s="384">
        <f t="shared" ref="S52:S53" si="36">(P52+Q52)/2</f>
        <v>8.927468262346544E-2</v>
      </c>
      <c r="T52" s="248">
        <f t="shared" ref="T52:T53" si="37">(Q52+S52)/2</f>
        <v>8.9984692719957349E-2</v>
      </c>
      <c r="U52" s="384">
        <f t="shared" si="35"/>
        <v>8.9629687671711394E-2</v>
      </c>
      <c r="V52" s="384">
        <f t="shared" si="35"/>
        <v>8.9807190195834372E-2</v>
      </c>
      <c r="W52" s="271"/>
      <c r="Y52" s="72"/>
      <c r="Z52" s="72"/>
      <c r="AA52" s="72"/>
      <c r="AB52" s="72"/>
      <c r="AC52" s="72"/>
      <c r="AD52" s="72"/>
      <c r="AE52" s="72"/>
    </row>
    <row r="53" spans="2:31" s="57" customFormat="1" hidden="1" outlineLevel="1" x14ac:dyDescent="0.3">
      <c r="B53" s="267" t="s">
        <v>209</v>
      </c>
      <c r="C53" s="266"/>
      <c r="D53" s="383">
        <f>D48/D40</f>
        <v>4.0613359844365815E-2</v>
      </c>
      <c r="E53" s="383">
        <f>E48/E40</f>
        <v>6.3729720212049215E-2</v>
      </c>
      <c r="F53" s="383">
        <f>F48/F40</f>
        <v>6.5449422301610771E-2</v>
      </c>
      <c r="G53" s="383">
        <f>G48/G40</f>
        <v>0</v>
      </c>
      <c r="H53" s="272">
        <f>H46/H41</f>
        <v>0</v>
      </c>
      <c r="I53" s="112">
        <f>I48/I40</f>
        <v>4.9951259670288829E-2</v>
      </c>
      <c r="J53" s="112">
        <f>J48/J40</f>
        <v>4.2547302810059369E-2</v>
      </c>
      <c r="K53" s="112">
        <f>K48/K40</f>
        <v>0</v>
      </c>
      <c r="L53" s="112">
        <f>L48/L40</f>
        <v>0</v>
      </c>
      <c r="M53" s="272">
        <f>M46/M41</f>
        <v>0.52174451334748628</v>
      </c>
      <c r="N53" s="112">
        <f>N48/N40</f>
        <v>0</v>
      </c>
      <c r="O53" s="112">
        <f>O48/O40</f>
        <v>7.975830815709968E-3</v>
      </c>
      <c r="P53" s="384">
        <f t="shared" si="34"/>
        <v>3.987915407854984E-3</v>
      </c>
      <c r="Q53" s="384">
        <f t="shared" si="34"/>
        <v>5.981873111782476E-3</v>
      </c>
      <c r="R53" s="272"/>
      <c r="S53" s="384">
        <f t="shared" si="36"/>
        <v>4.98489425981873E-3</v>
      </c>
      <c r="T53" s="248">
        <f t="shared" si="37"/>
        <v>5.4833836858006035E-3</v>
      </c>
      <c r="U53" s="384">
        <f t="shared" si="35"/>
        <v>5.2341389728096672E-3</v>
      </c>
      <c r="V53" s="384">
        <f t="shared" si="35"/>
        <v>5.3587613293051353E-3</v>
      </c>
      <c r="W53" s="271"/>
      <c r="Y53" s="72"/>
      <c r="Z53" s="72"/>
      <c r="AA53" s="72"/>
      <c r="AB53" s="72"/>
      <c r="AC53" s="72"/>
      <c r="AD53" s="72"/>
      <c r="AE53" s="72"/>
    </row>
    <row r="54" spans="2:31" s="57" customFormat="1" hidden="1" outlineLevel="1" x14ac:dyDescent="0.3">
      <c r="B54" s="73" t="s">
        <v>221</v>
      </c>
      <c r="C54" s="74"/>
      <c r="D54" s="31">
        <f>D17/D11</f>
        <v>0.25731680248596889</v>
      </c>
      <c r="E54" s="31">
        <f>E17/E11</f>
        <v>0.23788596898423892</v>
      </c>
      <c r="F54" s="31">
        <f>F17/F11</f>
        <v>0.23902467404225344</v>
      </c>
      <c r="G54" s="31">
        <f>G17/G11</f>
        <v>0.22930906076453936</v>
      </c>
      <c r="H54" s="42">
        <f>H17/H11</f>
        <v>0.2402989694778663</v>
      </c>
      <c r="I54" s="31">
        <f>I17/I11</f>
        <v>0.57647285937417725</v>
      </c>
      <c r="J54" s="31">
        <f>J17/J11</f>
        <v>0.27365284652930139</v>
      </c>
      <c r="K54" s="31">
        <f>K17/K11</f>
        <v>0.23002065768900862</v>
      </c>
      <c r="L54" s="31">
        <f>L17/L11</f>
        <v>0.27100143779670066</v>
      </c>
      <c r="M54" s="42">
        <f>M17/M11</f>
        <v>0.33061408290126515</v>
      </c>
      <c r="N54" s="31">
        <f>N17/N11</f>
        <v>0.2475572858012367</v>
      </c>
      <c r="O54" s="31">
        <f>O17/O11</f>
        <v>0.27709284001701534</v>
      </c>
      <c r="P54" s="33">
        <v>0.22</v>
      </c>
      <c r="Q54" s="33">
        <v>0.22500000000000001</v>
      </c>
      <c r="R54" s="42">
        <f>R17/R11</f>
        <v>0.24345755369398989</v>
      </c>
      <c r="S54" s="33">
        <v>0.22</v>
      </c>
      <c r="T54" s="33">
        <v>0.21</v>
      </c>
      <c r="U54" s="33">
        <v>0.21</v>
      </c>
      <c r="V54" s="33">
        <v>0.21</v>
      </c>
      <c r="W54" s="42">
        <f>W17/W11</f>
        <v>0.21870059356324706</v>
      </c>
      <c r="Y54" s="72"/>
      <c r="Z54" s="72"/>
      <c r="AA54" s="72"/>
      <c r="AB54" s="72"/>
      <c r="AC54" s="72"/>
      <c r="AD54" s="72"/>
      <c r="AE54" s="72"/>
    </row>
    <row r="55" spans="2:31" s="57" customFormat="1" hidden="1" outlineLevel="1" x14ac:dyDescent="0.3">
      <c r="B55" s="73" t="s">
        <v>67</v>
      </c>
      <c r="C55" s="74"/>
      <c r="D55" s="113"/>
      <c r="E55" s="113">
        <f>AVERAGE(E22,D22)</f>
        <v>0.17249999999999999</v>
      </c>
      <c r="F55" s="113">
        <f>AVERAGE(F22,E22)</f>
        <v>-0.41100000000000003</v>
      </c>
      <c r="G55" s="113">
        <f>AVERAGE(G22,F22)</f>
        <v>-1.0105</v>
      </c>
      <c r="H55" s="114"/>
      <c r="I55" s="113">
        <f>AVERAGE(I22,H22)</f>
        <v>-0.22149999999999992</v>
      </c>
      <c r="J55" s="113">
        <f>AVERAGE(J22,I22)</f>
        <v>0.1090000000000001</v>
      </c>
      <c r="K55" s="113">
        <f>AVERAGE(K22,J22)</f>
        <v>-2.1884999999999999</v>
      </c>
      <c r="L55" s="113">
        <f>AVERAGE(L22,K22)</f>
        <v>-1.1615</v>
      </c>
      <c r="M55" s="114"/>
      <c r="N55" s="113">
        <f>AVERAGE(N22,M22)</f>
        <v>-0.74849999999999994</v>
      </c>
      <c r="O55" s="113">
        <f>AVERAGE(O22,N22)</f>
        <v>0.193</v>
      </c>
      <c r="P55" s="117">
        <f>O55</f>
        <v>0.193</v>
      </c>
      <c r="Q55" s="117">
        <f t="shared" ref="Q55" si="38">P55</f>
        <v>0.193</v>
      </c>
      <c r="R55" s="114"/>
      <c r="S55" s="117">
        <f>Q55</f>
        <v>0.193</v>
      </c>
      <c r="T55" s="117">
        <f>S55</f>
        <v>0.193</v>
      </c>
      <c r="U55" s="117">
        <f t="shared" ref="U55:V55" si="39">T55</f>
        <v>0.193</v>
      </c>
      <c r="V55" s="117">
        <f t="shared" si="39"/>
        <v>0.193</v>
      </c>
      <c r="W55" s="114"/>
      <c r="X55" s="115"/>
      <c r="Y55" s="289"/>
      <c r="Z55" s="72"/>
      <c r="AA55" s="72"/>
      <c r="AB55" s="72"/>
      <c r="AC55" s="72"/>
      <c r="AD55" s="72"/>
      <c r="AE55" s="72"/>
    </row>
    <row r="56" spans="2:31" s="54" customFormat="1" hidden="1" outlineLevel="1" x14ac:dyDescent="0.3">
      <c r="B56" s="311" t="s">
        <v>72</v>
      </c>
      <c r="C56" s="312"/>
      <c r="D56" s="31">
        <f>D24/D11</f>
        <v>2.8724430127823714E-4</v>
      </c>
      <c r="E56" s="31">
        <f>E24/E11</f>
        <v>2.5902249566719395E-4</v>
      </c>
      <c r="F56" s="31">
        <f>F24/F11</f>
        <v>-1.6321473272408219E-3</v>
      </c>
      <c r="G56" s="31">
        <f>G24/G11</f>
        <v>-1.66950973220139E-3</v>
      </c>
      <c r="H56" s="42">
        <f>H24/H11</f>
        <v>-6.9658930887548894E-4</v>
      </c>
      <c r="I56" s="31">
        <f>I24/I11</f>
        <v>1.9671628979994926E-3</v>
      </c>
      <c r="J56" s="31">
        <f>J24/J11</f>
        <v>-1.4631221151988837E-3</v>
      </c>
      <c r="K56" s="31">
        <f>K24/K11</f>
        <v>-4.443451724051339E-3</v>
      </c>
      <c r="L56" s="31">
        <f>L24/L11</f>
        <v>1.6097745386036029E-3</v>
      </c>
      <c r="M56" s="42">
        <f>M24/M11</f>
        <v>-7.731682340617154E-4</v>
      </c>
      <c r="N56" s="31">
        <f>N24/N11</f>
        <v>8.9387314646287915E-4</v>
      </c>
      <c r="O56" s="31">
        <f>O24/O11</f>
        <v>-2.682818361112185E-4</v>
      </c>
      <c r="P56" s="33">
        <v>2E-3</v>
      </c>
      <c r="Q56" s="33">
        <v>2E-3</v>
      </c>
      <c r="R56" s="42">
        <f>Q56</f>
        <v>2E-3</v>
      </c>
      <c r="S56" s="33">
        <v>2E-3</v>
      </c>
      <c r="T56" s="33">
        <v>2E-3</v>
      </c>
      <c r="U56" s="33">
        <v>2E-3</v>
      </c>
      <c r="V56" s="33">
        <v>2E-3</v>
      </c>
      <c r="W56" s="42">
        <f>W24/W11</f>
        <v>-6.1553460866626707E-4</v>
      </c>
      <c r="Y56" s="72"/>
      <c r="Z56" s="72"/>
      <c r="AA56" s="72"/>
      <c r="AB56" s="72"/>
      <c r="AC56" s="72"/>
      <c r="AD56" s="72"/>
      <c r="AE56" s="72"/>
    </row>
    <row r="57" spans="2:31" s="54" customFormat="1" hidden="1" outlineLevel="1" x14ac:dyDescent="0.3">
      <c r="B57" s="311" t="s">
        <v>59</v>
      </c>
      <c r="C57" s="312"/>
      <c r="D57" s="31">
        <f>D26/D25</f>
        <v>0.36081118261674855</v>
      </c>
      <c r="E57" s="31">
        <f>E26/E25</f>
        <v>0.34718113254718952</v>
      </c>
      <c r="F57" s="31">
        <f>F26/F25</f>
        <v>0.3561675023428939</v>
      </c>
      <c r="G57" s="31">
        <f>G26/G25</f>
        <v>0.34692643986014271</v>
      </c>
      <c r="H57" s="42">
        <f>H26/H25</f>
        <v>0.35211481010689366</v>
      </c>
      <c r="I57" s="31">
        <f>I26/I25</f>
        <v>0.5019183028661659</v>
      </c>
      <c r="J57" s="31">
        <f>J26/J25</f>
        <v>0.37280485533681706</v>
      </c>
      <c r="K57" s="31">
        <f>K26/K25</f>
        <v>0.39400019439314621</v>
      </c>
      <c r="L57" s="31">
        <f>L26/L25</f>
        <v>0.3954271720279236</v>
      </c>
      <c r="M57" s="42">
        <f>M26/M25</f>
        <v>0.38675988281057222</v>
      </c>
      <c r="N57" s="31">
        <f>N26/N25</f>
        <v>0.35815307005690872</v>
      </c>
      <c r="O57" s="31">
        <f>O26/O25</f>
        <v>0.36101851883968478</v>
      </c>
      <c r="P57" s="33">
        <v>0.34</v>
      </c>
      <c r="Q57" s="33">
        <v>0.34</v>
      </c>
      <c r="R57" s="42">
        <v>0.36943734645873294</v>
      </c>
      <c r="S57" s="33">
        <v>0.34</v>
      </c>
      <c r="T57" s="33">
        <v>0.34</v>
      </c>
      <c r="U57" s="33">
        <v>0.34</v>
      </c>
      <c r="V57" s="33">
        <v>0.34</v>
      </c>
      <c r="W57" s="42">
        <f>W26/W25</f>
        <v>0.33877172793201621</v>
      </c>
      <c r="Y57" s="72"/>
      <c r="Z57" s="72"/>
      <c r="AA57" s="72"/>
      <c r="AB57" s="72"/>
      <c r="AC57" s="72"/>
      <c r="AD57" s="72"/>
      <c r="AE57" s="72"/>
    </row>
    <row r="58" spans="2:31" s="54" customFormat="1" hidden="1" outlineLevel="1" x14ac:dyDescent="0.3">
      <c r="B58" s="311" t="s">
        <v>58</v>
      </c>
      <c r="C58" s="312"/>
      <c r="D58" s="31">
        <f>D13/D11</f>
        <v>0.53497945457156759</v>
      </c>
      <c r="E58" s="31">
        <f>E13/E11</f>
        <v>0.55193328278999243</v>
      </c>
      <c r="F58" s="31">
        <f>F13/F11</f>
        <v>0.53763373230267997</v>
      </c>
      <c r="G58" s="31">
        <f>G13/G11</f>
        <v>0.54788982887112436</v>
      </c>
      <c r="H58" s="42">
        <f>H13/H11</f>
        <v>0.54356279669450724</v>
      </c>
      <c r="I58" s="31">
        <f>I13/I11</f>
        <v>0.5886443806627728</v>
      </c>
      <c r="J58" s="31">
        <f>J13/J11</f>
        <v>0.56868313243633617</v>
      </c>
      <c r="K58" s="31">
        <f>K13/K11</f>
        <v>0.61520527504596112</v>
      </c>
      <c r="L58" s="31">
        <f>L13/L11</f>
        <v>0.62494577275375252</v>
      </c>
      <c r="M58" s="42">
        <f>M13/M11</f>
        <v>0.59954550196065182</v>
      </c>
      <c r="N58" s="31">
        <f>N13/N11</f>
        <v>0.62203279691143298</v>
      </c>
      <c r="O58" s="31">
        <f>O13/O11</f>
        <v>0.625766174252678</v>
      </c>
      <c r="P58" s="33">
        <v>0.65</v>
      </c>
      <c r="Q58" s="33">
        <v>0.64</v>
      </c>
      <c r="R58" s="42">
        <v>0.65816529754501873</v>
      </c>
      <c r="S58" s="33">
        <v>0.64</v>
      </c>
      <c r="T58" s="33">
        <v>0.64</v>
      </c>
      <c r="U58" s="33">
        <v>0.63</v>
      </c>
      <c r="V58" s="33">
        <v>0.63</v>
      </c>
      <c r="W58" s="42">
        <v>0.65665355767302314</v>
      </c>
      <c r="Y58" s="72"/>
      <c r="Z58" s="72"/>
      <c r="AA58" s="72"/>
      <c r="AB58" s="72"/>
      <c r="AC58" s="72"/>
      <c r="AD58" s="72"/>
      <c r="AE58" s="72"/>
    </row>
    <row r="59" spans="2:31" s="57" customFormat="1" hidden="1" outlineLevel="1" x14ac:dyDescent="0.3">
      <c r="B59" s="311" t="s">
        <v>71</v>
      </c>
      <c r="C59" s="312"/>
      <c r="D59" s="31">
        <f>D15/D11</f>
        <v>0.53497945457156759</v>
      </c>
      <c r="E59" s="31">
        <f>E15/E11</f>
        <v>0.55193328278999243</v>
      </c>
      <c r="F59" s="31">
        <f>F15/F11</f>
        <v>0.53763373230267997</v>
      </c>
      <c r="G59" s="31">
        <f>G15/G11</f>
        <v>0.54788982887112436</v>
      </c>
      <c r="H59" s="42">
        <f>H15/H11</f>
        <v>0.54356279669450724</v>
      </c>
      <c r="I59" s="31">
        <f>I15/I11</f>
        <v>0.5252085623437478</v>
      </c>
      <c r="J59" s="31">
        <f>J15/J11</f>
        <v>0.56868313243633617</v>
      </c>
      <c r="K59" s="31">
        <f>K15/K11</f>
        <v>0.61520527504596112</v>
      </c>
      <c r="L59" s="31">
        <f>L15/L11</f>
        <v>0.62494577275375252</v>
      </c>
      <c r="M59" s="42">
        <f>M15/M11</f>
        <v>0.5849412539062443</v>
      </c>
      <c r="N59" s="31">
        <f>N15/N11</f>
        <v>0.62203279691143298</v>
      </c>
      <c r="O59" s="31">
        <f>O15/O11</f>
        <v>0.625766174252678</v>
      </c>
      <c r="P59" s="31">
        <f>P15/P11</f>
        <v>0.65000000000000013</v>
      </c>
      <c r="Q59" s="31">
        <f>Q15/Q11</f>
        <v>0.64</v>
      </c>
      <c r="R59" s="42">
        <f>R15/R11</f>
        <v>0.65816529754501873</v>
      </c>
      <c r="S59" s="31">
        <f>S15/S11</f>
        <v>0.64</v>
      </c>
      <c r="T59" s="31">
        <f>T15/T11</f>
        <v>0.64000000000000012</v>
      </c>
      <c r="U59" s="31">
        <f>U15/U11</f>
        <v>0.63</v>
      </c>
      <c r="V59" s="31">
        <f>V15/V11</f>
        <v>0.63</v>
      </c>
      <c r="W59" s="42">
        <f>W15/W11</f>
        <v>0.65665355767302314</v>
      </c>
      <c r="Y59" s="72"/>
      <c r="Z59" s="72"/>
      <c r="AA59" s="72"/>
      <c r="AB59" s="72"/>
      <c r="AC59" s="72"/>
      <c r="AD59" s="72"/>
      <c r="AE59" s="72"/>
    </row>
    <row r="60" spans="2:31" s="57" customFormat="1" hidden="1" outlineLevel="1" x14ac:dyDescent="0.3">
      <c r="B60" s="64" t="s">
        <v>62</v>
      </c>
      <c r="C60" s="65"/>
      <c r="D60" s="31">
        <f>D19/D11</f>
        <v>0.27766265208559876</v>
      </c>
      <c r="E60" s="31">
        <f>E19/E11</f>
        <v>0.31404731380575346</v>
      </c>
      <c r="F60" s="31">
        <f>F19/F11</f>
        <v>0.2986090582604265</v>
      </c>
      <c r="G60" s="31">
        <f>G19/G11</f>
        <v>0.31858076810658498</v>
      </c>
      <c r="H60" s="42">
        <f>H19/H11</f>
        <v>0.30326382721664097</v>
      </c>
      <c r="I60" s="31">
        <f>I19/I11</f>
        <v>1.2171521288595522E-2</v>
      </c>
      <c r="J60" s="31">
        <f>J19/J11</f>
        <v>0.5277892296914326</v>
      </c>
      <c r="K60" s="31">
        <f>K19/K11</f>
        <v>0.38518461735695247</v>
      </c>
      <c r="L60" s="31">
        <f>L19/L11</f>
        <v>0.35394433495705185</v>
      </c>
      <c r="M60" s="42">
        <f>M19/M11</f>
        <v>0.32823948307551265</v>
      </c>
      <c r="N60" s="31">
        <f>N19/N11</f>
        <v>0.37447551111019634</v>
      </c>
      <c r="O60" s="31">
        <f>O19/O11</f>
        <v>0.34867333423566271</v>
      </c>
      <c r="P60" s="31">
        <f>P19/P11</f>
        <v>0.43000000000000005</v>
      </c>
      <c r="Q60" s="31">
        <f>Q19/Q11</f>
        <v>0.41499999999999998</v>
      </c>
      <c r="R60" s="42">
        <f>R19/R11</f>
        <v>0.41470774385102888</v>
      </c>
      <c r="S60" s="31">
        <f>S19/S11</f>
        <v>0.42000000000000004</v>
      </c>
      <c r="T60" s="31">
        <f>T19/T11</f>
        <v>0.43000000000000016</v>
      </c>
      <c r="U60" s="31">
        <f>U19/U11</f>
        <v>0.42</v>
      </c>
      <c r="V60" s="31">
        <f>V19/V11</f>
        <v>0.42000000000000004</v>
      </c>
      <c r="W60" s="42">
        <f>W19/W11</f>
        <v>0.43795296410977608</v>
      </c>
      <c r="Y60" s="72"/>
      <c r="Z60" s="72"/>
      <c r="AA60" s="72"/>
      <c r="AB60" s="72"/>
      <c r="AC60" s="72"/>
      <c r="AD60" s="72"/>
      <c r="AE60" s="72"/>
    </row>
    <row r="61" spans="2:31" s="57" customFormat="1" hidden="1" outlineLevel="1" x14ac:dyDescent="0.3">
      <c r="B61" s="387" t="s">
        <v>63</v>
      </c>
      <c r="C61" s="388"/>
      <c r="D61" s="379">
        <f>D21/D11</f>
        <v>0.27766265208559876</v>
      </c>
      <c r="E61" s="379">
        <f>E21/E11</f>
        <v>0.31633049524228057</v>
      </c>
      <c r="F61" s="379">
        <f>F21/F11</f>
        <v>0.29781499814457235</v>
      </c>
      <c r="G61" s="379">
        <f>G21/G11</f>
        <v>0.32054917127254351</v>
      </c>
      <c r="H61" s="380">
        <f>H21/H11</f>
        <v>0.30417908958170975</v>
      </c>
      <c r="I61" s="379">
        <f>I21/I11</f>
        <v>0.34653656481985234</v>
      </c>
      <c r="J61" s="379">
        <f>J21/J11</f>
        <v>0.32925581140572163</v>
      </c>
      <c r="K61" s="379">
        <f>K21/K11</f>
        <v>0.38883638925271508</v>
      </c>
      <c r="L61" s="379">
        <f>L21/L11</f>
        <v>0.35923071679123425</v>
      </c>
      <c r="M61" s="380">
        <f>M21/M11</f>
        <v>0.35689812985112562</v>
      </c>
      <c r="N61" s="379">
        <f>N21/N11</f>
        <v>0.37953295128097314</v>
      </c>
      <c r="O61" s="379">
        <f>O21/O11</f>
        <v>0.34867333423566271</v>
      </c>
      <c r="P61" s="379">
        <f>P21/P11</f>
        <v>0.43000000000000005</v>
      </c>
      <c r="Q61" s="379">
        <f>Q21/Q11</f>
        <v>0.4161569714254964</v>
      </c>
      <c r="R61" s="380">
        <f>R21/R11</f>
        <v>0.41358558513081173</v>
      </c>
      <c r="S61" s="379">
        <f>S21/S11</f>
        <v>0.42000000000000004</v>
      </c>
      <c r="T61" s="379">
        <f>T21/T11</f>
        <v>0.43000000000000016</v>
      </c>
      <c r="U61" s="379">
        <f>U21/U11</f>
        <v>0.42</v>
      </c>
      <c r="V61" s="379">
        <f>V21/V11</f>
        <v>0.42000000000000004</v>
      </c>
      <c r="W61" s="380">
        <f>W21/W11</f>
        <v>0.43795296410977608</v>
      </c>
      <c r="Y61" s="72"/>
      <c r="Z61" s="72"/>
      <c r="AA61" s="72"/>
      <c r="AB61" s="72"/>
      <c r="AC61" s="72"/>
      <c r="AD61" s="72"/>
      <c r="AE61" s="72"/>
    </row>
    <row r="62" spans="2:31" s="57" customFormat="1" collapsed="1" x14ac:dyDescent="0.3">
      <c r="B62" s="395" t="s">
        <v>77</v>
      </c>
      <c r="C62" s="396"/>
      <c r="D62" s="31"/>
      <c r="E62" s="31"/>
      <c r="F62" s="31"/>
      <c r="G62" s="31"/>
      <c r="H62" s="42"/>
      <c r="I62" s="31"/>
      <c r="J62" s="31"/>
      <c r="K62" s="31"/>
      <c r="L62" s="31"/>
      <c r="M62" s="42"/>
      <c r="N62" s="31"/>
      <c r="O62" s="31"/>
      <c r="P62" s="31"/>
      <c r="Q62" s="31"/>
      <c r="R62" s="42"/>
      <c r="S62" s="31"/>
      <c r="T62" s="31"/>
      <c r="U62" s="31"/>
      <c r="V62" s="31"/>
      <c r="W62" s="42"/>
      <c r="Y62" s="72"/>
      <c r="Z62" s="72"/>
      <c r="AA62" s="72"/>
      <c r="AB62" s="72"/>
      <c r="AC62" s="72"/>
      <c r="AD62" s="72"/>
      <c r="AE62" s="72"/>
    </row>
    <row r="63" spans="2:31" s="29" customFormat="1" ht="15" hidden="1" customHeight="1" outlineLevel="1" x14ac:dyDescent="0.3">
      <c r="B63" s="76" t="s">
        <v>196</v>
      </c>
      <c r="C63" s="47"/>
      <c r="D63" s="113">
        <f>D11</f>
        <v>536.12900000000002</v>
      </c>
      <c r="E63" s="113">
        <f>E11</f>
        <v>687.19899999999996</v>
      </c>
      <c r="F63" s="113">
        <f>F11</f>
        <v>635.97199999999998</v>
      </c>
      <c r="G63" s="113">
        <f>G11</f>
        <v>605.56700000000035</v>
      </c>
      <c r="H63" s="114">
        <f>SUM(D63:G63)</f>
        <v>2464.8670000000002</v>
      </c>
      <c r="I63" s="113">
        <f>I11</f>
        <v>626.79100000000005</v>
      </c>
      <c r="J63" s="113">
        <f>J11</f>
        <v>693.72199999999998</v>
      </c>
      <c r="K63" s="113">
        <f>K11</f>
        <v>756.61900000000003</v>
      </c>
      <c r="L63" s="118">
        <f>L11</f>
        <v>645.43199999999968</v>
      </c>
      <c r="M63" s="252">
        <f>SUM(I63:L63)</f>
        <v>2722.5639999999999</v>
      </c>
      <c r="N63" s="113">
        <f>N11</f>
        <v>680.18600000000004</v>
      </c>
      <c r="O63" s="113">
        <f>O11</f>
        <v>827.48800000000006</v>
      </c>
      <c r="P63" s="113">
        <f>P11</f>
        <v>824.54999999999916</v>
      </c>
      <c r="Q63" s="113">
        <f>Q11</f>
        <v>743.32</v>
      </c>
      <c r="R63" s="114">
        <f>R11</f>
        <v>3065.52</v>
      </c>
      <c r="S63" s="113">
        <f>S11</f>
        <v>773</v>
      </c>
      <c r="T63" s="113">
        <f>T11</f>
        <v>906.70000000000095</v>
      </c>
      <c r="U63" s="113">
        <f>U11</f>
        <v>1006.1256269446338</v>
      </c>
      <c r="V63" s="113">
        <f>V11</f>
        <v>838.84305332624695</v>
      </c>
      <c r="W63" s="114">
        <f>SUM(S63:V63)</f>
        <v>3524.6686802708819</v>
      </c>
      <c r="X63" s="46"/>
      <c r="Y63" s="72"/>
      <c r="Z63" s="72"/>
      <c r="AA63" s="72"/>
      <c r="AB63" s="72"/>
      <c r="AC63" s="72"/>
      <c r="AD63" s="72"/>
      <c r="AE63" s="72"/>
    </row>
    <row r="64" spans="2:31" s="57" customFormat="1" ht="15" hidden="1" customHeight="1" outlineLevel="1" x14ac:dyDescent="0.45">
      <c r="B64" s="76" t="s">
        <v>223</v>
      </c>
      <c r="C64" s="47"/>
      <c r="D64" s="121">
        <v>0</v>
      </c>
      <c r="E64" s="121">
        <v>0</v>
      </c>
      <c r="F64" s="121">
        <v>0</v>
      </c>
      <c r="G64" s="122">
        <v>0</v>
      </c>
      <c r="H64" s="123">
        <f t="shared" ref="H64:H65" si="40">SUM(D64:G64)</f>
        <v>0</v>
      </c>
      <c r="I64" s="251">
        <v>-39.761000000000003</v>
      </c>
      <c r="J64" s="121">
        <v>0</v>
      </c>
      <c r="K64" s="121">
        <v>0</v>
      </c>
      <c r="L64" s="122">
        <v>0</v>
      </c>
      <c r="M64" s="263">
        <f t="shared" ref="M64" si="41">SUM(I64:L64)</f>
        <v>-39.761000000000003</v>
      </c>
      <c r="N64" s="121">
        <v>0</v>
      </c>
      <c r="O64" s="121">
        <v>0</v>
      </c>
      <c r="P64" s="121">
        <v>0</v>
      </c>
      <c r="Q64" s="121">
        <v>0</v>
      </c>
      <c r="R64" s="123">
        <v>0</v>
      </c>
      <c r="S64" s="121">
        <v>0</v>
      </c>
      <c r="T64" s="121">
        <v>0</v>
      </c>
      <c r="U64" s="121">
        <v>0</v>
      </c>
      <c r="V64" s="121">
        <v>0</v>
      </c>
      <c r="W64" s="123">
        <v>0</v>
      </c>
      <c r="X64" s="46"/>
      <c r="Y64" s="72"/>
      <c r="Z64" s="72"/>
      <c r="AA64" s="72"/>
      <c r="AB64" s="72"/>
      <c r="AC64" s="72"/>
      <c r="AD64" s="72"/>
      <c r="AE64" s="72"/>
    </row>
    <row r="65" spans="2:31" s="57" customFormat="1" ht="15" hidden="1" customHeight="1" outlineLevel="1" x14ac:dyDescent="0.3">
      <c r="B65" s="237" t="s">
        <v>194</v>
      </c>
      <c r="C65" s="47"/>
      <c r="D65" s="113"/>
      <c r="E65" s="113"/>
      <c r="F65" s="113"/>
      <c r="G65" s="118"/>
      <c r="H65" s="114">
        <f t="shared" si="40"/>
        <v>0</v>
      </c>
      <c r="I65" s="126">
        <f>I63+I64</f>
        <v>587.03000000000009</v>
      </c>
      <c r="J65" s="56">
        <f t="shared" ref="J65:V65" si="42">J63+J64</f>
        <v>693.72199999999998</v>
      </c>
      <c r="K65" s="56">
        <f t="shared" si="42"/>
        <v>756.61900000000003</v>
      </c>
      <c r="L65" s="56">
        <f t="shared" si="42"/>
        <v>645.43199999999968</v>
      </c>
      <c r="M65" s="264">
        <f>SUM(I65:L65)</f>
        <v>2682.8029999999999</v>
      </c>
      <c r="N65" s="56">
        <f t="shared" si="42"/>
        <v>680.18600000000004</v>
      </c>
      <c r="O65" s="56">
        <f t="shared" si="42"/>
        <v>827.48800000000006</v>
      </c>
      <c r="P65" s="56">
        <f t="shared" si="42"/>
        <v>824.54999999999916</v>
      </c>
      <c r="Q65" s="56">
        <f>Q63+Q64</f>
        <v>743.32</v>
      </c>
      <c r="R65" s="114">
        <f t="shared" ref="R65" si="43">SUM(N65:Q65)</f>
        <v>3075.5439999999994</v>
      </c>
      <c r="S65" s="56">
        <f t="shared" si="42"/>
        <v>773</v>
      </c>
      <c r="T65" s="56">
        <f t="shared" si="42"/>
        <v>906.70000000000095</v>
      </c>
      <c r="U65" s="56">
        <f t="shared" si="42"/>
        <v>1006.1256269446338</v>
      </c>
      <c r="V65" s="56">
        <f t="shared" si="42"/>
        <v>838.84305332624695</v>
      </c>
      <c r="W65" s="114">
        <f t="shared" ref="W65" si="44">SUM(S65:V65)</f>
        <v>3524.6686802708819</v>
      </c>
      <c r="X65" s="46"/>
      <c r="Y65" s="72"/>
      <c r="Z65" s="72"/>
      <c r="AA65" s="72"/>
      <c r="AB65" s="72"/>
      <c r="AC65" s="72"/>
      <c r="AD65" s="72"/>
      <c r="AE65" s="72"/>
    </row>
    <row r="66" spans="2:31" s="57" customFormat="1" ht="15" hidden="1" customHeight="1" outlineLevel="1" x14ac:dyDescent="0.3">
      <c r="B66" s="249" t="s">
        <v>195</v>
      </c>
      <c r="C66" s="47"/>
      <c r="D66" s="258">
        <f>D13</f>
        <v>286.81799999999998</v>
      </c>
      <c r="E66" s="259">
        <f>E13</f>
        <v>379.28799999999995</v>
      </c>
      <c r="F66" s="259">
        <f>F13</f>
        <v>341.91999999999996</v>
      </c>
      <c r="G66" s="259">
        <f>G13</f>
        <v>331.78400000000033</v>
      </c>
      <c r="H66" s="114">
        <f>SUM(D66:G66)</f>
        <v>1339.8100000000004</v>
      </c>
      <c r="I66" s="258">
        <f>I13</f>
        <v>368.95700000000005</v>
      </c>
      <c r="J66" s="250">
        <f>J13</f>
        <v>394.50799999999998</v>
      </c>
      <c r="K66" s="250">
        <f>K13</f>
        <v>465.47600000000006</v>
      </c>
      <c r="L66" s="250">
        <f>L13</f>
        <v>403.35999999999979</v>
      </c>
      <c r="M66" s="252">
        <f>SUM(I66:L66)</f>
        <v>1632.3009999999999</v>
      </c>
      <c r="N66" s="250">
        <f>N13</f>
        <v>423.09800000000001</v>
      </c>
      <c r="O66" s="250">
        <f>O13</f>
        <v>517.81400000000008</v>
      </c>
      <c r="P66" s="250">
        <f>P13</f>
        <v>535.95749999999953</v>
      </c>
      <c r="Q66" s="250">
        <f>Q13</f>
        <v>475.72480000000002</v>
      </c>
      <c r="R66" s="114">
        <f>SUM(N66:Q66)</f>
        <v>1952.5942999999995</v>
      </c>
      <c r="S66" s="250">
        <f>S13</f>
        <v>494.72</v>
      </c>
      <c r="T66" s="250">
        <f>T13</f>
        <v>580.28800000000069</v>
      </c>
      <c r="U66" s="250">
        <f>U13</f>
        <v>633.85914497511931</v>
      </c>
      <c r="V66" s="250">
        <f>V13</f>
        <v>528.47112359553557</v>
      </c>
      <c r="W66" s="114">
        <f>SUM(S66:V66)</f>
        <v>2237.3382685706556</v>
      </c>
      <c r="X66" s="46"/>
      <c r="Y66" s="72"/>
      <c r="Z66" s="72"/>
      <c r="AA66" s="72"/>
      <c r="AB66" s="72"/>
      <c r="AC66" s="72"/>
      <c r="AD66" s="72"/>
      <c r="AE66" s="72"/>
    </row>
    <row r="67" spans="2:31" s="59" customFormat="1" ht="15" hidden="1" customHeight="1" outlineLevel="1" x14ac:dyDescent="0.45">
      <c r="B67" s="235" t="s">
        <v>193</v>
      </c>
      <c r="C67" s="47"/>
      <c r="D67" s="260">
        <f>D64</f>
        <v>0</v>
      </c>
      <c r="E67" s="260">
        <f>E64</f>
        <v>0</v>
      </c>
      <c r="F67" s="260">
        <f>F64</f>
        <v>0</v>
      </c>
      <c r="G67" s="260">
        <f>G64</f>
        <v>0</v>
      </c>
      <c r="H67" s="123">
        <f>SUM(D67:G67)</f>
        <v>0</v>
      </c>
      <c r="I67" s="254">
        <f>I64</f>
        <v>-39.761000000000003</v>
      </c>
      <c r="J67" s="121">
        <f t="shared" ref="J67:W67" si="45">J64</f>
        <v>0</v>
      </c>
      <c r="K67" s="121">
        <f t="shared" si="45"/>
        <v>0</v>
      </c>
      <c r="L67" s="121">
        <f t="shared" si="45"/>
        <v>0</v>
      </c>
      <c r="M67" s="263">
        <f>SUM(I67:L67)</f>
        <v>-39.761000000000003</v>
      </c>
      <c r="N67" s="121">
        <f t="shared" si="45"/>
        <v>0</v>
      </c>
      <c r="O67" s="121">
        <f t="shared" si="45"/>
        <v>0</v>
      </c>
      <c r="P67" s="121">
        <f t="shared" si="45"/>
        <v>0</v>
      </c>
      <c r="Q67" s="121">
        <f t="shared" si="45"/>
        <v>0</v>
      </c>
      <c r="R67" s="269">
        <v>0</v>
      </c>
      <c r="S67" s="121">
        <f t="shared" si="45"/>
        <v>0</v>
      </c>
      <c r="T67" s="121">
        <f t="shared" si="45"/>
        <v>0</v>
      </c>
      <c r="U67" s="121">
        <f t="shared" si="45"/>
        <v>0</v>
      </c>
      <c r="V67" s="121">
        <f t="shared" si="45"/>
        <v>0</v>
      </c>
      <c r="W67" s="123">
        <f t="shared" si="45"/>
        <v>0</v>
      </c>
      <c r="X67" s="77"/>
      <c r="Y67" s="290"/>
      <c r="Z67" s="290"/>
      <c r="AA67" s="290"/>
      <c r="AB67" s="290"/>
      <c r="AC67" s="290"/>
      <c r="AD67" s="290"/>
      <c r="AE67" s="290"/>
    </row>
    <row r="68" spans="2:31" s="59" customFormat="1" ht="15" hidden="1" customHeight="1" outlineLevel="1" x14ac:dyDescent="0.3">
      <c r="B68" s="237" t="s">
        <v>197</v>
      </c>
      <c r="C68" s="47"/>
      <c r="D68" s="126">
        <f>D66+D67</f>
        <v>286.81799999999998</v>
      </c>
      <c r="E68" s="56">
        <f>E66+E67</f>
        <v>379.28799999999995</v>
      </c>
      <c r="F68" s="56">
        <f>F66+F67</f>
        <v>341.91999999999996</v>
      </c>
      <c r="G68" s="56">
        <f>G66+G67</f>
        <v>331.78400000000033</v>
      </c>
      <c r="H68" s="125"/>
      <c r="I68" s="126">
        <f>I66+I67</f>
        <v>329.19600000000003</v>
      </c>
      <c r="J68" s="56">
        <f t="shared" ref="J68:V68" si="46">J66+J67</f>
        <v>394.50799999999998</v>
      </c>
      <c r="K68" s="56">
        <f t="shared" si="46"/>
        <v>465.47600000000006</v>
      </c>
      <c r="L68" s="56">
        <f t="shared" si="46"/>
        <v>403.35999999999979</v>
      </c>
      <c r="M68" s="264">
        <f>SUM(I68:L68)</f>
        <v>1592.54</v>
      </c>
      <c r="N68" s="56">
        <f t="shared" si="46"/>
        <v>423.09800000000001</v>
      </c>
      <c r="O68" s="56">
        <f t="shared" si="46"/>
        <v>517.81400000000008</v>
      </c>
      <c r="P68" s="56">
        <f t="shared" si="46"/>
        <v>535.95749999999953</v>
      </c>
      <c r="Q68" s="56">
        <f t="shared" si="46"/>
        <v>475.72480000000002</v>
      </c>
      <c r="R68" s="114">
        <f>SUM(N68:Q68)</f>
        <v>1952.5942999999995</v>
      </c>
      <c r="S68" s="56">
        <f t="shared" si="46"/>
        <v>494.72</v>
      </c>
      <c r="T68" s="56">
        <f t="shared" si="46"/>
        <v>580.28800000000069</v>
      </c>
      <c r="U68" s="56">
        <f t="shared" si="46"/>
        <v>633.85914497511931</v>
      </c>
      <c r="V68" s="56">
        <f t="shared" si="46"/>
        <v>528.47112359553557</v>
      </c>
      <c r="W68" s="114">
        <f>SUM(S68:V68)</f>
        <v>2237.3382685706556</v>
      </c>
      <c r="X68" s="77"/>
      <c r="Y68" s="290"/>
      <c r="Z68" s="290"/>
      <c r="AA68" s="290"/>
      <c r="AB68" s="290"/>
      <c r="AC68" s="290"/>
      <c r="AD68" s="290"/>
      <c r="AE68" s="290"/>
    </row>
    <row r="69" spans="2:31" s="57" customFormat="1" ht="15" hidden="1" customHeight="1" outlineLevel="1" x14ac:dyDescent="0.3">
      <c r="B69" s="76" t="s">
        <v>180</v>
      </c>
      <c r="C69" s="47"/>
      <c r="D69" s="113">
        <f>D17</f>
        <v>137.95500000000001</v>
      </c>
      <c r="E69" s="113">
        <f>E17</f>
        <v>163.47499999999999</v>
      </c>
      <c r="F69" s="113">
        <f>F17</f>
        <v>152.01300000000001</v>
      </c>
      <c r="G69" s="113">
        <f>G17</f>
        <v>138.86199999999988</v>
      </c>
      <c r="H69" s="114">
        <f t="shared" ref="H69:H71" si="47">SUM(D69:G69)</f>
        <v>592.30499999999984</v>
      </c>
      <c r="I69" s="113">
        <f>I17</f>
        <v>361.32799999999997</v>
      </c>
      <c r="J69" s="113">
        <f>J17</f>
        <v>189.839</v>
      </c>
      <c r="K69" s="113">
        <f>K17</f>
        <v>174.03800000000001</v>
      </c>
      <c r="L69" s="113">
        <f>L17</f>
        <v>174.91300000000001</v>
      </c>
      <c r="M69" s="252">
        <f t="shared" ref="M69" si="48">SUM(I69:L69)</f>
        <v>900.11799999999994</v>
      </c>
      <c r="N69" s="113">
        <f>N17</f>
        <v>168.38499999999999</v>
      </c>
      <c r="O69" s="113">
        <f>O17</f>
        <v>229.291</v>
      </c>
      <c r="P69" s="113">
        <f>P17</f>
        <v>181.40099999999981</v>
      </c>
      <c r="Q69" s="118">
        <f>Q17</f>
        <v>167.24700000000001</v>
      </c>
      <c r="R69" s="114">
        <f t="shared" ref="R69:R71" si="49">SUM(N69:Q69)</f>
        <v>746.32399999999984</v>
      </c>
      <c r="S69" s="119">
        <f t="shared" ref="S69:V69" si="50">S17</f>
        <v>170.06</v>
      </c>
      <c r="T69" s="113">
        <f t="shared" si="50"/>
        <v>190.40700000000018</v>
      </c>
      <c r="U69" s="113">
        <f t="shared" si="50"/>
        <v>211.2863816583731</v>
      </c>
      <c r="V69" s="118">
        <f t="shared" si="50"/>
        <v>176.15704119851185</v>
      </c>
      <c r="W69" s="114">
        <f t="shared" ref="W69:W71" si="51">SUM(S69:V69)</f>
        <v>747.91042285688513</v>
      </c>
      <c r="Y69" s="72"/>
      <c r="Z69" s="72"/>
      <c r="AA69" s="72"/>
      <c r="AB69" s="72"/>
      <c r="AC69" s="72"/>
      <c r="AD69" s="72"/>
      <c r="AE69" s="72"/>
    </row>
    <row r="70" spans="2:31" s="57" customFormat="1" ht="15" hidden="1" customHeight="1" outlineLevel="1" x14ac:dyDescent="0.3">
      <c r="B70" s="76" t="s">
        <v>224</v>
      </c>
      <c r="C70" s="47"/>
      <c r="D70" s="258">
        <v>0</v>
      </c>
      <c r="E70" s="259">
        <v>-0.501</v>
      </c>
      <c r="F70" s="259">
        <f>H70-G70-E70-D70</f>
        <v>0.505</v>
      </c>
      <c r="G70" s="261">
        <v>-4.0000000000000001E-3</v>
      </c>
      <c r="H70" s="253"/>
      <c r="I70" s="119">
        <v>-205.98</v>
      </c>
      <c r="J70" s="113">
        <v>-12.207000000000001</v>
      </c>
      <c r="K70" s="113">
        <f>M70-L70-J70-I70</f>
        <v>-2.4710000000000036</v>
      </c>
      <c r="L70" s="118">
        <v>-3.3420000000000001</v>
      </c>
      <c r="M70" s="252">
        <v>-224</v>
      </c>
      <c r="N70" s="119">
        <v>-3.44</v>
      </c>
      <c r="O70" s="113">
        <v>0</v>
      </c>
      <c r="P70" s="117">
        <v>0</v>
      </c>
      <c r="Q70" s="399">
        <v>0</v>
      </c>
      <c r="R70" s="114">
        <f t="shared" si="49"/>
        <v>-3.44</v>
      </c>
      <c r="S70" s="401">
        <v>0</v>
      </c>
      <c r="T70" s="117">
        <v>0</v>
      </c>
      <c r="U70" s="117">
        <v>0</v>
      </c>
      <c r="V70" s="399">
        <v>0</v>
      </c>
      <c r="W70" s="114">
        <f t="shared" si="51"/>
        <v>0</v>
      </c>
      <c r="Y70" s="72"/>
      <c r="Z70" s="72"/>
      <c r="AA70" s="72"/>
      <c r="AB70" s="72"/>
      <c r="AC70" s="72"/>
      <c r="AD70" s="72"/>
      <c r="AE70" s="72"/>
    </row>
    <row r="71" spans="2:31" s="57" customFormat="1" ht="15" hidden="1" customHeight="1" outlineLevel="1" x14ac:dyDescent="0.45">
      <c r="B71" s="76" t="s">
        <v>225</v>
      </c>
      <c r="C71" s="47"/>
      <c r="D71" s="255">
        <v>0</v>
      </c>
      <c r="E71" s="255">
        <v>-1.0680000000000001</v>
      </c>
      <c r="F71" s="255"/>
      <c r="G71" s="256">
        <v>-1.1879999999999999</v>
      </c>
      <c r="H71" s="257">
        <f t="shared" si="47"/>
        <v>-2.2560000000000002</v>
      </c>
      <c r="I71" s="254">
        <v>-3.597</v>
      </c>
      <c r="J71" s="262">
        <v>-11.536</v>
      </c>
      <c r="K71" s="255">
        <f>M71-J71-L71-I71</f>
        <v>-0.29199999999999982</v>
      </c>
      <c r="L71" s="256">
        <v>-7.0000000000000007E-2</v>
      </c>
      <c r="M71" s="263">
        <v>-15.494999999999999</v>
      </c>
      <c r="N71" s="255">
        <v>0</v>
      </c>
      <c r="O71" s="121">
        <v>0</v>
      </c>
      <c r="P71" s="397">
        <v>0</v>
      </c>
      <c r="Q71" s="400">
        <v>0</v>
      </c>
      <c r="R71" s="123">
        <f t="shared" si="49"/>
        <v>0</v>
      </c>
      <c r="S71" s="402">
        <v>0</v>
      </c>
      <c r="T71" s="397">
        <v>0</v>
      </c>
      <c r="U71" s="397">
        <v>0</v>
      </c>
      <c r="V71" s="400">
        <v>0</v>
      </c>
      <c r="W71" s="123">
        <f t="shared" si="51"/>
        <v>0</v>
      </c>
      <c r="Y71" s="72"/>
      <c r="Z71" s="72"/>
      <c r="AA71" s="72"/>
      <c r="AB71" s="72"/>
      <c r="AC71" s="72"/>
      <c r="AD71" s="72"/>
      <c r="AE71" s="72"/>
    </row>
    <row r="72" spans="2:31" s="57" customFormat="1" ht="15" hidden="1" customHeight="1" outlineLevel="1" x14ac:dyDescent="0.3">
      <c r="B72" s="237" t="s">
        <v>200</v>
      </c>
      <c r="C72" s="47"/>
      <c r="D72" s="56">
        <f t="shared" ref="D72:N72" si="52">SUM(D69:D71)</f>
        <v>137.95500000000001</v>
      </c>
      <c r="E72" s="56">
        <f t="shared" si="52"/>
        <v>161.90599999999998</v>
      </c>
      <c r="F72" s="56">
        <f t="shared" si="52"/>
        <v>152.518</v>
      </c>
      <c r="G72" s="124">
        <f t="shared" si="52"/>
        <v>137.6699999999999</v>
      </c>
      <c r="H72" s="125">
        <f t="shared" si="52"/>
        <v>590.04899999999986</v>
      </c>
      <c r="I72" s="126">
        <f t="shared" si="52"/>
        <v>151.75099999999998</v>
      </c>
      <c r="J72" s="56">
        <f t="shared" si="52"/>
        <v>166.096</v>
      </c>
      <c r="K72" s="56">
        <f t="shared" si="52"/>
        <v>171.27500000000001</v>
      </c>
      <c r="L72" s="56">
        <f t="shared" si="52"/>
        <v>171.501</v>
      </c>
      <c r="M72" s="264">
        <f t="shared" si="52"/>
        <v>660.62299999999993</v>
      </c>
      <c r="N72" s="56">
        <f t="shared" si="52"/>
        <v>164.94499999999999</v>
      </c>
      <c r="O72" s="56">
        <f>SUM(O69:O71)</f>
        <v>229.291</v>
      </c>
      <c r="P72" s="56">
        <f>SUM(P69:P71)</f>
        <v>181.40099999999981</v>
      </c>
      <c r="Q72" s="124">
        <f>SUM(Q69:Q71)</f>
        <v>167.24700000000001</v>
      </c>
      <c r="R72" s="125">
        <f>SUM(R69:R71)</f>
        <v>742.88399999999979</v>
      </c>
      <c r="S72" s="126">
        <f t="shared" ref="S72:V72" si="53">SUM(S69:S71)</f>
        <v>170.06</v>
      </c>
      <c r="T72" s="56">
        <f t="shared" si="53"/>
        <v>190.40700000000018</v>
      </c>
      <c r="U72" s="56">
        <f t="shared" si="53"/>
        <v>211.2863816583731</v>
      </c>
      <c r="V72" s="124">
        <f t="shared" si="53"/>
        <v>176.15704119851185</v>
      </c>
      <c r="W72" s="125">
        <f>SUM(W69:W71)</f>
        <v>747.91042285688513</v>
      </c>
      <c r="Y72" s="72"/>
      <c r="Z72" s="72"/>
      <c r="AA72" s="72"/>
      <c r="AB72" s="72"/>
      <c r="AC72" s="72"/>
      <c r="AD72" s="72"/>
      <c r="AE72" s="72"/>
    </row>
    <row r="73" spans="2:31" s="57" customFormat="1" ht="15" hidden="1" customHeight="1" outlineLevel="1" x14ac:dyDescent="0.3">
      <c r="B73" s="132" t="s">
        <v>201</v>
      </c>
      <c r="C73" s="47"/>
      <c r="D73" s="113">
        <f>D19</f>
        <v>148.86299999999997</v>
      </c>
      <c r="E73" s="113">
        <f>E19</f>
        <v>215.81299999999996</v>
      </c>
      <c r="F73" s="113">
        <f>F19</f>
        <v>189.90699999999995</v>
      </c>
      <c r="G73" s="113">
        <f>G19</f>
        <v>192.92200000000045</v>
      </c>
      <c r="H73" s="114">
        <f t="shared" ref="H73" si="54">SUM(D73:G73)</f>
        <v>747.50500000000034</v>
      </c>
      <c r="I73" s="113">
        <f>I19</f>
        <v>7.6290000000000759</v>
      </c>
      <c r="J73" s="113">
        <f>J19</f>
        <v>366.13900000000001</v>
      </c>
      <c r="K73" s="113">
        <f>K19</f>
        <v>291.43800000000005</v>
      </c>
      <c r="L73" s="113">
        <f>L19</f>
        <v>228.44699999999978</v>
      </c>
      <c r="M73" s="252">
        <f t="shared" ref="M73:M75" si="55">SUM(I73:L73)</f>
        <v>893.65299999999991</v>
      </c>
      <c r="N73" s="113">
        <f>N19</f>
        <v>254.71300000000002</v>
      </c>
      <c r="O73" s="113">
        <f>O19</f>
        <v>288.52300000000008</v>
      </c>
      <c r="P73" s="113">
        <f>P19</f>
        <v>354.55649999999969</v>
      </c>
      <c r="Q73" s="113">
        <f>Q19</f>
        <v>308.4778</v>
      </c>
      <c r="R73" s="114">
        <f>SUM(N73:Q73)</f>
        <v>1206.2702999999997</v>
      </c>
      <c r="S73" s="113">
        <f>S19</f>
        <v>324.66000000000003</v>
      </c>
      <c r="T73" s="113">
        <f>T19</f>
        <v>389.88100000000054</v>
      </c>
      <c r="U73" s="113">
        <f>U19</f>
        <v>422.5727633167462</v>
      </c>
      <c r="V73" s="113">
        <f>V19</f>
        <v>352.31408239702375</v>
      </c>
      <c r="W73" s="114">
        <f t="shared" ref="W73:W76" si="56">SUM(S73:V73)</f>
        <v>1489.4278457137707</v>
      </c>
      <c r="Y73" s="72"/>
      <c r="Z73" s="72"/>
      <c r="AA73" s="72"/>
      <c r="AB73" s="72"/>
      <c r="AC73" s="72"/>
      <c r="AD73" s="72"/>
      <c r="AE73" s="72"/>
    </row>
    <row r="74" spans="2:31" s="57" customFormat="1" ht="15" hidden="1" customHeight="1" outlineLevel="1" x14ac:dyDescent="0.3">
      <c r="B74" s="235" t="s">
        <v>193</v>
      </c>
      <c r="C74" s="47"/>
      <c r="D74" s="119">
        <f>D67</f>
        <v>0</v>
      </c>
      <c r="E74" s="113">
        <f>E67</f>
        <v>0</v>
      </c>
      <c r="F74" s="113">
        <f>F67</f>
        <v>0</v>
      </c>
      <c r="G74" s="113">
        <f>G67</f>
        <v>0</v>
      </c>
      <c r="H74" s="114">
        <f>SUM(D74:G74)</f>
        <v>0</v>
      </c>
      <c r="I74" s="119">
        <f>I67</f>
        <v>-39.761000000000003</v>
      </c>
      <c r="J74" s="113">
        <f>J67</f>
        <v>0</v>
      </c>
      <c r="K74" s="113">
        <f>K67</f>
        <v>0</v>
      </c>
      <c r="L74" s="113">
        <f>L67</f>
        <v>0</v>
      </c>
      <c r="M74" s="252">
        <f t="shared" si="55"/>
        <v>-39.761000000000003</v>
      </c>
      <c r="N74" s="113">
        <f>N67</f>
        <v>0</v>
      </c>
      <c r="O74" s="113">
        <f>O67</f>
        <v>0</v>
      </c>
      <c r="P74" s="113">
        <v>0</v>
      </c>
      <c r="Q74" s="118">
        <v>0</v>
      </c>
      <c r="R74" s="114">
        <f t="shared" ref="R74:R75" si="57">SUM(N74:Q74)</f>
        <v>0</v>
      </c>
      <c r="S74" s="119">
        <v>0</v>
      </c>
      <c r="T74" s="113">
        <v>0</v>
      </c>
      <c r="U74" s="113">
        <v>0</v>
      </c>
      <c r="V74" s="118">
        <v>0</v>
      </c>
      <c r="W74" s="114">
        <f t="shared" si="56"/>
        <v>0</v>
      </c>
      <c r="Y74" s="72"/>
      <c r="Z74" s="72"/>
      <c r="AA74" s="72"/>
      <c r="AB74" s="72"/>
      <c r="AC74" s="72"/>
      <c r="AD74" s="72"/>
      <c r="AE74" s="72"/>
    </row>
    <row r="75" spans="2:31" s="57" customFormat="1" ht="15" hidden="1" customHeight="1" outlineLevel="1" x14ac:dyDescent="0.3">
      <c r="B75" s="235" t="s">
        <v>198</v>
      </c>
      <c r="C75" s="47"/>
      <c r="D75" s="119">
        <f t="shared" ref="D75:G76" si="58">-D70</f>
        <v>0</v>
      </c>
      <c r="E75" s="113">
        <f t="shared" si="58"/>
        <v>0.501</v>
      </c>
      <c r="F75" s="113">
        <f t="shared" si="58"/>
        <v>-0.505</v>
      </c>
      <c r="G75" s="113">
        <f t="shared" si="58"/>
        <v>4.0000000000000001E-3</v>
      </c>
      <c r="H75" s="114">
        <f>SUM(D75:G75)</f>
        <v>0</v>
      </c>
      <c r="I75" s="119">
        <f t="shared" ref="I75:L76" si="59">-I70</f>
        <v>205.98</v>
      </c>
      <c r="J75" s="113">
        <f t="shared" si="59"/>
        <v>12.207000000000001</v>
      </c>
      <c r="K75" s="113">
        <f t="shared" si="59"/>
        <v>2.4710000000000036</v>
      </c>
      <c r="L75" s="113">
        <f t="shared" si="59"/>
        <v>3.3420000000000001</v>
      </c>
      <c r="M75" s="252">
        <f t="shared" si="55"/>
        <v>224</v>
      </c>
      <c r="N75" s="113">
        <f>-N70</f>
        <v>3.44</v>
      </c>
      <c r="O75" s="113">
        <f>-O70</f>
        <v>0</v>
      </c>
      <c r="P75" s="113">
        <f>AVERAGE(O75,N75)</f>
        <v>1.72</v>
      </c>
      <c r="Q75" s="113">
        <f>(O75+P75)/2</f>
        <v>0.86</v>
      </c>
      <c r="R75" s="114">
        <f t="shared" si="57"/>
        <v>6.0200000000000005</v>
      </c>
      <c r="S75" s="113">
        <f>(P75+Q75)/2</f>
        <v>1.29</v>
      </c>
      <c r="T75" s="113">
        <f>(Q75+S75)/2</f>
        <v>1.075</v>
      </c>
      <c r="U75" s="113">
        <f>(S75+T75)/2</f>
        <v>1.1825000000000001</v>
      </c>
      <c r="V75" s="113">
        <f>(T75+U75)/2</f>
        <v>1.1287500000000001</v>
      </c>
      <c r="W75" s="114">
        <f t="shared" si="56"/>
        <v>4.6762500000000005</v>
      </c>
      <c r="Y75" s="72"/>
      <c r="Z75" s="72"/>
      <c r="AA75" s="72"/>
      <c r="AB75" s="72"/>
      <c r="AC75" s="72"/>
      <c r="AD75" s="72"/>
      <c r="AE75" s="72"/>
    </row>
    <row r="76" spans="2:31" s="57" customFormat="1" ht="15" hidden="1" customHeight="1" outlineLevel="1" x14ac:dyDescent="0.3">
      <c r="B76" s="249" t="s">
        <v>199</v>
      </c>
      <c r="C76" s="47"/>
      <c r="D76" s="113">
        <f t="shared" si="58"/>
        <v>0</v>
      </c>
      <c r="E76" s="113">
        <f t="shared" si="58"/>
        <v>1.0680000000000001</v>
      </c>
      <c r="F76" s="113">
        <f t="shared" si="58"/>
        <v>0</v>
      </c>
      <c r="G76" s="113">
        <f t="shared" si="58"/>
        <v>1.1879999999999999</v>
      </c>
      <c r="H76" s="114">
        <f>SUM(D76:G76)</f>
        <v>2.2560000000000002</v>
      </c>
      <c r="I76" s="113">
        <f t="shared" si="59"/>
        <v>3.597</v>
      </c>
      <c r="J76" s="113">
        <f t="shared" si="59"/>
        <v>11.536</v>
      </c>
      <c r="K76" s="113">
        <f t="shared" si="59"/>
        <v>0.29199999999999982</v>
      </c>
      <c r="L76" s="113">
        <f t="shared" si="59"/>
        <v>7.0000000000000007E-2</v>
      </c>
      <c r="M76" s="252">
        <f>SUM(I76:L76)</f>
        <v>15.494999999999999</v>
      </c>
      <c r="N76" s="113">
        <f>-N71</f>
        <v>0</v>
      </c>
      <c r="O76" s="113">
        <f>-O71</f>
        <v>0</v>
      </c>
      <c r="P76" s="113">
        <v>0</v>
      </c>
      <c r="Q76" s="118">
        <v>0</v>
      </c>
      <c r="R76" s="114">
        <v>0</v>
      </c>
      <c r="S76" s="119">
        <v>0</v>
      </c>
      <c r="T76" s="113">
        <v>0</v>
      </c>
      <c r="U76" s="113">
        <v>0</v>
      </c>
      <c r="V76" s="118">
        <v>0</v>
      </c>
      <c r="W76" s="114">
        <f t="shared" si="56"/>
        <v>0</v>
      </c>
      <c r="Y76" s="72"/>
      <c r="Z76" s="72"/>
      <c r="AA76" s="72"/>
      <c r="AB76" s="72"/>
      <c r="AC76" s="72"/>
      <c r="AD76" s="72"/>
      <c r="AE76" s="72"/>
    </row>
    <row r="77" spans="2:31" s="57" customFormat="1" ht="15" hidden="1" customHeight="1" outlineLevel="1" x14ac:dyDescent="0.45">
      <c r="B77" s="249" t="s">
        <v>202</v>
      </c>
      <c r="C77" s="47"/>
      <c r="D77" s="121">
        <v>0</v>
      </c>
      <c r="E77" s="121">
        <v>0</v>
      </c>
      <c r="F77" s="121">
        <v>0</v>
      </c>
      <c r="G77" s="122">
        <v>0</v>
      </c>
      <c r="H77" s="114">
        <v>0</v>
      </c>
      <c r="I77" s="120">
        <v>0</v>
      </c>
      <c r="J77" s="121">
        <v>-161.47</v>
      </c>
      <c r="K77" s="121">
        <v>0</v>
      </c>
      <c r="L77" s="121">
        <v>0</v>
      </c>
      <c r="M77" s="263">
        <f>SUM(I77:L77)</f>
        <v>-161.47</v>
      </c>
      <c r="N77" s="120">
        <v>0</v>
      </c>
      <c r="O77" s="121">
        <v>0</v>
      </c>
      <c r="P77" s="121">
        <v>0</v>
      </c>
      <c r="Q77" s="122">
        <v>0</v>
      </c>
      <c r="R77" s="123">
        <f>SUM(N77:Q77)</f>
        <v>0</v>
      </c>
      <c r="S77" s="120">
        <v>0</v>
      </c>
      <c r="T77" s="121">
        <v>0</v>
      </c>
      <c r="U77" s="121">
        <v>0</v>
      </c>
      <c r="V77" s="122">
        <v>0</v>
      </c>
      <c r="W77" s="123">
        <f>SUM(S77:V77)</f>
        <v>0</v>
      </c>
      <c r="Y77" s="72"/>
      <c r="Z77" s="72"/>
      <c r="AA77" s="72"/>
      <c r="AB77" s="72"/>
      <c r="AC77" s="72"/>
      <c r="AD77" s="72"/>
      <c r="AE77" s="72"/>
    </row>
    <row r="78" spans="2:31" s="57" customFormat="1" ht="15" hidden="1" customHeight="1" outlineLevel="1" x14ac:dyDescent="0.3">
      <c r="B78" s="133" t="s">
        <v>203</v>
      </c>
      <c r="C78" s="47"/>
      <c r="D78" s="56">
        <f>SUM(D73:D77)</f>
        <v>148.86299999999997</v>
      </c>
      <c r="E78" s="56">
        <f>SUM(E73:E77)</f>
        <v>217.38199999999998</v>
      </c>
      <c r="F78" s="56">
        <f>SUM(F73:F77)</f>
        <v>189.40199999999996</v>
      </c>
      <c r="G78" s="56">
        <f>SUM(G73:G77)</f>
        <v>194.11400000000043</v>
      </c>
      <c r="H78" s="125">
        <f>SUM(H73:H76)</f>
        <v>749.76100000000031</v>
      </c>
      <c r="I78" s="56">
        <f t="shared" ref="I78:M78" si="60">SUM(I73:I77)</f>
        <v>177.44500000000008</v>
      </c>
      <c r="J78" s="56">
        <f t="shared" si="60"/>
        <v>228.41200000000001</v>
      </c>
      <c r="K78" s="56">
        <f t="shared" si="60"/>
        <v>294.20100000000002</v>
      </c>
      <c r="L78" s="56">
        <f t="shared" si="60"/>
        <v>231.85899999999978</v>
      </c>
      <c r="M78" s="264">
        <f t="shared" si="60"/>
        <v>931.91699999999969</v>
      </c>
      <c r="N78" s="56">
        <f t="shared" ref="N78:W78" si="61">SUM(N73:N77)</f>
        <v>258.15300000000002</v>
      </c>
      <c r="O78" s="56">
        <f t="shared" si="61"/>
        <v>288.52300000000008</v>
      </c>
      <c r="P78" s="56">
        <f t="shared" si="61"/>
        <v>356.27649999999971</v>
      </c>
      <c r="Q78" s="56">
        <f t="shared" si="61"/>
        <v>309.33780000000002</v>
      </c>
      <c r="R78" s="125">
        <f t="shared" si="61"/>
        <v>1212.2902999999997</v>
      </c>
      <c r="S78" s="56">
        <f t="shared" si="61"/>
        <v>325.95000000000005</v>
      </c>
      <c r="T78" s="56">
        <f t="shared" si="61"/>
        <v>390.95600000000053</v>
      </c>
      <c r="U78" s="56">
        <f t="shared" si="61"/>
        <v>423.75526331674621</v>
      </c>
      <c r="V78" s="56">
        <f t="shared" si="61"/>
        <v>353.44283239702378</v>
      </c>
      <c r="W78" s="125">
        <f t="shared" si="61"/>
        <v>1494.1040957137707</v>
      </c>
      <c r="Y78" s="72"/>
      <c r="Z78" s="72"/>
      <c r="AA78" s="72"/>
      <c r="AB78" s="72"/>
      <c r="AC78" s="72"/>
      <c r="AD78" s="72"/>
      <c r="AE78" s="72"/>
    </row>
    <row r="79" spans="2:31" s="58" customFormat="1" ht="15" hidden="1" customHeight="1" outlineLevel="1" x14ac:dyDescent="0.3">
      <c r="B79" s="76" t="s">
        <v>204</v>
      </c>
      <c r="C79" s="127"/>
      <c r="D79" s="119">
        <f>D25</f>
        <v>149.01699999999997</v>
      </c>
      <c r="E79" s="113">
        <f>E25</f>
        <v>215.99099999999996</v>
      </c>
      <c r="F79" s="113">
        <f>F25</f>
        <v>188.86899999999994</v>
      </c>
      <c r="G79" s="113">
        <f>G25</f>
        <v>191.91100000000046</v>
      </c>
      <c r="H79" s="114">
        <f t="shared" ref="H79:H80" si="62">SUM(D79:G79)</f>
        <v>745.78800000000024</v>
      </c>
      <c r="I79" s="119">
        <f>I25</f>
        <v>8.8620000000000765</v>
      </c>
      <c r="J79" s="113">
        <f>J25</f>
        <v>365.12400000000002</v>
      </c>
      <c r="K79" s="113">
        <f>K25</f>
        <v>288.07600000000002</v>
      </c>
      <c r="L79" s="113">
        <f>L25</f>
        <v>229.48599999999976</v>
      </c>
      <c r="M79" s="252">
        <f>SUM(I79:L79)</f>
        <v>891.54799999999989</v>
      </c>
      <c r="N79" s="113">
        <f>N25</f>
        <v>255.32100000000003</v>
      </c>
      <c r="O79" s="113">
        <f>O25</f>
        <v>288.3010000000001</v>
      </c>
      <c r="P79" s="113">
        <f>P25</f>
        <v>354.74949999999967</v>
      </c>
      <c r="Q79" s="113">
        <f>Q25</f>
        <v>308.67079999999999</v>
      </c>
      <c r="R79" s="114">
        <f t="shared" ref="R79:R92" si="63">SUM(N79:Q79)</f>
        <v>1207.0422999999996</v>
      </c>
      <c r="S79" s="113">
        <f>S25</f>
        <v>324.85300000000001</v>
      </c>
      <c r="T79" s="113">
        <f>T25</f>
        <v>390.07400000000052</v>
      </c>
      <c r="U79" s="113">
        <f>U25</f>
        <v>422.76576331674619</v>
      </c>
      <c r="V79" s="113">
        <f>V25</f>
        <v>352.50708239702374</v>
      </c>
      <c r="W79" s="114">
        <f t="shared" ref="W79:W92" si="64">SUM(S79:V79)</f>
        <v>1490.1998457137706</v>
      </c>
      <c r="Y79" s="154"/>
      <c r="Z79" s="154"/>
      <c r="AA79" s="154"/>
      <c r="AB79" s="154"/>
      <c r="AC79" s="154"/>
      <c r="AD79" s="154"/>
      <c r="AE79" s="154"/>
    </row>
    <row r="80" spans="2:31" s="58" customFormat="1" ht="15" hidden="1" customHeight="1" outlineLevel="1" x14ac:dyDescent="0.3">
      <c r="B80" s="235" t="s">
        <v>193</v>
      </c>
      <c r="C80" s="127"/>
      <c r="D80" s="113">
        <f>D64</f>
        <v>0</v>
      </c>
      <c r="E80" s="113">
        <f>E64</f>
        <v>0</v>
      </c>
      <c r="F80" s="113">
        <f>F64</f>
        <v>0</v>
      </c>
      <c r="G80" s="113">
        <f>G64</f>
        <v>0</v>
      </c>
      <c r="H80" s="114">
        <f t="shared" si="62"/>
        <v>0</v>
      </c>
      <c r="I80" s="119">
        <f t="shared" ref="I80:L83" si="65">I74</f>
        <v>-39.761000000000003</v>
      </c>
      <c r="J80" s="113">
        <f t="shared" si="65"/>
        <v>0</v>
      </c>
      <c r="K80" s="113">
        <f t="shared" si="65"/>
        <v>0</v>
      </c>
      <c r="L80" s="113">
        <f t="shared" si="65"/>
        <v>0</v>
      </c>
      <c r="M80" s="252">
        <f t="shared" ref="M80:M81" si="66">SUM(I80:L80)</f>
        <v>-39.761000000000003</v>
      </c>
      <c r="N80" s="113">
        <f t="shared" ref="N80:V83" si="67">N74</f>
        <v>0</v>
      </c>
      <c r="O80" s="113">
        <f t="shared" si="67"/>
        <v>0</v>
      </c>
      <c r="P80" s="113">
        <f t="shared" si="67"/>
        <v>0</v>
      </c>
      <c r="Q80" s="113">
        <f t="shared" si="67"/>
        <v>0</v>
      </c>
      <c r="R80" s="114">
        <f t="shared" si="63"/>
        <v>0</v>
      </c>
      <c r="S80" s="113">
        <f t="shared" si="67"/>
        <v>0</v>
      </c>
      <c r="T80" s="113">
        <f t="shared" si="67"/>
        <v>0</v>
      </c>
      <c r="U80" s="113">
        <f t="shared" si="67"/>
        <v>0</v>
      </c>
      <c r="V80" s="113">
        <f t="shared" si="67"/>
        <v>0</v>
      </c>
      <c r="W80" s="114">
        <f t="shared" si="64"/>
        <v>0</v>
      </c>
      <c r="Y80" s="154"/>
      <c r="Z80" s="154"/>
      <c r="AA80" s="154"/>
      <c r="AB80" s="154"/>
      <c r="AC80" s="154"/>
      <c r="AD80" s="154"/>
      <c r="AE80" s="154"/>
    </row>
    <row r="81" spans="2:31" s="58" customFormat="1" ht="15" hidden="1" customHeight="1" outlineLevel="1" x14ac:dyDescent="0.3">
      <c r="B81" s="235" t="s">
        <v>229</v>
      </c>
      <c r="C81" s="127"/>
      <c r="D81" s="113">
        <f t="shared" ref="D81:G83" si="68">D75</f>
        <v>0</v>
      </c>
      <c r="E81" s="113">
        <f t="shared" si="68"/>
        <v>0.501</v>
      </c>
      <c r="F81" s="113">
        <f t="shared" si="68"/>
        <v>-0.505</v>
      </c>
      <c r="G81" s="113">
        <f t="shared" si="68"/>
        <v>4.0000000000000001E-3</v>
      </c>
      <c r="H81" s="114">
        <v>-0.157</v>
      </c>
      <c r="I81" s="119">
        <f t="shared" si="65"/>
        <v>205.98</v>
      </c>
      <c r="J81" s="113">
        <f t="shared" si="65"/>
        <v>12.207000000000001</v>
      </c>
      <c r="K81" s="113">
        <f t="shared" si="65"/>
        <v>2.4710000000000036</v>
      </c>
      <c r="L81" s="113">
        <f t="shared" si="65"/>
        <v>3.3420000000000001</v>
      </c>
      <c r="M81" s="252">
        <f t="shared" si="66"/>
        <v>224</v>
      </c>
      <c r="N81" s="113">
        <f t="shared" si="67"/>
        <v>3.44</v>
      </c>
      <c r="O81" s="113">
        <f t="shared" si="67"/>
        <v>0</v>
      </c>
      <c r="P81" s="113">
        <f t="shared" si="67"/>
        <v>1.72</v>
      </c>
      <c r="Q81" s="113">
        <f t="shared" si="67"/>
        <v>0.86</v>
      </c>
      <c r="R81" s="114">
        <f t="shared" si="63"/>
        <v>6.0200000000000005</v>
      </c>
      <c r="S81" s="113">
        <f t="shared" si="67"/>
        <v>1.29</v>
      </c>
      <c r="T81" s="113">
        <f t="shared" si="67"/>
        <v>1.075</v>
      </c>
      <c r="U81" s="113">
        <f t="shared" si="67"/>
        <v>1.1825000000000001</v>
      </c>
      <c r="V81" s="113">
        <f t="shared" si="67"/>
        <v>1.1287500000000001</v>
      </c>
      <c r="W81" s="114">
        <f t="shared" si="64"/>
        <v>4.6762500000000005</v>
      </c>
      <c r="Y81" s="154"/>
      <c r="Z81" s="154"/>
      <c r="AA81" s="154"/>
      <c r="AB81" s="154"/>
      <c r="AC81" s="154"/>
      <c r="AD81" s="154"/>
      <c r="AE81" s="154"/>
    </row>
    <row r="82" spans="2:31" s="58" customFormat="1" ht="15" hidden="1" customHeight="1" outlineLevel="1" x14ac:dyDescent="0.3">
      <c r="B82" s="235" t="s">
        <v>199</v>
      </c>
      <c r="C82" s="127"/>
      <c r="D82" s="119">
        <f t="shared" si="68"/>
        <v>0</v>
      </c>
      <c r="E82" s="113">
        <f t="shared" si="68"/>
        <v>1.0680000000000001</v>
      </c>
      <c r="F82" s="113">
        <f t="shared" si="68"/>
        <v>0</v>
      </c>
      <c r="G82" s="113">
        <f t="shared" si="68"/>
        <v>1.1879999999999999</v>
      </c>
      <c r="H82" s="114">
        <f>SUM(D82:G82)</f>
        <v>2.2560000000000002</v>
      </c>
      <c r="I82" s="119">
        <f t="shared" si="65"/>
        <v>3.597</v>
      </c>
      <c r="J82" s="113">
        <f t="shared" si="65"/>
        <v>11.536</v>
      </c>
      <c r="K82" s="113">
        <f t="shared" si="65"/>
        <v>0.29199999999999982</v>
      </c>
      <c r="L82" s="113">
        <f t="shared" si="65"/>
        <v>7.0000000000000007E-2</v>
      </c>
      <c r="M82" s="252">
        <v>15.494999999999999</v>
      </c>
      <c r="N82" s="113">
        <f t="shared" si="67"/>
        <v>0</v>
      </c>
      <c r="O82" s="113">
        <f t="shared" si="67"/>
        <v>0</v>
      </c>
      <c r="P82" s="113">
        <f t="shared" si="67"/>
        <v>0</v>
      </c>
      <c r="Q82" s="113">
        <f t="shared" si="67"/>
        <v>0</v>
      </c>
      <c r="R82" s="114">
        <f t="shared" si="63"/>
        <v>0</v>
      </c>
      <c r="S82" s="113">
        <f t="shared" si="67"/>
        <v>0</v>
      </c>
      <c r="T82" s="113">
        <f t="shared" si="67"/>
        <v>0</v>
      </c>
      <c r="U82" s="113">
        <f t="shared" si="67"/>
        <v>0</v>
      </c>
      <c r="V82" s="113">
        <f t="shared" si="67"/>
        <v>0</v>
      </c>
      <c r="W82" s="114">
        <f t="shared" si="64"/>
        <v>0</v>
      </c>
      <c r="Y82" s="154"/>
      <c r="Z82" s="154"/>
      <c r="AA82" s="154"/>
      <c r="AB82" s="154"/>
      <c r="AC82" s="154"/>
      <c r="AD82" s="154"/>
      <c r="AE82" s="154"/>
    </row>
    <row r="83" spans="2:31" s="58" customFormat="1" ht="15" hidden="1" customHeight="1" outlineLevel="1" x14ac:dyDescent="0.45">
      <c r="B83" s="235" t="s">
        <v>202</v>
      </c>
      <c r="C83" s="127"/>
      <c r="D83" s="120">
        <f t="shared" si="68"/>
        <v>0</v>
      </c>
      <c r="E83" s="121">
        <f t="shared" si="68"/>
        <v>0</v>
      </c>
      <c r="F83" s="121">
        <f t="shared" si="68"/>
        <v>0</v>
      </c>
      <c r="G83" s="121">
        <f t="shared" si="68"/>
        <v>0</v>
      </c>
      <c r="H83" s="114">
        <v>4.8239999999999998</v>
      </c>
      <c r="I83" s="119">
        <f t="shared" si="65"/>
        <v>0</v>
      </c>
      <c r="J83" s="113">
        <f t="shared" si="65"/>
        <v>-161.47</v>
      </c>
      <c r="K83" s="113">
        <f t="shared" si="65"/>
        <v>0</v>
      </c>
      <c r="L83" s="113">
        <f t="shared" si="65"/>
        <v>0</v>
      </c>
      <c r="M83" s="252">
        <f>SUM(I83:L83)</f>
        <v>-161.47</v>
      </c>
      <c r="N83" s="113">
        <f t="shared" si="67"/>
        <v>0</v>
      </c>
      <c r="O83" s="113">
        <f t="shared" si="67"/>
        <v>0</v>
      </c>
      <c r="P83" s="113">
        <f t="shared" si="67"/>
        <v>0</v>
      </c>
      <c r="Q83" s="113">
        <f t="shared" si="67"/>
        <v>0</v>
      </c>
      <c r="R83" s="114">
        <f t="shared" si="63"/>
        <v>0</v>
      </c>
      <c r="S83" s="113">
        <f t="shared" si="67"/>
        <v>0</v>
      </c>
      <c r="T83" s="113">
        <f t="shared" si="67"/>
        <v>0</v>
      </c>
      <c r="U83" s="113">
        <f t="shared" si="67"/>
        <v>0</v>
      </c>
      <c r="V83" s="113">
        <f t="shared" si="67"/>
        <v>0</v>
      </c>
      <c r="W83" s="114">
        <f t="shared" si="64"/>
        <v>0</v>
      </c>
      <c r="Y83" s="154"/>
      <c r="Z83" s="154"/>
      <c r="AA83" s="154"/>
      <c r="AB83" s="154"/>
      <c r="AC83" s="154"/>
      <c r="AD83" s="154"/>
      <c r="AE83" s="154"/>
    </row>
    <row r="84" spans="2:31" s="58" customFormat="1" ht="15" hidden="1" customHeight="1" outlineLevel="1" x14ac:dyDescent="0.3">
      <c r="B84" s="237" t="s">
        <v>205</v>
      </c>
      <c r="C84" s="127"/>
      <c r="D84" s="56">
        <f>SUM(D79:D83)</f>
        <v>149.01699999999997</v>
      </c>
      <c r="E84" s="56">
        <f>SUM(E79:E83)</f>
        <v>217.55999999999997</v>
      </c>
      <c r="F84" s="56">
        <f>SUM(F79:F83)</f>
        <v>188.36399999999995</v>
      </c>
      <c r="G84" s="56">
        <f>SUM(G79:G83)</f>
        <v>193.10300000000043</v>
      </c>
      <c r="H84" s="114">
        <f t="shared" ref="H84:H89" si="69">SUM(D84:G84)</f>
        <v>748.04400000000032</v>
      </c>
      <c r="I84" s="56">
        <f>SUM(I79:I83)</f>
        <v>178.67800000000008</v>
      </c>
      <c r="J84" s="56">
        <f>SUM(J79:J83)</f>
        <v>227.39700000000002</v>
      </c>
      <c r="K84" s="56">
        <f>SUM(K79:K83)</f>
        <v>290.839</v>
      </c>
      <c r="L84" s="56">
        <f>SUM(L79:L83)</f>
        <v>232.89799999999977</v>
      </c>
      <c r="M84" s="264">
        <f>SUM(I84:L84)</f>
        <v>929.8119999999999</v>
      </c>
      <c r="N84" s="56">
        <f>SUM(N79:N83)</f>
        <v>258.76100000000002</v>
      </c>
      <c r="O84" s="56">
        <f>SUM(O79:O83)</f>
        <v>288.3010000000001</v>
      </c>
      <c r="P84" s="56">
        <f>SUM(P79:P83)</f>
        <v>356.4694999999997</v>
      </c>
      <c r="Q84" s="56">
        <f>SUM(Q79:Q83)</f>
        <v>309.5308</v>
      </c>
      <c r="R84" s="114">
        <f t="shared" si="63"/>
        <v>1213.0622999999998</v>
      </c>
      <c r="S84" s="56">
        <f>SUM(S79:S83)</f>
        <v>326.14300000000003</v>
      </c>
      <c r="T84" s="56">
        <f>SUM(T79:T83)</f>
        <v>391.14900000000051</v>
      </c>
      <c r="U84" s="56">
        <f>SUM(U79:U83)</f>
        <v>423.94826331674619</v>
      </c>
      <c r="V84" s="56">
        <f>SUM(V79:V83)</f>
        <v>353.63583239702376</v>
      </c>
      <c r="W84" s="114">
        <f t="shared" si="64"/>
        <v>1494.8760957137704</v>
      </c>
      <c r="Y84" s="154"/>
      <c r="Z84" s="154"/>
      <c r="AA84" s="154"/>
      <c r="AB84" s="154"/>
      <c r="AC84" s="154"/>
      <c r="AD84" s="154"/>
      <c r="AE84" s="154"/>
    </row>
    <row r="85" spans="2:31" s="58" customFormat="1" ht="15" hidden="1" customHeight="1" outlineLevel="1" x14ac:dyDescent="0.3">
      <c r="B85" s="235" t="s">
        <v>79</v>
      </c>
      <c r="C85" s="127"/>
      <c r="D85" s="113">
        <f>D27</f>
        <v>95.249999999999972</v>
      </c>
      <c r="E85" s="113">
        <f>E27</f>
        <v>141.00299999999996</v>
      </c>
      <c r="F85" s="113">
        <f>F27</f>
        <v>121.59999999999994</v>
      </c>
      <c r="G85" s="113">
        <f>G27</f>
        <v>125.33200000000045</v>
      </c>
      <c r="H85" s="114">
        <f t="shared" si="69"/>
        <v>483.18500000000029</v>
      </c>
      <c r="I85" s="113">
        <f>I27</f>
        <v>4.4140000000000761</v>
      </c>
      <c r="J85" s="113">
        <f>J27</f>
        <v>229.00400000000002</v>
      </c>
      <c r="K85" s="113">
        <f>K27</f>
        <v>174.57400000000001</v>
      </c>
      <c r="L85" s="113">
        <f>L27</f>
        <v>138.74099999999979</v>
      </c>
      <c r="M85" s="252">
        <f>SUM(I85:L85)</f>
        <v>546.73299999999983</v>
      </c>
      <c r="N85" s="113">
        <f>N27</f>
        <v>163.87700000000001</v>
      </c>
      <c r="O85" s="113">
        <f>O27</f>
        <v>184.21900000000011</v>
      </c>
      <c r="P85" s="113">
        <f>P27</f>
        <v>234.13466999999977</v>
      </c>
      <c r="Q85" s="113">
        <f>Q27</f>
        <v>203.72272799999999</v>
      </c>
      <c r="R85" s="114">
        <f t="shared" si="63"/>
        <v>785.95339799999988</v>
      </c>
      <c r="S85" s="113">
        <f>S27</f>
        <v>214.40298000000001</v>
      </c>
      <c r="T85" s="113">
        <f>T27</f>
        <v>257.44884000000036</v>
      </c>
      <c r="U85" s="113">
        <f>U27</f>
        <v>279.02540378905246</v>
      </c>
      <c r="V85" s="113">
        <f>V27</f>
        <v>232.65467438203564</v>
      </c>
      <c r="W85" s="114">
        <f t="shared" si="64"/>
        <v>983.53189817108841</v>
      </c>
      <c r="Y85" s="154"/>
      <c r="Z85" s="154"/>
      <c r="AA85" s="154"/>
      <c r="AB85" s="154"/>
      <c r="AC85" s="154"/>
      <c r="AD85" s="154"/>
      <c r="AE85" s="154"/>
    </row>
    <row r="86" spans="2:31" s="58" customFormat="1" ht="15" hidden="1" customHeight="1" outlineLevel="1" x14ac:dyDescent="0.3">
      <c r="B86" s="235" t="s">
        <v>193</v>
      </c>
      <c r="C86" s="127"/>
      <c r="D86" s="113">
        <f>D64</f>
        <v>0</v>
      </c>
      <c r="E86" s="113">
        <f>E64</f>
        <v>0</v>
      </c>
      <c r="F86" s="113">
        <f>F64</f>
        <v>0</v>
      </c>
      <c r="G86" s="113">
        <f>G64</f>
        <v>0</v>
      </c>
      <c r="H86" s="114">
        <f t="shared" si="69"/>
        <v>0</v>
      </c>
      <c r="I86" s="113">
        <f>I64</f>
        <v>-39.761000000000003</v>
      </c>
      <c r="J86" s="113">
        <f>J64</f>
        <v>0</v>
      </c>
      <c r="K86" s="113">
        <f>K64</f>
        <v>0</v>
      </c>
      <c r="L86" s="113">
        <f>L64</f>
        <v>0</v>
      </c>
      <c r="M86" s="252">
        <f>SUM(I86:L86)</f>
        <v>-39.761000000000003</v>
      </c>
      <c r="N86" s="113">
        <f>N64</f>
        <v>0</v>
      </c>
      <c r="O86" s="113">
        <f>O64</f>
        <v>0</v>
      </c>
      <c r="P86" s="113">
        <f>P64</f>
        <v>0</v>
      </c>
      <c r="Q86" s="113">
        <f>Q64</f>
        <v>0</v>
      </c>
      <c r="R86" s="114">
        <f t="shared" si="63"/>
        <v>0</v>
      </c>
      <c r="S86" s="113">
        <f>S64</f>
        <v>0</v>
      </c>
      <c r="T86" s="113">
        <f>T64</f>
        <v>0</v>
      </c>
      <c r="U86" s="113">
        <f>U64</f>
        <v>0</v>
      </c>
      <c r="V86" s="113">
        <f>V64</f>
        <v>0</v>
      </c>
      <c r="W86" s="114">
        <f t="shared" si="64"/>
        <v>0</v>
      </c>
      <c r="Y86" s="154"/>
      <c r="Z86" s="154"/>
      <c r="AA86" s="154"/>
      <c r="AB86" s="154"/>
      <c r="AC86" s="154"/>
      <c r="AD86" s="154"/>
      <c r="AE86" s="154"/>
    </row>
    <row r="87" spans="2:31" s="58" customFormat="1" ht="15" hidden="1" customHeight="1" outlineLevel="1" x14ac:dyDescent="0.3">
      <c r="B87" s="235" t="s">
        <v>198</v>
      </c>
      <c r="C87" s="127"/>
      <c r="D87" s="113">
        <f>D75</f>
        <v>0</v>
      </c>
      <c r="E87" s="113">
        <f>E75</f>
        <v>0.501</v>
      </c>
      <c r="F87" s="113">
        <f>F70</f>
        <v>0.505</v>
      </c>
      <c r="G87" s="113">
        <f>G75</f>
        <v>4.0000000000000001E-3</v>
      </c>
      <c r="H87" s="114">
        <v>-0.157</v>
      </c>
      <c r="I87" s="113">
        <f>I75</f>
        <v>205.98</v>
      </c>
      <c r="J87" s="113">
        <f>J75</f>
        <v>12.207000000000001</v>
      </c>
      <c r="K87" s="113">
        <f>K75</f>
        <v>2.4710000000000036</v>
      </c>
      <c r="L87" s="113">
        <f>L75</f>
        <v>3.3420000000000001</v>
      </c>
      <c r="M87" s="252">
        <f>SUM(I87:L87)</f>
        <v>224</v>
      </c>
      <c r="N87" s="113">
        <f>N75</f>
        <v>3.44</v>
      </c>
      <c r="O87" s="113">
        <f>O75</f>
        <v>0</v>
      </c>
      <c r="P87" s="113">
        <f>P75</f>
        <v>1.72</v>
      </c>
      <c r="Q87" s="113">
        <f>Q75</f>
        <v>0.86</v>
      </c>
      <c r="R87" s="114">
        <f t="shared" si="63"/>
        <v>6.0200000000000005</v>
      </c>
      <c r="S87" s="113">
        <f>S75</f>
        <v>1.29</v>
      </c>
      <c r="T87" s="113">
        <f>T75</f>
        <v>1.075</v>
      </c>
      <c r="U87" s="113">
        <f>U75</f>
        <v>1.1825000000000001</v>
      </c>
      <c r="V87" s="113">
        <f>V75</f>
        <v>1.1287500000000001</v>
      </c>
      <c r="W87" s="114">
        <f t="shared" si="64"/>
        <v>4.6762500000000005</v>
      </c>
      <c r="Y87" s="154"/>
      <c r="Z87" s="154"/>
      <c r="AA87" s="154"/>
      <c r="AB87" s="154"/>
      <c r="AC87" s="154"/>
      <c r="AD87" s="154"/>
      <c r="AE87" s="154"/>
    </row>
    <row r="88" spans="2:31" s="58" customFormat="1" ht="15" hidden="1" customHeight="1" outlineLevel="1" x14ac:dyDescent="0.3">
      <c r="B88" s="235" t="s">
        <v>199</v>
      </c>
      <c r="C88" s="127"/>
      <c r="D88" s="113">
        <f>D82</f>
        <v>0</v>
      </c>
      <c r="E88" s="113">
        <f>E82</f>
        <v>1.0680000000000001</v>
      </c>
      <c r="F88" s="113">
        <f>F82</f>
        <v>0</v>
      </c>
      <c r="G88" s="113">
        <f>G82</f>
        <v>1.1879999999999999</v>
      </c>
      <c r="H88" s="114">
        <v>4.8239999999999998</v>
      </c>
      <c r="I88" s="113">
        <f>I82</f>
        <v>3.597</v>
      </c>
      <c r="J88" s="113">
        <f>J82</f>
        <v>11.536</v>
      </c>
      <c r="K88" s="113">
        <f>K82</f>
        <v>0.29199999999999982</v>
      </c>
      <c r="L88" s="113">
        <f>L82</f>
        <v>7.0000000000000007E-2</v>
      </c>
      <c r="M88" s="252">
        <v>15.494999999999999</v>
      </c>
      <c r="N88" s="113">
        <f>N82</f>
        <v>0</v>
      </c>
      <c r="O88" s="113">
        <f>O82</f>
        <v>0</v>
      </c>
      <c r="P88" s="113">
        <f>P82</f>
        <v>0</v>
      </c>
      <c r="Q88" s="113">
        <f>Q82</f>
        <v>0</v>
      </c>
      <c r="R88" s="114">
        <f t="shared" si="63"/>
        <v>0</v>
      </c>
      <c r="S88" s="113">
        <f>S82</f>
        <v>0</v>
      </c>
      <c r="T88" s="113">
        <f>T82</f>
        <v>0</v>
      </c>
      <c r="U88" s="113">
        <f>U82</f>
        <v>0</v>
      </c>
      <c r="V88" s="113">
        <f>V82</f>
        <v>0</v>
      </c>
      <c r="W88" s="114">
        <f t="shared" si="64"/>
        <v>0</v>
      </c>
      <c r="Y88" s="154"/>
      <c r="Z88" s="154"/>
      <c r="AA88" s="154"/>
      <c r="AB88" s="154"/>
      <c r="AC88" s="154"/>
      <c r="AD88" s="154"/>
      <c r="AE88" s="154"/>
    </row>
    <row r="89" spans="2:31" s="58" customFormat="1" ht="15" hidden="1" customHeight="1" outlineLevel="1" x14ac:dyDescent="0.3">
      <c r="B89" s="249" t="s">
        <v>226</v>
      </c>
      <c r="C89" s="127"/>
      <c r="D89" s="113">
        <f>D77</f>
        <v>0</v>
      </c>
      <c r="E89" s="113">
        <f>E77</f>
        <v>0</v>
      </c>
      <c r="F89" s="113">
        <f>F77</f>
        <v>0</v>
      </c>
      <c r="G89" s="113">
        <f>G77</f>
        <v>0</v>
      </c>
      <c r="H89" s="114">
        <f t="shared" si="69"/>
        <v>0</v>
      </c>
      <c r="I89" s="113">
        <f>I77</f>
        <v>0</v>
      </c>
      <c r="J89" s="113">
        <f>J77</f>
        <v>-161.47</v>
      </c>
      <c r="K89" s="113">
        <f>K77</f>
        <v>0</v>
      </c>
      <c r="L89" s="113">
        <f>L77</f>
        <v>0</v>
      </c>
      <c r="M89" s="252">
        <f>SUM(I89:L89)</f>
        <v>-161.47</v>
      </c>
      <c r="N89" s="113">
        <f>N77</f>
        <v>0</v>
      </c>
      <c r="O89" s="113">
        <f>O77</f>
        <v>0</v>
      </c>
      <c r="P89" s="117">
        <v>0</v>
      </c>
      <c r="Q89" s="117">
        <v>0</v>
      </c>
      <c r="R89" s="114">
        <f t="shared" si="63"/>
        <v>0</v>
      </c>
      <c r="S89" s="117">
        <v>0</v>
      </c>
      <c r="T89" s="117">
        <v>0</v>
      </c>
      <c r="U89" s="117">
        <v>0</v>
      </c>
      <c r="V89" s="117">
        <v>0</v>
      </c>
      <c r="W89" s="114">
        <f t="shared" si="64"/>
        <v>0</v>
      </c>
      <c r="Y89" s="154"/>
      <c r="Z89" s="154"/>
      <c r="AA89" s="154"/>
      <c r="AB89" s="154"/>
      <c r="AC89" s="154"/>
      <c r="AD89" s="154"/>
      <c r="AE89" s="154"/>
    </row>
    <row r="90" spans="2:31" s="58" customFormat="1" ht="15" hidden="1" customHeight="1" outlineLevel="1" x14ac:dyDescent="0.45">
      <c r="B90" s="235" t="s">
        <v>227</v>
      </c>
      <c r="C90" s="127"/>
      <c r="D90" s="255">
        <v>0</v>
      </c>
      <c r="E90" s="255">
        <v>-0.54500000000000004</v>
      </c>
      <c r="F90" s="255">
        <f>-E90</f>
        <v>0.54500000000000004</v>
      </c>
      <c r="G90" s="255">
        <v>0</v>
      </c>
      <c r="H90" s="123">
        <v>0</v>
      </c>
      <c r="I90" s="255">
        <v>-63.417999999999999</v>
      </c>
      <c r="J90" s="255">
        <v>51.936999999999998</v>
      </c>
      <c r="K90" s="255">
        <f>M90-L90-J90-I90</f>
        <v>2.9860000000000042</v>
      </c>
      <c r="L90" s="255">
        <v>-1.284</v>
      </c>
      <c r="M90" s="263">
        <v>-9.7789999999999999</v>
      </c>
      <c r="N90" s="265">
        <v>-1.256</v>
      </c>
      <c r="O90" s="121">
        <v>0</v>
      </c>
      <c r="P90" s="397">
        <f>(P89+P88+P87+P86)*-P91</f>
        <v>-0.86</v>
      </c>
      <c r="Q90" s="397">
        <f>(Q89+Q88+Q87+Q86)*-Q91</f>
        <v>-0.43</v>
      </c>
      <c r="R90" s="123">
        <f t="shared" si="63"/>
        <v>-2.5460000000000003</v>
      </c>
      <c r="S90" s="397">
        <f t="shared" ref="S90:V90" si="70">(S89+S88+S87+S86)*-S91</f>
        <v>-0.64500000000000002</v>
      </c>
      <c r="T90" s="397">
        <f t="shared" si="70"/>
        <v>-0.53749999999999998</v>
      </c>
      <c r="U90" s="397">
        <f t="shared" si="70"/>
        <v>-0.59125000000000005</v>
      </c>
      <c r="V90" s="397">
        <f t="shared" si="70"/>
        <v>-0.56437500000000007</v>
      </c>
      <c r="W90" s="123">
        <f t="shared" si="64"/>
        <v>-2.3381250000000002</v>
      </c>
      <c r="Y90" s="154"/>
      <c r="Z90" s="154"/>
      <c r="AA90" s="154"/>
      <c r="AB90" s="154"/>
      <c r="AC90" s="154"/>
      <c r="AD90" s="154"/>
      <c r="AE90" s="154"/>
    </row>
    <row r="91" spans="2:31" s="58" customFormat="1" ht="15" hidden="1" customHeight="1" outlineLevel="1" x14ac:dyDescent="0.45">
      <c r="B91" s="277" t="s">
        <v>228</v>
      </c>
      <c r="C91" s="127"/>
      <c r="D91" s="398">
        <f>IFERROR((-D90/(SUM(D86:D90))),0)</f>
        <v>0</v>
      </c>
      <c r="E91" s="398">
        <f t="shared" ref="E91:G91" si="71">IFERROR((-E90/(SUM(E86:E90))),0)</f>
        <v>0.5322265625</v>
      </c>
      <c r="F91" s="398">
        <f t="shared" si="71"/>
        <v>-0.51904761904761909</v>
      </c>
      <c r="G91" s="398">
        <f t="shared" si="71"/>
        <v>0</v>
      </c>
      <c r="H91" s="123"/>
      <c r="I91" s="398">
        <f>IFERROR((-I90/(SUM(I86:I90))),0)</f>
        <v>0.59604503844057222</v>
      </c>
      <c r="J91" s="398">
        <f t="shared" ref="J91" si="72">IFERROR((-J90/(SUM(J86:J90))),0)</f>
        <v>0.6053968994055251</v>
      </c>
      <c r="K91" s="398">
        <f t="shared" ref="K91" si="73">IFERROR((-K90/(SUM(K86:K90))),0)</f>
        <v>-0.51939467733518874</v>
      </c>
      <c r="L91" s="398">
        <f t="shared" ref="L91" si="74">IFERROR((-L90/(SUM(L86:L90))),0)</f>
        <v>0.60338345864661658</v>
      </c>
      <c r="M91" s="263"/>
      <c r="N91" s="398">
        <f>IFERROR((-N90/(SUM(N86:N90))),0)</f>
        <v>0.57509157509157505</v>
      </c>
      <c r="O91" s="398">
        <f t="shared" ref="O91" si="75">IFERROR((-O90/(SUM(O86:O90))),0)</f>
        <v>0</v>
      </c>
      <c r="P91" s="398">
        <v>0.5</v>
      </c>
      <c r="Q91" s="398">
        <v>0.5</v>
      </c>
      <c r="R91" s="123"/>
      <c r="S91" s="398">
        <v>0.5</v>
      </c>
      <c r="T91" s="398">
        <v>0.5</v>
      </c>
      <c r="U91" s="398">
        <v>0.5</v>
      </c>
      <c r="V91" s="398">
        <v>0.5</v>
      </c>
      <c r="W91" s="123"/>
      <c r="Y91" s="154"/>
      <c r="Z91" s="154"/>
      <c r="AA91" s="154"/>
      <c r="AB91" s="154"/>
      <c r="AC91" s="154"/>
      <c r="AD91" s="154"/>
      <c r="AE91" s="154"/>
    </row>
    <row r="92" spans="2:31" s="58" customFormat="1" ht="15" hidden="1" customHeight="1" outlineLevel="1" x14ac:dyDescent="0.3">
      <c r="B92" s="391" t="s">
        <v>206</v>
      </c>
      <c r="C92" s="392"/>
      <c r="D92" s="393">
        <f>D85+D86+D87+D88+D89+D90</f>
        <v>95.249999999999972</v>
      </c>
      <c r="E92" s="393">
        <f>E85+E86+E87+E88+E89+E90</f>
        <v>142.02699999999999</v>
      </c>
      <c r="F92" s="393">
        <f>F85+F86+F87+F88+F89+F90</f>
        <v>122.64999999999993</v>
      </c>
      <c r="G92" s="393">
        <f>G85+G86+G87+G88+G89+G90</f>
        <v>126.52400000000046</v>
      </c>
      <c r="H92" s="373">
        <f>SUM(H85:H90)</f>
        <v>487.85200000000032</v>
      </c>
      <c r="I92" s="393">
        <f>I85+I86+I87+I88+I89+I90</f>
        <v>110.81200000000007</v>
      </c>
      <c r="J92" s="393">
        <f>J85+J86+J87+J88+J89+J90</f>
        <v>143.214</v>
      </c>
      <c r="K92" s="393">
        <f>K85+K86+K87+K88+K89+K90</f>
        <v>180.32300000000004</v>
      </c>
      <c r="L92" s="393">
        <f>L85+L86+L87+L88+L89+L90</f>
        <v>140.8689999999998</v>
      </c>
      <c r="M92" s="394">
        <f>SUM(I92:L92)</f>
        <v>575.21799999999985</v>
      </c>
      <c r="N92" s="372">
        <f>N85+N86+N87+N88+N89+N90</f>
        <v>166.06100000000001</v>
      </c>
      <c r="O92" s="372">
        <f>O85+O86+O87+O88+O89+O90</f>
        <v>184.21900000000011</v>
      </c>
      <c r="P92" s="372">
        <f>P85+P86+P87+P88+P89+P90</f>
        <v>234.99466999999976</v>
      </c>
      <c r="Q92" s="372">
        <f>Q85+Q86+Q87+Q88+Q89+Q90</f>
        <v>204.152728</v>
      </c>
      <c r="R92" s="373">
        <f t="shared" si="63"/>
        <v>789.42739799999981</v>
      </c>
      <c r="S92" s="372">
        <f>S85+S86+S87+S88+S89+S90</f>
        <v>215.04798</v>
      </c>
      <c r="T92" s="372">
        <f>T85+T86+T87+T88+T89+T90</f>
        <v>257.98634000000033</v>
      </c>
      <c r="U92" s="372">
        <f>U85+U86+U87+U88+U89+U90</f>
        <v>279.61665378905246</v>
      </c>
      <c r="V92" s="372">
        <f>V85+V86+V87+V88+V89+V90</f>
        <v>233.21904938203562</v>
      </c>
      <c r="W92" s="373">
        <f t="shared" si="64"/>
        <v>985.87002317108841</v>
      </c>
      <c r="Y92" s="154"/>
      <c r="Z92" s="154"/>
      <c r="AA92" s="154"/>
      <c r="AB92" s="154"/>
      <c r="AC92" s="154"/>
      <c r="AD92" s="154"/>
      <c r="AE92" s="154"/>
    </row>
    <row r="93" spans="2:31" s="57" customFormat="1" ht="15" customHeight="1" collapsed="1" x14ac:dyDescent="0.3">
      <c r="B93" s="386" t="s">
        <v>35</v>
      </c>
      <c r="C93" s="279"/>
      <c r="D93" s="45"/>
      <c r="E93" s="45"/>
      <c r="F93" s="45"/>
      <c r="G93" s="45"/>
      <c r="H93" s="32"/>
      <c r="I93" s="45"/>
      <c r="J93" s="45"/>
      <c r="K93" s="45"/>
      <c r="L93" s="45"/>
      <c r="M93" s="32"/>
      <c r="N93" s="45"/>
      <c r="O93" s="45"/>
      <c r="P93" s="45"/>
      <c r="Q93" s="45"/>
      <c r="R93" s="32"/>
      <c r="S93" s="45"/>
      <c r="T93" s="45"/>
      <c r="U93" s="45"/>
      <c r="V93" s="45"/>
      <c r="W93" s="32"/>
      <c r="Y93" s="72"/>
      <c r="Z93" s="72"/>
      <c r="AA93" s="72"/>
      <c r="AB93" s="72"/>
      <c r="AC93" s="72"/>
      <c r="AD93" s="72"/>
      <c r="AE93" s="72"/>
    </row>
    <row r="94" spans="2:31" s="29" customFormat="1" ht="15" hidden="1" customHeight="1" outlineLevel="1" x14ac:dyDescent="0.45">
      <c r="B94" s="297" t="s">
        <v>36</v>
      </c>
      <c r="C94" s="298"/>
      <c r="D94" s="2"/>
      <c r="E94" s="31"/>
      <c r="F94" s="31"/>
      <c r="G94" s="31"/>
      <c r="H94" s="42"/>
      <c r="I94" s="217">
        <f>(I30+I98)/G30-1</f>
        <v>1.3096764574325404E-2</v>
      </c>
      <c r="J94" s="217">
        <f>(J30+J98)/I30-1</f>
        <v>4.1878837470786578E-2</v>
      </c>
      <c r="K94" s="217">
        <f>(K30+K98)/J30-1</f>
        <v>0.15857841059976829</v>
      </c>
      <c r="L94" s="217">
        <f>(L30+L98)/K30-1</f>
        <v>-1.089972738489442E-2</v>
      </c>
      <c r="M94" s="11"/>
      <c r="N94" s="217">
        <f>(N30+N98)/L30-1</f>
        <v>7.1442326806914203E-4</v>
      </c>
      <c r="O94" s="217">
        <f>(O30+O98)/N30-1</f>
        <v>5.347980250904194E-2</v>
      </c>
      <c r="P94" s="33">
        <v>5.0000000000000001E-3</v>
      </c>
      <c r="Q94" s="33">
        <v>5.0000000000000001E-3</v>
      </c>
      <c r="R94" s="11"/>
      <c r="S94" s="33">
        <f>AVERAGE(Q94,P94)</f>
        <v>5.0000000000000001E-3</v>
      </c>
      <c r="T94" s="33">
        <f t="shared" ref="T94" si="76">AVERAGE(Q94,S94)</f>
        <v>5.0000000000000001E-3</v>
      </c>
      <c r="U94" s="33">
        <f t="shared" ref="U94:U95" si="77">AVERAGE(S94,T94)</f>
        <v>5.0000000000000001E-3</v>
      </c>
      <c r="V94" s="33">
        <f t="shared" ref="V94:V95" si="78">AVERAGE(T94,U94)</f>
        <v>5.0000000000000001E-3</v>
      </c>
      <c r="W94" s="11"/>
      <c r="Y94" s="72"/>
      <c r="Z94" s="72"/>
      <c r="AA94" s="72"/>
      <c r="AB94" s="72"/>
      <c r="AC94" s="72"/>
      <c r="AD94" s="72"/>
      <c r="AE94" s="72"/>
    </row>
    <row r="95" spans="2:31" s="29" customFormat="1" ht="15" hidden="1" customHeight="1" outlineLevel="1" x14ac:dyDescent="0.45">
      <c r="B95" s="297" t="s">
        <v>37</v>
      </c>
      <c r="C95" s="298"/>
      <c r="D95" s="2"/>
      <c r="E95" s="31"/>
      <c r="F95" s="31"/>
      <c r="G95" s="31"/>
      <c r="H95" s="42"/>
      <c r="I95" s="217">
        <f>(I31+I98)/G31-1</f>
        <v>-6.5968490613494968E-3</v>
      </c>
      <c r="J95" s="217">
        <f>(J31+J98)/I31-1</f>
        <v>4.3958383684931324E-2</v>
      </c>
      <c r="K95" s="217">
        <f>(K31+K98)/J31-1</f>
        <v>0.14704796132666731</v>
      </c>
      <c r="L95" s="217">
        <f>(L31+L98)/K31-1</f>
        <v>-1.1033475256374436E-2</v>
      </c>
      <c r="M95" s="11"/>
      <c r="N95" s="217">
        <f>(N31+N98)/L31-1</f>
        <v>5.4660223594822366E-3</v>
      </c>
      <c r="O95" s="217">
        <f>(O31+O98)/N31-1</f>
        <v>5.2586231561853714E-2</v>
      </c>
      <c r="P95" s="33">
        <v>5.0000000000000001E-3</v>
      </c>
      <c r="Q95" s="33">
        <v>5.0000000000000001E-3</v>
      </c>
      <c r="R95" s="11"/>
      <c r="S95" s="33">
        <f>AVERAGE(Q95,P95)</f>
        <v>5.0000000000000001E-3</v>
      </c>
      <c r="T95" s="33">
        <f>AVERAGE(Q95,S95)</f>
        <v>5.0000000000000001E-3</v>
      </c>
      <c r="U95" s="33">
        <f t="shared" si="77"/>
        <v>5.0000000000000001E-3</v>
      </c>
      <c r="V95" s="33">
        <f t="shared" si="78"/>
        <v>5.0000000000000001E-3</v>
      </c>
      <c r="W95" s="11"/>
      <c r="Y95" s="72"/>
      <c r="Z95" s="72"/>
      <c r="AA95" s="72"/>
      <c r="AB95" s="72"/>
      <c r="AC95" s="72"/>
      <c r="AD95" s="72"/>
      <c r="AE95" s="72"/>
    </row>
    <row r="96" spans="2:31" s="72" customFormat="1" ht="15" hidden="1" customHeight="1" outlineLevel="1" x14ac:dyDescent="0.45">
      <c r="B96" s="297" t="s">
        <v>38</v>
      </c>
      <c r="C96" s="298"/>
      <c r="D96" s="200"/>
      <c r="E96" s="2"/>
      <c r="F96" s="2"/>
      <c r="G96" s="2"/>
      <c r="H96" s="11"/>
      <c r="I96" s="45"/>
      <c r="J96" s="45"/>
      <c r="K96" s="45"/>
      <c r="L96" s="45"/>
      <c r="M96" s="41"/>
      <c r="N96" s="45">
        <v>134.26</v>
      </c>
      <c r="O96" s="45">
        <v>156</v>
      </c>
      <c r="P96" s="201">
        <v>156</v>
      </c>
      <c r="Q96" s="201">
        <v>156</v>
      </c>
      <c r="R96" s="41"/>
      <c r="S96" s="201">
        <v>156</v>
      </c>
      <c r="T96" s="201">
        <v>156</v>
      </c>
      <c r="U96" s="201">
        <v>156</v>
      </c>
      <c r="V96" s="201">
        <v>156</v>
      </c>
      <c r="W96" s="41"/>
      <c r="X96" s="17"/>
    </row>
    <row r="97" spans="2:38" s="72" customFormat="1" ht="15" hidden="1" customHeight="1" outlineLevel="1" x14ac:dyDescent="0.45">
      <c r="B97" s="297" t="s">
        <v>39</v>
      </c>
      <c r="C97" s="298"/>
      <c r="D97" s="200"/>
      <c r="E97" s="2"/>
      <c r="F97" s="2"/>
      <c r="G97" s="2"/>
      <c r="H97" s="11"/>
      <c r="I97" s="45"/>
      <c r="J97" s="43"/>
      <c r="K97" s="45"/>
      <c r="L97" s="45"/>
      <c r="M97" s="32"/>
      <c r="N97" s="45">
        <v>2</v>
      </c>
      <c r="O97" s="45">
        <v>1999.9998720000003</v>
      </c>
      <c r="P97" s="201">
        <v>100</v>
      </c>
      <c r="Q97" s="201">
        <v>25</v>
      </c>
      <c r="R97" s="32"/>
      <c r="S97" s="201">
        <v>25</v>
      </c>
      <c r="T97" s="201">
        <v>25</v>
      </c>
      <c r="U97" s="201">
        <v>25</v>
      </c>
      <c r="V97" s="201">
        <v>25</v>
      </c>
      <c r="W97" s="32"/>
      <c r="X97" s="17"/>
    </row>
    <row r="98" spans="2:38" s="72" customFormat="1" ht="15" hidden="1" customHeight="1" outlineLevel="1" x14ac:dyDescent="0.45">
      <c r="B98" s="307" t="s">
        <v>40</v>
      </c>
      <c r="C98" s="308"/>
      <c r="D98" s="389">
        <f>IF((D97)&gt;0,(D97/D96),0)</f>
        <v>0</v>
      </c>
      <c r="E98" s="389">
        <f t="shared" ref="E98:G98" si="79">IF((E97)&gt;0,(E97/E96),0)</f>
        <v>0</v>
      </c>
      <c r="F98" s="389">
        <f t="shared" si="79"/>
        <v>0</v>
      </c>
      <c r="G98" s="389">
        <f t="shared" si="79"/>
        <v>0</v>
      </c>
      <c r="H98" s="199"/>
      <c r="I98" s="389">
        <f>IF((I97)&gt;0,(I97/I96),0)</f>
        <v>0</v>
      </c>
      <c r="J98" s="389">
        <f t="shared" ref="J98" si="80">IF((J97)&gt;0,(J97/J96),0)</f>
        <v>0</v>
      </c>
      <c r="K98" s="389">
        <f t="shared" ref="K98" si="81">IF((K97)&gt;0,(K97/K96),0)</f>
        <v>0</v>
      </c>
      <c r="L98" s="389">
        <f t="shared" ref="L98" si="82">IF((L97)&gt;0,(L97/L96),0)</f>
        <v>0</v>
      </c>
      <c r="M98" s="390"/>
      <c r="N98" s="389">
        <f>IF((N97)&gt;0,(N97/N96),0)</f>
        <v>1.4896469536719798E-2</v>
      </c>
      <c r="O98" s="389">
        <f t="shared" ref="O98" si="83">IF((O97)&gt;0,(O97/O96),0)</f>
        <v>12.820512000000003</v>
      </c>
      <c r="P98" s="389">
        <f t="shared" ref="P98" si="84">IF((P97)&gt;0,(P97/P96),0)</f>
        <v>0.64102564102564108</v>
      </c>
      <c r="Q98" s="389">
        <f t="shared" ref="Q98" si="85">IF((Q97)&gt;0,(Q97/Q96),0)</f>
        <v>0.16025641025641027</v>
      </c>
      <c r="R98" s="390"/>
      <c r="S98" s="389">
        <f>IF((S97)&gt;0,(S97/S96),0)</f>
        <v>0.16025641025641027</v>
      </c>
      <c r="T98" s="389">
        <f t="shared" ref="T98" si="86">IF((T97)&gt;0,(T97/T96),0)</f>
        <v>0.16025641025641027</v>
      </c>
      <c r="U98" s="389">
        <f t="shared" ref="U98" si="87">IF((U97)&gt;0,(U97/U96),0)</f>
        <v>0.16025641025641027</v>
      </c>
      <c r="V98" s="389">
        <f t="shared" ref="V98" si="88">IF((V97)&gt;0,(V97/V96),0)</f>
        <v>0.16025641025641027</v>
      </c>
      <c r="W98" s="390"/>
      <c r="X98" s="17"/>
    </row>
    <row r="99" spans="2:38" s="57" customFormat="1" ht="15" customHeight="1" collapsed="1" x14ac:dyDescent="0.3">
      <c r="B99" s="24"/>
      <c r="C99" s="156"/>
      <c r="D99" s="45"/>
      <c r="E99" s="45"/>
      <c r="F99" s="45"/>
      <c r="G99" s="45"/>
      <c r="H99" s="45"/>
      <c r="I99" s="45"/>
      <c r="J99" s="45"/>
      <c r="K99" s="45"/>
      <c r="L99" s="45"/>
      <c r="M99" s="45"/>
      <c r="N99" s="45"/>
      <c r="O99" s="45"/>
      <c r="P99" s="45"/>
      <c r="Q99" s="45"/>
      <c r="R99" s="45"/>
      <c r="S99" s="45"/>
      <c r="T99" s="45"/>
      <c r="U99" s="45"/>
      <c r="V99" s="45"/>
      <c r="W99" s="45"/>
      <c r="X99" s="84"/>
    </row>
    <row r="100" spans="2:38" s="57" customFormat="1" ht="15.6" x14ac:dyDescent="0.3">
      <c r="B100" s="291" t="s">
        <v>92</v>
      </c>
      <c r="C100" s="292"/>
      <c r="D100" s="157"/>
      <c r="E100" s="157"/>
      <c r="F100" s="157"/>
      <c r="G100" s="157"/>
      <c r="H100" s="157"/>
      <c r="I100" s="157"/>
      <c r="J100" s="157"/>
      <c r="K100" s="157"/>
      <c r="L100" s="157"/>
      <c r="M100" s="157"/>
      <c r="N100" s="157"/>
      <c r="O100" s="157"/>
      <c r="P100" s="157"/>
      <c r="Q100" s="157"/>
      <c r="R100" s="157"/>
      <c r="S100" s="157"/>
      <c r="T100" s="157"/>
      <c r="U100" s="157"/>
      <c r="V100" s="157"/>
      <c r="W100" s="157"/>
      <c r="X100" s="157"/>
      <c r="Y100" s="157"/>
      <c r="Z100" s="157"/>
      <c r="AA100" s="157"/>
      <c r="AB100" s="157"/>
      <c r="AC100" s="157"/>
      <c r="AD100" s="157"/>
      <c r="AE100" s="157"/>
      <c r="AF100" s="157"/>
      <c r="AG100" s="157"/>
      <c r="AH100" s="157"/>
      <c r="AI100" s="157"/>
      <c r="AJ100" s="157"/>
      <c r="AK100" s="157"/>
      <c r="AL100" s="157"/>
    </row>
    <row r="101" spans="2:38" s="57" customFormat="1" hidden="1" outlineLevel="1" x14ac:dyDescent="0.3">
      <c r="B101" s="293" t="s">
        <v>0</v>
      </c>
      <c r="C101" s="294"/>
      <c r="D101" s="60" t="s">
        <v>5</v>
      </c>
      <c r="E101" s="60" t="s">
        <v>4</v>
      </c>
      <c r="F101" s="60" t="s">
        <v>3</v>
      </c>
      <c r="G101" s="60" t="s">
        <v>6</v>
      </c>
      <c r="H101" s="60" t="s">
        <v>6</v>
      </c>
      <c r="I101" s="60" t="s">
        <v>7</v>
      </c>
      <c r="J101" s="60" t="s">
        <v>8</v>
      </c>
      <c r="K101" s="60" t="s">
        <v>9</v>
      </c>
      <c r="L101" s="60" t="s">
        <v>11</v>
      </c>
      <c r="M101" s="60" t="s">
        <v>11</v>
      </c>
      <c r="N101" s="60" t="s">
        <v>12</v>
      </c>
      <c r="O101" s="60" t="s">
        <v>13</v>
      </c>
      <c r="P101" s="62" t="s">
        <v>14</v>
      </c>
      <c r="Q101" s="62" t="s">
        <v>10</v>
      </c>
      <c r="R101" s="62" t="s">
        <v>10</v>
      </c>
      <c r="S101" s="62" t="s">
        <v>15</v>
      </c>
      <c r="T101" s="62" t="s">
        <v>16</v>
      </c>
      <c r="U101" s="62" t="s">
        <v>17</v>
      </c>
      <c r="V101" s="62" t="s">
        <v>18</v>
      </c>
      <c r="W101" s="68" t="s">
        <v>18</v>
      </c>
    </row>
    <row r="102" spans="2:38" s="57" customFormat="1" ht="16.2" hidden="1" outlineLevel="1" x14ac:dyDescent="0.45">
      <c r="B102" s="293"/>
      <c r="C102" s="294"/>
      <c r="D102" s="61" t="s">
        <v>41</v>
      </c>
      <c r="E102" s="61" t="s">
        <v>42</v>
      </c>
      <c r="F102" s="61" t="s">
        <v>43</v>
      </c>
      <c r="G102" s="61" t="s">
        <v>44</v>
      </c>
      <c r="H102" s="61" t="s">
        <v>29</v>
      </c>
      <c r="I102" s="61" t="s">
        <v>45</v>
      </c>
      <c r="J102" s="61" t="s">
        <v>46</v>
      </c>
      <c r="K102" s="61" t="s">
        <v>55</v>
      </c>
      <c r="L102" s="61" t="s">
        <v>81</v>
      </c>
      <c r="M102" s="61" t="s">
        <v>82</v>
      </c>
      <c r="N102" s="61" t="s">
        <v>213</v>
      </c>
      <c r="O102" s="61" t="s">
        <v>214</v>
      </c>
      <c r="P102" s="63" t="s">
        <v>49</v>
      </c>
      <c r="Q102" s="63" t="s">
        <v>50</v>
      </c>
      <c r="R102" s="63" t="s">
        <v>30</v>
      </c>
      <c r="S102" s="63" t="s">
        <v>51</v>
      </c>
      <c r="T102" s="63" t="s">
        <v>52</v>
      </c>
      <c r="U102" s="63" t="s">
        <v>53</v>
      </c>
      <c r="V102" s="63" t="s">
        <v>54</v>
      </c>
      <c r="W102" s="69" t="s">
        <v>31</v>
      </c>
    </row>
    <row r="103" spans="2:38" s="57" customFormat="1" hidden="1" outlineLevel="1" x14ac:dyDescent="0.3">
      <c r="B103" s="295" t="s">
        <v>93</v>
      </c>
      <c r="C103" s="296"/>
      <c r="D103" s="158"/>
      <c r="E103" s="159"/>
      <c r="F103" s="159"/>
      <c r="G103" s="160"/>
      <c r="H103" s="161"/>
      <c r="I103" s="162"/>
      <c r="J103" s="163"/>
      <c r="K103" s="164"/>
      <c r="L103" s="164"/>
      <c r="M103" s="334"/>
      <c r="N103" s="239"/>
      <c r="O103" s="238"/>
      <c r="P103" s="238"/>
      <c r="Q103" s="339"/>
      <c r="R103" s="336"/>
      <c r="S103" s="239"/>
      <c r="T103" s="238"/>
      <c r="U103" s="238"/>
      <c r="V103" s="339"/>
      <c r="W103" s="336"/>
    </row>
    <row r="104" spans="2:38" s="57" customFormat="1" hidden="1" outlineLevel="1" x14ac:dyDescent="0.3">
      <c r="B104" s="297" t="s">
        <v>94</v>
      </c>
      <c r="C104" s="298"/>
      <c r="D104" s="167">
        <v>312.02</v>
      </c>
      <c r="E104" s="168">
        <v>373.05099999999999</v>
      </c>
      <c r="F104" s="168">
        <v>408.32299999999998</v>
      </c>
      <c r="G104" s="169">
        <v>370.32299999999998</v>
      </c>
      <c r="H104" s="170">
        <f>G104</f>
        <v>370.32299999999998</v>
      </c>
      <c r="I104" s="89">
        <v>362.78699999999998</v>
      </c>
      <c r="J104" s="89">
        <v>1696.2950000000001</v>
      </c>
      <c r="K104" s="171">
        <v>1240.7170000000001</v>
      </c>
      <c r="L104" s="89">
        <v>2175.4169999999999</v>
      </c>
      <c r="M104" s="188">
        <f>L104</f>
        <v>2175.4169999999999</v>
      </c>
      <c r="N104" s="101">
        <v>2528.1089999999999</v>
      </c>
      <c r="O104" s="89">
        <v>434.76900000000001</v>
      </c>
      <c r="P104" s="238"/>
      <c r="Q104" s="339"/>
      <c r="R104" s="336"/>
      <c r="S104" s="239"/>
      <c r="T104" s="238"/>
      <c r="U104" s="238"/>
      <c r="V104" s="339"/>
      <c r="W104" s="336"/>
    </row>
    <row r="105" spans="2:38" s="57" customFormat="1" ht="16.2" hidden="1" outlineLevel="1" x14ac:dyDescent="0.45">
      <c r="B105" s="297" t="s">
        <v>125</v>
      </c>
      <c r="C105" s="298"/>
      <c r="D105" s="90">
        <v>438.93200000000002</v>
      </c>
      <c r="E105" s="91">
        <v>453.96899999999999</v>
      </c>
      <c r="F105" s="91">
        <v>588.04100000000005</v>
      </c>
      <c r="G105" s="92">
        <v>781.13400000000001</v>
      </c>
      <c r="H105" s="93">
        <f>G105</f>
        <v>781.13400000000001</v>
      </c>
      <c r="I105" s="94">
        <v>647.28399999999999</v>
      </c>
      <c r="J105" s="94">
        <v>1234.8579999999999</v>
      </c>
      <c r="K105" s="94">
        <v>1544.71</v>
      </c>
      <c r="L105" s="94">
        <v>744.61</v>
      </c>
      <c r="M105" s="344">
        <f t="shared" ref="M105:M112" si="89">L105</f>
        <v>744.61</v>
      </c>
      <c r="N105" s="102">
        <v>508.24299999999999</v>
      </c>
      <c r="O105" s="94">
        <v>44.319000000000003</v>
      </c>
      <c r="P105" s="238"/>
      <c r="Q105" s="339"/>
      <c r="R105" s="336"/>
      <c r="S105" s="239"/>
      <c r="T105" s="238"/>
      <c r="U105" s="238"/>
      <c r="V105" s="339"/>
      <c r="W105" s="336"/>
    </row>
    <row r="106" spans="2:38" s="57" customFormat="1" hidden="1" outlineLevel="1" x14ac:dyDescent="0.3">
      <c r="B106" s="216" t="s">
        <v>133</v>
      </c>
      <c r="C106" s="226"/>
      <c r="D106" s="95">
        <f>SUM(D104:D105)</f>
        <v>750.952</v>
      </c>
      <c r="E106" s="96">
        <f>SUM(E104:E105)</f>
        <v>827.02</v>
      </c>
      <c r="F106" s="96">
        <f>SUM(F104:F105)</f>
        <v>996.36400000000003</v>
      </c>
      <c r="G106" s="96">
        <f>SUM(G104:G105)</f>
        <v>1151.4569999999999</v>
      </c>
      <c r="H106" s="98">
        <f t="shared" ref="H106:H115" si="90">G106</f>
        <v>1151.4569999999999</v>
      </c>
      <c r="I106" s="96">
        <f t="shared" ref="I106:O106" si="91">SUM(I104:I105)</f>
        <v>1010.0709999999999</v>
      </c>
      <c r="J106" s="96">
        <f t="shared" si="91"/>
        <v>2931.1530000000002</v>
      </c>
      <c r="K106" s="96">
        <f t="shared" si="91"/>
        <v>2785.4270000000001</v>
      </c>
      <c r="L106" s="96">
        <f t="shared" si="91"/>
        <v>2920.027</v>
      </c>
      <c r="M106" s="95">
        <f t="shared" si="91"/>
        <v>2920.027</v>
      </c>
      <c r="N106" s="95">
        <f t="shared" si="91"/>
        <v>3036.3519999999999</v>
      </c>
      <c r="O106" s="96">
        <f t="shared" si="91"/>
        <v>479.08800000000002</v>
      </c>
      <c r="P106" s="238"/>
      <c r="Q106" s="339"/>
      <c r="R106" s="336"/>
      <c r="S106" s="239"/>
      <c r="T106" s="238"/>
      <c r="U106" s="238"/>
      <c r="V106" s="339"/>
      <c r="W106" s="336"/>
    </row>
    <row r="107" spans="2:38" s="57" customFormat="1" hidden="1" outlineLevel="1" x14ac:dyDescent="0.3">
      <c r="B107" s="297" t="s">
        <v>95</v>
      </c>
      <c r="C107" s="298"/>
      <c r="D107" s="167">
        <v>342.14</v>
      </c>
      <c r="E107" s="168">
        <v>395.46</v>
      </c>
      <c r="F107" s="168">
        <v>330.17599999999999</v>
      </c>
      <c r="G107" s="169">
        <v>280.20299999999997</v>
      </c>
      <c r="H107" s="170">
        <f t="shared" si="90"/>
        <v>280.20299999999997</v>
      </c>
      <c r="I107" s="89">
        <v>343.42700000000002</v>
      </c>
      <c r="J107" s="89">
        <v>372.66899999999998</v>
      </c>
      <c r="K107" s="89">
        <v>407.77100000000002</v>
      </c>
      <c r="L107" s="89">
        <v>352.95499999999998</v>
      </c>
      <c r="M107" s="188">
        <f t="shared" si="89"/>
        <v>352.95499999999998</v>
      </c>
      <c r="N107" s="101">
        <v>416.70400000000001</v>
      </c>
      <c r="O107" s="89">
        <v>465.70800000000003</v>
      </c>
      <c r="P107" s="238"/>
      <c r="Q107" s="339"/>
      <c r="R107" s="336"/>
      <c r="S107" s="239"/>
      <c r="T107" s="238"/>
      <c r="U107" s="238"/>
      <c r="V107" s="339"/>
      <c r="W107" s="336"/>
    </row>
    <row r="108" spans="2:38" s="57" customFormat="1" hidden="1" outlineLevel="1" x14ac:dyDescent="0.3">
      <c r="B108" s="229" t="s">
        <v>181</v>
      </c>
      <c r="C108" s="230"/>
      <c r="D108" s="167"/>
      <c r="E108" s="168"/>
      <c r="F108" s="168"/>
      <c r="G108" s="169"/>
      <c r="H108" s="170"/>
      <c r="I108" s="89"/>
      <c r="J108" s="89">
        <v>125</v>
      </c>
      <c r="K108" s="89">
        <v>125</v>
      </c>
      <c r="L108" s="89">
        <v>125</v>
      </c>
      <c r="M108" s="188">
        <f>L108</f>
        <v>125</v>
      </c>
      <c r="N108" s="101">
        <v>125</v>
      </c>
      <c r="O108" s="89">
        <v>125</v>
      </c>
      <c r="P108" s="238"/>
      <c r="Q108" s="339"/>
      <c r="R108" s="336"/>
      <c r="S108" s="239"/>
      <c r="T108" s="238"/>
      <c r="U108" s="238"/>
      <c r="V108" s="339"/>
      <c r="W108" s="336"/>
    </row>
    <row r="109" spans="2:38" s="57" customFormat="1" ht="16.2" hidden="1" outlineLevel="1" x14ac:dyDescent="0.45">
      <c r="B109" s="212" t="s">
        <v>176</v>
      </c>
      <c r="C109" s="213"/>
      <c r="D109" s="90">
        <v>3.6459999999999999</v>
      </c>
      <c r="E109" s="91">
        <v>3.3319999999999999</v>
      </c>
      <c r="F109" s="91">
        <v>2.9889999999999999</v>
      </c>
      <c r="G109" s="92">
        <v>0.55200000000000005</v>
      </c>
      <c r="H109" s="93">
        <f>G109</f>
        <v>0.55200000000000005</v>
      </c>
      <c r="I109" s="94">
        <v>0.628</v>
      </c>
      <c r="J109" s="94">
        <v>0.66600000000000004</v>
      </c>
      <c r="K109" s="94">
        <v>0.71399999999999997</v>
      </c>
      <c r="L109" s="94">
        <v>0</v>
      </c>
      <c r="M109" s="344">
        <f>L109</f>
        <v>0</v>
      </c>
      <c r="N109" s="345">
        <v>0</v>
      </c>
      <c r="O109" s="346">
        <v>0</v>
      </c>
      <c r="P109" s="238"/>
      <c r="Q109" s="339"/>
      <c r="R109" s="336"/>
      <c r="S109" s="239"/>
      <c r="T109" s="238"/>
      <c r="U109" s="238"/>
      <c r="V109" s="339"/>
      <c r="W109" s="336"/>
    </row>
    <row r="110" spans="2:38" s="57" customFormat="1" hidden="1" outlineLevel="1" x14ac:dyDescent="0.3">
      <c r="B110" s="216" t="s">
        <v>134</v>
      </c>
      <c r="C110" s="213"/>
      <c r="D110" s="96">
        <f>SUM(D107:D109)</f>
        <v>345.786</v>
      </c>
      <c r="E110" s="96">
        <f>SUM(E107:E109)</f>
        <v>398.79199999999997</v>
      </c>
      <c r="F110" s="96">
        <f>SUM(F107:F109)</f>
        <v>333.16499999999996</v>
      </c>
      <c r="G110" s="96">
        <f>SUM(G107:G109)</f>
        <v>280.755</v>
      </c>
      <c r="H110" s="98">
        <f>G110</f>
        <v>280.755</v>
      </c>
      <c r="I110" s="96">
        <f>SUM(I107:I109)</f>
        <v>344.05500000000001</v>
      </c>
      <c r="J110" s="96">
        <f>SUM(J107:J109)</f>
        <v>498.33499999999998</v>
      </c>
      <c r="K110" s="96">
        <f>SUM(K107:K109)</f>
        <v>533.48500000000001</v>
      </c>
      <c r="L110" s="89">
        <f>L108+L107</f>
        <v>477.95499999999998</v>
      </c>
      <c r="M110" s="101">
        <f>M108+M107</f>
        <v>477.95499999999998</v>
      </c>
      <c r="N110" s="111">
        <f>N108+N107</f>
        <v>541.70399999999995</v>
      </c>
      <c r="O110" s="99">
        <f>O108+O107</f>
        <v>590.70800000000008</v>
      </c>
      <c r="P110" s="238"/>
      <c r="Q110" s="339"/>
      <c r="R110" s="336"/>
      <c r="S110" s="239"/>
      <c r="T110" s="238"/>
      <c r="U110" s="238"/>
      <c r="V110" s="339"/>
      <c r="W110" s="336"/>
    </row>
    <row r="111" spans="2:38" s="57" customFormat="1" hidden="1" outlineLevel="1" x14ac:dyDescent="0.3">
      <c r="B111" s="212" t="s">
        <v>135</v>
      </c>
      <c r="C111" s="213"/>
      <c r="D111" s="167">
        <v>204.06100000000001</v>
      </c>
      <c r="E111" s="168">
        <v>207.90799999999999</v>
      </c>
      <c r="F111" s="168">
        <v>205.44900000000001</v>
      </c>
      <c r="G111" s="169">
        <v>174.57300000000001</v>
      </c>
      <c r="H111" s="170">
        <f t="shared" si="90"/>
        <v>174.57300000000001</v>
      </c>
      <c r="I111" s="89">
        <v>197.91399999999999</v>
      </c>
      <c r="J111" s="89">
        <v>180.892</v>
      </c>
      <c r="K111" s="89">
        <v>159.691</v>
      </c>
      <c r="L111" s="89">
        <v>156.12100000000001</v>
      </c>
      <c r="M111" s="188">
        <f>L111</f>
        <v>156.12100000000001</v>
      </c>
      <c r="N111" s="101">
        <v>165.929</v>
      </c>
      <c r="O111" s="89">
        <v>174.40100000000001</v>
      </c>
      <c r="P111" s="238"/>
      <c r="Q111" s="339"/>
      <c r="R111" s="336"/>
      <c r="S111" s="239"/>
      <c r="T111" s="238"/>
      <c r="U111" s="238"/>
      <c r="V111" s="339"/>
      <c r="W111" s="336"/>
    </row>
    <row r="112" spans="2:38" s="57" customFormat="1" hidden="1" outlineLevel="1" x14ac:dyDescent="0.3">
      <c r="B112" s="297" t="s">
        <v>96</v>
      </c>
      <c r="C112" s="298"/>
      <c r="D112" s="167">
        <v>28.481999999999999</v>
      </c>
      <c r="E112" s="168">
        <v>25.594000000000001</v>
      </c>
      <c r="F112" s="168">
        <v>25.472000000000001</v>
      </c>
      <c r="G112" s="169">
        <v>19.672999999999998</v>
      </c>
      <c r="H112" s="170">
        <f t="shared" si="90"/>
        <v>19.672999999999998</v>
      </c>
      <c r="I112" s="89">
        <v>25.173999999999999</v>
      </c>
      <c r="J112" s="89">
        <v>22.628</v>
      </c>
      <c r="K112" s="89">
        <v>25.742000000000001</v>
      </c>
      <c r="L112" s="89">
        <v>26.966999999999999</v>
      </c>
      <c r="M112" s="188">
        <f t="shared" si="89"/>
        <v>26.966999999999999</v>
      </c>
      <c r="N112" s="101">
        <v>36.457999999999998</v>
      </c>
      <c r="O112" s="89">
        <v>28.081</v>
      </c>
      <c r="P112" s="238"/>
      <c r="Q112" s="339"/>
      <c r="R112" s="336"/>
      <c r="S112" s="239"/>
      <c r="T112" s="238"/>
      <c r="U112" s="238"/>
      <c r="V112" s="339"/>
      <c r="W112" s="336"/>
    </row>
    <row r="113" spans="2:23" s="57" customFormat="1" hidden="1" outlineLevel="1" x14ac:dyDescent="0.3">
      <c r="B113" s="220" t="s">
        <v>177</v>
      </c>
      <c r="C113" s="221"/>
      <c r="D113" s="168"/>
      <c r="E113" s="168"/>
      <c r="F113" s="168">
        <v>18.079000000000001</v>
      </c>
      <c r="G113" s="169">
        <v>18.079000000000001</v>
      </c>
      <c r="H113" s="170">
        <f t="shared" si="90"/>
        <v>18.079000000000001</v>
      </c>
      <c r="I113" s="89">
        <v>18.079000000000001</v>
      </c>
      <c r="J113" s="89">
        <v>0</v>
      </c>
      <c r="K113" s="89">
        <v>0</v>
      </c>
      <c r="L113" s="89">
        <v>0</v>
      </c>
      <c r="M113" s="188">
        <v>0</v>
      </c>
      <c r="N113" s="239"/>
      <c r="O113" s="238"/>
      <c r="P113" s="238"/>
      <c r="Q113" s="339"/>
      <c r="R113" s="336"/>
      <c r="S113" s="239"/>
      <c r="T113" s="238"/>
      <c r="U113" s="238"/>
      <c r="V113" s="339"/>
      <c r="W113" s="336"/>
    </row>
    <row r="114" spans="2:23" s="57" customFormat="1" hidden="1" outlineLevel="1" x14ac:dyDescent="0.3">
      <c r="B114" s="212" t="s">
        <v>136</v>
      </c>
      <c r="C114" s="213"/>
      <c r="D114" s="168">
        <v>20.923999999999999</v>
      </c>
      <c r="E114" s="168">
        <v>20.923999999999999</v>
      </c>
      <c r="F114" s="168">
        <v>20.923999999999999</v>
      </c>
      <c r="G114" s="169">
        <v>40.274999999999999</v>
      </c>
      <c r="H114" s="170">
        <f t="shared" si="90"/>
        <v>40.274999999999999</v>
      </c>
      <c r="I114" s="89">
        <v>224.95400000000001</v>
      </c>
      <c r="J114" s="89">
        <v>196.98500000000001</v>
      </c>
      <c r="K114" s="89">
        <v>155.369</v>
      </c>
      <c r="L114" s="89">
        <v>0</v>
      </c>
      <c r="M114" s="188">
        <v>0</v>
      </c>
      <c r="N114" s="347">
        <v>0</v>
      </c>
      <c r="O114" s="89">
        <v>0</v>
      </c>
      <c r="P114" s="238"/>
      <c r="Q114" s="339"/>
      <c r="R114" s="336"/>
      <c r="S114" s="239"/>
      <c r="T114" s="238"/>
      <c r="U114" s="238"/>
      <c r="V114" s="339"/>
      <c r="W114" s="336"/>
    </row>
    <row r="115" spans="2:23" s="57" customFormat="1" ht="16.2" hidden="1" outlineLevel="1" x14ac:dyDescent="0.45">
      <c r="B115" s="212" t="s">
        <v>172</v>
      </c>
      <c r="C115" s="213"/>
      <c r="D115" s="91">
        <v>5.008</v>
      </c>
      <c r="E115" s="91">
        <v>7.1150000000000002</v>
      </c>
      <c r="F115" s="91">
        <v>18.026</v>
      </c>
      <c r="G115" s="92">
        <v>8.6170000000000009</v>
      </c>
      <c r="H115" s="93">
        <f t="shared" si="90"/>
        <v>8.6170000000000009</v>
      </c>
      <c r="I115" s="94">
        <v>21.648</v>
      </c>
      <c r="J115" s="94">
        <v>92.385999999999996</v>
      </c>
      <c r="K115" s="94">
        <v>90.933000000000007</v>
      </c>
      <c r="L115" s="94">
        <v>1.532</v>
      </c>
      <c r="M115" s="344">
        <f>L115</f>
        <v>1.532</v>
      </c>
      <c r="N115" s="102">
        <v>12.429</v>
      </c>
      <c r="O115" s="94">
        <v>20.547000000000001</v>
      </c>
      <c r="P115" s="238"/>
      <c r="Q115" s="339"/>
      <c r="R115" s="336"/>
      <c r="S115" s="239"/>
      <c r="T115" s="238"/>
      <c r="U115" s="238"/>
      <c r="V115" s="339"/>
      <c r="W115" s="336"/>
    </row>
    <row r="116" spans="2:23" s="57" customFormat="1" hidden="1" outlineLevel="1" x14ac:dyDescent="0.3">
      <c r="B116" s="315" t="s">
        <v>97</v>
      </c>
      <c r="C116" s="316"/>
      <c r="D116" s="96">
        <f t="shared" ref="D116:M116" si="92">SUM(D106+D110,D111:D115)</f>
        <v>1355.213</v>
      </c>
      <c r="E116" s="96">
        <f t="shared" si="92"/>
        <v>1487.3529999999998</v>
      </c>
      <c r="F116" s="96">
        <f t="shared" si="92"/>
        <v>1617.479</v>
      </c>
      <c r="G116" s="96">
        <f t="shared" si="92"/>
        <v>1693.4290000000001</v>
      </c>
      <c r="H116" s="98">
        <f t="shared" si="92"/>
        <v>1693.4290000000001</v>
      </c>
      <c r="I116" s="96">
        <f t="shared" si="92"/>
        <v>1841.8949999999998</v>
      </c>
      <c r="J116" s="96">
        <f t="shared" si="92"/>
        <v>3922.3790000000004</v>
      </c>
      <c r="K116" s="96">
        <f>SUM(K106+K110,K111:K115)</f>
        <v>3750.6470000000004</v>
      </c>
      <c r="L116" s="96">
        <f t="shared" si="92"/>
        <v>3582.6020000000003</v>
      </c>
      <c r="M116" s="95">
        <f t="shared" si="92"/>
        <v>3582.6020000000003</v>
      </c>
      <c r="N116" s="95">
        <f>SUM(N106+N110,N111:N115)</f>
        <v>3792.8719999999998</v>
      </c>
      <c r="O116" s="96">
        <f>SUM(O106+O110,O111:O115)</f>
        <v>1292.825</v>
      </c>
      <c r="P116" s="238"/>
      <c r="Q116" s="339"/>
      <c r="R116" s="336"/>
      <c r="S116" s="239"/>
      <c r="T116" s="238"/>
      <c r="U116" s="238"/>
      <c r="V116" s="339"/>
      <c r="W116" s="336"/>
    </row>
    <row r="117" spans="2:23" s="57" customFormat="1" hidden="1" outlineLevel="1" x14ac:dyDescent="0.3">
      <c r="B117" s="297" t="s">
        <v>137</v>
      </c>
      <c r="C117" s="298"/>
      <c r="D117" s="167">
        <v>161.374</v>
      </c>
      <c r="E117" s="168">
        <v>166.80699999999999</v>
      </c>
      <c r="F117" s="168">
        <v>168.43299999999999</v>
      </c>
      <c r="G117" s="169">
        <v>173.73500000000001</v>
      </c>
      <c r="H117" s="170">
        <f t="shared" ref="H117:H124" si="93">G117</f>
        <v>173.73500000000001</v>
      </c>
      <c r="I117" s="89">
        <v>176.745</v>
      </c>
      <c r="J117" s="89">
        <v>186.48500000000001</v>
      </c>
      <c r="K117" s="89">
        <v>193.86699999999999</v>
      </c>
      <c r="L117" s="89">
        <v>189.874</v>
      </c>
      <c r="M117" s="188">
        <f t="shared" ref="M117:M124" si="94">L117</f>
        <v>189.874</v>
      </c>
      <c r="N117" s="101">
        <v>193.98699999999999</v>
      </c>
      <c r="O117" s="89">
        <v>200.62799999999999</v>
      </c>
      <c r="P117" s="238"/>
      <c r="Q117" s="339"/>
      <c r="R117" s="336"/>
      <c r="S117" s="239"/>
      <c r="T117" s="238"/>
      <c r="U117" s="238"/>
      <c r="V117" s="339"/>
      <c r="W117" s="336"/>
    </row>
    <row r="118" spans="2:23" s="57" customFormat="1" hidden="1" outlineLevel="1" x14ac:dyDescent="0.3">
      <c r="B118" s="212" t="s">
        <v>138</v>
      </c>
      <c r="C118" s="213"/>
      <c r="D118" s="348">
        <v>-69.641000000000005</v>
      </c>
      <c r="E118" s="349">
        <v>-75.588999999999999</v>
      </c>
      <c r="F118" s="349">
        <v>-79.945999999999998</v>
      </c>
      <c r="G118" s="350">
        <v>-83.578999999999994</v>
      </c>
      <c r="H118" s="351">
        <f>G118</f>
        <v>-83.578999999999994</v>
      </c>
      <c r="I118" s="352">
        <v>-88.448999999999998</v>
      </c>
      <c r="J118" s="352">
        <v>-93.947000000000003</v>
      </c>
      <c r="K118" s="352">
        <v>-99.14</v>
      </c>
      <c r="L118" s="352">
        <v>-92.52</v>
      </c>
      <c r="M118" s="353">
        <f>L118</f>
        <v>-92.52</v>
      </c>
      <c r="N118" s="354">
        <v>-94.73</v>
      </c>
      <c r="O118" s="352">
        <v>-98.066000000000003</v>
      </c>
      <c r="P118" s="238"/>
      <c r="Q118" s="339"/>
      <c r="R118" s="336"/>
      <c r="S118" s="239"/>
      <c r="T118" s="238"/>
      <c r="U118" s="238"/>
      <c r="V118" s="339"/>
      <c r="W118" s="336"/>
    </row>
    <row r="119" spans="2:23" s="57" customFormat="1" hidden="1" outlineLevel="1" x14ac:dyDescent="0.3">
      <c r="B119" s="216" t="s">
        <v>139</v>
      </c>
      <c r="C119" s="213"/>
      <c r="D119" s="96">
        <f t="shared" ref="D119:K119" si="95">SUM(D117:D118)</f>
        <v>91.73299999999999</v>
      </c>
      <c r="E119" s="96">
        <f t="shared" si="95"/>
        <v>91.217999999999989</v>
      </c>
      <c r="F119" s="96">
        <f t="shared" si="95"/>
        <v>88.486999999999995</v>
      </c>
      <c r="G119" s="96">
        <f t="shared" si="95"/>
        <v>90.15600000000002</v>
      </c>
      <c r="H119" s="98">
        <f t="shared" si="95"/>
        <v>90.15600000000002</v>
      </c>
      <c r="I119" s="96">
        <f t="shared" si="95"/>
        <v>88.296000000000006</v>
      </c>
      <c r="J119" s="96">
        <f t="shared" si="95"/>
        <v>92.538000000000011</v>
      </c>
      <c r="K119" s="96">
        <f t="shared" si="95"/>
        <v>94.72699999999999</v>
      </c>
      <c r="L119" s="99">
        <f>L117+L118</f>
        <v>97.353999999999999</v>
      </c>
      <c r="M119" s="111">
        <f>M117+M118</f>
        <v>97.353999999999999</v>
      </c>
      <c r="N119" s="111">
        <f>N117+N118</f>
        <v>99.256999999999991</v>
      </c>
      <c r="O119" s="99">
        <f>O117+O118</f>
        <v>102.56199999999998</v>
      </c>
      <c r="P119" s="238"/>
      <c r="Q119" s="339"/>
      <c r="R119" s="336"/>
      <c r="S119" s="239"/>
      <c r="T119" s="238"/>
      <c r="U119" s="238"/>
      <c r="V119" s="339"/>
      <c r="W119" s="336"/>
    </row>
    <row r="120" spans="2:23" s="57" customFormat="1" hidden="1" outlineLevel="1" x14ac:dyDescent="0.3">
      <c r="B120" s="212" t="s">
        <v>140</v>
      </c>
      <c r="C120" s="213"/>
      <c r="D120" s="167">
        <v>8.1310000000000002</v>
      </c>
      <c r="E120" s="168">
        <v>51.682000000000002</v>
      </c>
      <c r="F120" s="168">
        <v>28.419</v>
      </c>
      <c r="G120" s="169">
        <v>42.94</v>
      </c>
      <c r="H120" s="170">
        <f>G120</f>
        <v>42.94</v>
      </c>
      <c r="I120" s="89">
        <v>41.24</v>
      </c>
      <c r="J120" s="89">
        <v>52.363999999999997</v>
      </c>
      <c r="K120" s="89">
        <v>34.354999999999997</v>
      </c>
      <c r="L120" s="89">
        <v>15.348000000000001</v>
      </c>
      <c r="M120" s="188">
        <f>L120</f>
        <v>15.348000000000001</v>
      </c>
      <c r="N120" s="101">
        <v>7.4189999999999996</v>
      </c>
      <c r="O120" s="89">
        <v>0</v>
      </c>
      <c r="P120" s="238"/>
      <c r="Q120" s="339"/>
      <c r="R120" s="336"/>
      <c r="S120" s="239"/>
      <c r="T120" s="238"/>
      <c r="U120" s="238"/>
      <c r="V120" s="339"/>
      <c r="W120" s="336"/>
    </row>
    <row r="121" spans="2:23" s="57" customFormat="1" hidden="1" outlineLevel="1" x14ac:dyDescent="0.3">
      <c r="B121" s="149" t="s">
        <v>126</v>
      </c>
      <c r="C121" s="150"/>
      <c r="D121" s="167">
        <v>0</v>
      </c>
      <c r="E121" s="168">
        <v>0</v>
      </c>
      <c r="F121" s="168">
        <v>0</v>
      </c>
      <c r="G121" s="169">
        <v>0</v>
      </c>
      <c r="H121" s="170">
        <f t="shared" si="93"/>
        <v>0</v>
      </c>
      <c r="I121" s="89"/>
      <c r="J121" s="89">
        <v>1287.777</v>
      </c>
      <c r="K121" s="89">
        <v>1287.777</v>
      </c>
      <c r="L121" s="89">
        <f>1279.715</f>
        <v>1279.7149999999999</v>
      </c>
      <c r="M121" s="188">
        <f t="shared" si="94"/>
        <v>1279.7149999999999</v>
      </c>
      <c r="N121" s="101">
        <v>1279.7149999999999</v>
      </c>
      <c r="O121" s="89">
        <v>1283.643</v>
      </c>
      <c r="P121" s="238"/>
      <c r="Q121" s="339"/>
      <c r="R121" s="336"/>
      <c r="S121" s="239"/>
      <c r="T121" s="238"/>
      <c r="U121" s="238"/>
      <c r="V121" s="339"/>
      <c r="W121" s="336"/>
    </row>
    <row r="122" spans="2:23" s="57" customFormat="1" hidden="1" outlineLevel="1" x14ac:dyDescent="0.3">
      <c r="B122" s="212" t="s">
        <v>152</v>
      </c>
      <c r="C122" s="213"/>
      <c r="D122" s="167">
        <v>65.525000000000006</v>
      </c>
      <c r="E122" s="168">
        <v>66.350999999999999</v>
      </c>
      <c r="F122" s="168">
        <v>49.1</v>
      </c>
      <c r="G122" s="169">
        <v>50.747999999999998</v>
      </c>
      <c r="H122" s="170">
        <f>G122</f>
        <v>50.747999999999998</v>
      </c>
      <c r="I122" s="89">
        <v>52.3</v>
      </c>
      <c r="J122" s="89">
        <v>428.166</v>
      </c>
      <c r="K122" s="89">
        <v>428.20100000000002</v>
      </c>
      <c r="L122" s="89">
        <v>427.98599999999999</v>
      </c>
      <c r="M122" s="188">
        <f>L122</f>
        <v>427.98599999999999</v>
      </c>
      <c r="N122" s="101">
        <v>428.57799999999997</v>
      </c>
      <c r="O122" s="89">
        <v>1082.1510000000001</v>
      </c>
      <c r="P122" s="238"/>
      <c r="Q122" s="339"/>
      <c r="R122" s="336"/>
      <c r="S122" s="239"/>
      <c r="T122" s="238"/>
      <c r="U122" s="238"/>
      <c r="V122" s="339"/>
      <c r="W122" s="336"/>
    </row>
    <row r="123" spans="2:23" s="57" customFormat="1" hidden="1" outlineLevel="1" x14ac:dyDescent="0.3">
      <c r="B123" s="212" t="s">
        <v>141</v>
      </c>
      <c r="C123" s="213"/>
      <c r="D123" s="167">
        <v>63.442999999999998</v>
      </c>
      <c r="E123" s="168">
        <v>63.442999999999998</v>
      </c>
      <c r="F123" s="168">
        <v>71.53</v>
      </c>
      <c r="G123" s="169">
        <v>54.106000000000002</v>
      </c>
      <c r="H123" s="170">
        <f>G123</f>
        <v>54.106000000000002</v>
      </c>
      <c r="I123" s="89">
        <v>54.106000000000002</v>
      </c>
      <c r="J123" s="89">
        <v>0</v>
      </c>
      <c r="K123" s="89">
        <v>0</v>
      </c>
      <c r="L123" s="89">
        <v>261.31</v>
      </c>
      <c r="M123" s="188">
        <f>L123</f>
        <v>261.31</v>
      </c>
      <c r="N123" s="101">
        <v>261.29700000000003</v>
      </c>
      <c r="O123" s="89">
        <v>261.31900000000002</v>
      </c>
      <c r="P123" s="238"/>
      <c r="Q123" s="339"/>
      <c r="R123" s="336"/>
      <c r="S123" s="239"/>
      <c r="T123" s="238"/>
      <c r="U123" s="238"/>
      <c r="V123" s="339"/>
      <c r="W123" s="336"/>
    </row>
    <row r="124" spans="2:23" s="57" customFormat="1" hidden="1" outlineLevel="1" x14ac:dyDescent="0.3">
      <c r="B124" s="202" t="s">
        <v>153</v>
      </c>
      <c r="C124" s="203"/>
      <c r="D124" s="348">
        <v>9.5380000000000003</v>
      </c>
      <c r="E124" s="349">
        <v>8.9719999999999995</v>
      </c>
      <c r="F124" s="349">
        <v>7.8630000000000004</v>
      </c>
      <c r="G124" s="350">
        <v>7.4960000000000004</v>
      </c>
      <c r="H124" s="351">
        <f t="shared" si="93"/>
        <v>7.4960000000000004</v>
      </c>
      <c r="I124" s="352">
        <v>7.109</v>
      </c>
      <c r="J124" s="352">
        <v>8.3569999999999993</v>
      </c>
      <c r="K124" s="352">
        <v>8.0310000000000006</v>
      </c>
      <c r="L124" s="352">
        <v>10.874000000000001</v>
      </c>
      <c r="M124" s="353">
        <f t="shared" si="94"/>
        <v>10.874000000000001</v>
      </c>
      <c r="N124" s="354">
        <v>14.346</v>
      </c>
      <c r="O124" s="352">
        <v>15.555999999999999</v>
      </c>
      <c r="P124" s="238"/>
      <c r="Q124" s="339"/>
      <c r="R124" s="336"/>
      <c r="S124" s="239"/>
      <c r="T124" s="238"/>
      <c r="U124" s="238"/>
      <c r="V124" s="339"/>
      <c r="W124" s="336"/>
    </row>
    <row r="125" spans="2:23" s="57" customFormat="1" hidden="1" outlineLevel="1" x14ac:dyDescent="0.3">
      <c r="B125" s="315" t="s">
        <v>98</v>
      </c>
      <c r="C125" s="316"/>
      <c r="D125" s="96">
        <f t="shared" ref="D125:M125" si="96">SUM(D116+D119,D120:D124)</f>
        <v>1593.5830000000001</v>
      </c>
      <c r="E125" s="96">
        <f t="shared" si="96"/>
        <v>1769.0189999999998</v>
      </c>
      <c r="F125" s="96">
        <f t="shared" si="96"/>
        <v>1862.8780000000002</v>
      </c>
      <c r="G125" s="96">
        <f t="shared" si="96"/>
        <v>1938.8750000000002</v>
      </c>
      <c r="H125" s="98">
        <f t="shared" si="96"/>
        <v>1938.8750000000002</v>
      </c>
      <c r="I125" s="96">
        <f t="shared" si="96"/>
        <v>2084.9459999999999</v>
      </c>
      <c r="J125" s="96">
        <f t="shared" si="96"/>
        <v>5791.581000000001</v>
      </c>
      <c r="K125" s="96">
        <f t="shared" si="96"/>
        <v>5603.7380000000003</v>
      </c>
      <c r="L125" s="96">
        <f t="shared" si="96"/>
        <v>5675.1890000000003</v>
      </c>
      <c r="M125" s="95">
        <f t="shared" si="96"/>
        <v>5675.1890000000003</v>
      </c>
      <c r="N125" s="95">
        <f>SUM(N116+N119,N120:N124)</f>
        <v>5883.4840000000004</v>
      </c>
      <c r="O125" s="96">
        <f>SUM(O116+O119,O120:O124)</f>
        <v>4038.0559999999996</v>
      </c>
      <c r="P125" s="238"/>
      <c r="Q125" s="339"/>
      <c r="R125" s="336"/>
      <c r="S125" s="239"/>
      <c r="T125" s="238"/>
      <c r="U125" s="238"/>
      <c r="V125" s="339"/>
      <c r="W125" s="336"/>
    </row>
    <row r="126" spans="2:23" s="57" customFormat="1" ht="6.75" hidden="1" customHeight="1" outlineLevel="1" x14ac:dyDescent="0.3">
      <c r="B126" s="327"/>
      <c r="C126" s="328"/>
      <c r="D126" s="167"/>
      <c r="E126" s="168"/>
      <c r="F126" s="168"/>
      <c r="G126" s="169"/>
      <c r="H126" s="170"/>
      <c r="I126" s="89"/>
      <c r="J126" s="89"/>
      <c r="K126" s="89"/>
      <c r="L126" s="89"/>
      <c r="M126" s="188"/>
      <c r="N126" s="239"/>
      <c r="O126" s="238"/>
      <c r="P126" s="238"/>
      <c r="Q126" s="339"/>
      <c r="R126" s="336"/>
      <c r="S126" s="239"/>
      <c r="T126" s="238"/>
      <c r="U126" s="238"/>
      <c r="V126" s="339"/>
      <c r="W126" s="336"/>
    </row>
    <row r="127" spans="2:23" s="57" customFormat="1" hidden="1" outlineLevel="1" x14ac:dyDescent="0.3">
      <c r="B127" s="295" t="s">
        <v>99</v>
      </c>
      <c r="C127" s="296"/>
      <c r="D127" s="167"/>
      <c r="E127" s="168"/>
      <c r="F127" s="168"/>
      <c r="G127" s="169"/>
      <c r="H127" s="170"/>
      <c r="I127" s="89"/>
      <c r="J127" s="89"/>
      <c r="K127" s="89"/>
      <c r="L127" s="89"/>
      <c r="M127" s="188"/>
      <c r="N127" s="239"/>
      <c r="O127" s="238"/>
      <c r="P127" s="238"/>
      <c r="Q127" s="339"/>
      <c r="R127" s="336"/>
      <c r="S127" s="239"/>
      <c r="T127" s="238"/>
      <c r="U127" s="238"/>
      <c r="V127" s="339"/>
      <c r="W127" s="336"/>
    </row>
    <row r="128" spans="2:23" s="57" customFormat="1" hidden="1" outlineLevel="1" x14ac:dyDescent="0.3">
      <c r="B128" s="297" t="s">
        <v>100</v>
      </c>
      <c r="C128" s="298"/>
      <c r="D128" s="85">
        <v>125.581</v>
      </c>
      <c r="E128" s="86">
        <v>155.77600000000001</v>
      </c>
      <c r="F128" s="86">
        <v>145.37299999999999</v>
      </c>
      <c r="G128" s="87">
        <v>127.64100000000001</v>
      </c>
      <c r="H128" s="88">
        <f>G128</f>
        <v>127.64100000000001</v>
      </c>
      <c r="I128" s="89">
        <v>167.78899999999999</v>
      </c>
      <c r="J128" s="89">
        <v>194.73099999999999</v>
      </c>
      <c r="K128" s="89">
        <v>238.10599999999999</v>
      </c>
      <c r="L128" s="89">
        <v>144.76300000000001</v>
      </c>
      <c r="M128" s="188">
        <f>L128</f>
        <v>144.76300000000001</v>
      </c>
      <c r="N128" s="101">
        <v>183.21600000000001</v>
      </c>
      <c r="O128" s="89">
        <v>183.084</v>
      </c>
      <c r="P128" s="238"/>
      <c r="Q128" s="339"/>
      <c r="R128" s="336"/>
      <c r="S128" s="239"/>
      <c r="T128" s="238"/>
      <c r="U128" s="238"/>
      <c r="V128" s="339"/>
      <c r="W128" s="336"/>
    </row>
    <row r="129" spans="2:23" s="57" customFormat="1" hidden="1" outlineLevel="1" x14ac:dyDescent="0.3">
      <c r="B129" s="311" t="s">
        <v>157</v>
      </c>
      <c r="C129" s="312"/>
      <c r="D129" s="85">
        <v>71.959000000000003</v>
      </c>
      <c r="E129" s="86">
        <v>80.792000000000002</v>
      </c>
      <c r="F129" s="86">
        <v>66.599000000000004</v>
      </c>
      <c r="G129" s="87">
        <v>40.271000000000001</v>
      </c>
      <c r="H129" s="88">
        <f t="shared" ref="H129:H133" si="97">G129</f>
        <v>40.271000000000001</v>
      </c>
      <c r="I129" s="89">
        <v>46.146999999999998</v>
      </c>
      <c r="J129" s="89">
        <v>52.241999999999997</v>
      </c>
      <c r="K129" s="89">
        <v>67.933000000000007</v>
      </c>
      <c r="L129" s="89">
        <v>81.786000000000001</v>
      </c>
      <c r="M129" s="188">
        <f t="shared" ref="M129" si="98">L129</f>
        <v>81.786000000000001</v>
      </c>
      <c r="N129" s="101">
        <v>96.733999999999995</v>
      </c>
      <c r="O129" s="89">
        <v>90.4</v>
      </c>
      <c r="P129" s="238"/>
      <c r="Q129" s="339"/>
      <c r="R129" s="336"/>
      <c r="S129" s="239"/>
      <c r="T129" s="238"/>
      <c r="U129" s="238"/>
      <c r="V129" s="339"/>
      <c r="W129" s="336"/>
    </row>
    <row r="130" spans="2:23" s="57" customFormat="1" hidden="1" outlineLevel="1" x14ac:dyDescent="0.3">
      <c r="B130" s="208" t="s">
        <v>173</v>
      </c>
      <c r="C130" s="209"/>
      <c r="D130" s="85">
        <v>113.846</v>
      </c>
      <c r="E130" s="86">
        <v>130.80699999999999</v>
      </c>
      <c r="F130" s="86">
        <v>127.265</v>
      </c>
      <c r="G130" s="87">
        <v>114.047</v>
      </c>
      <c r="H130" s="88">
        <f t="shared" si="97"/>
        <v>114.047</v>
      </c>
      <c r="I130" s="89">
        <v>107.229</v>
      </c>
      <c r="J130" s="89">
        <v>128.059</v>
      </c>
      <c r="K130" s="89">
        <v>124.539</v>
      </c>
      <c r="L130" s="89">
        <v>115.53</v>
      </c>
      <c r="M130" s="188">
        <f>L130</f>
        <v>115.53</v>
      </c>
      <c r="N130" s="101">
        <v>131.09100000000001</v>
      </c>
      <c r="O130" s="89">
        <v>144.41900000000001</v>
      </c>
      <c r="P130" s="238"/>
      <c r="Q130" s="339"/>
      <c r="R130" s="336"/>
      <c r="S130" s="239"/>
      <c r="T130" s="238"/>
      <c r="U130" s="238"/>
      <c r="V130" s="339"/>
      <c r="W130" s="336"/>
    </row>
    <row r="131" spans="2:23" s="57" customFormat="1" hidden="1" outlineLevel="1" x14ac:dyDescent="0.3">
      <c r="B131" s="227" t="s">
        <v>159</v>
      </c>
      <c r="C131" s="228"/>
      <c r="D131" s="85"/>
      <c r="E131" s="86"/>
      <c r="F131" s="86"/>
      <c r="G131" s="87"/>
      <c r="H131" s="88"/>
      <c r="I131" s="89">
        <v>205.98</v>
      </c>
      <c r="J131" s="89">
        <v>64.620999999999995</v>
      </c>
      <c r="K131" s="89">
        <v>7.6539999999999999</v>
      </c>
      <c r="L131" s="89">
        <v>11.018000000000001</v>
      </c>
      <c r="M131" s="188">
        <f>L131</f>
        <v>11.018000000000001</v>
      </c>
      <c r="N131" s="101">
        <v>8.66</v>
      </c>
      <c r="O131" s="89">
        <v>24.484000000000002</v>
      </c>
      <c r="P131" s="238"/>
      <c r="Q131" s="339"/>
      <c r="R131" s="336"/>
      <c r="S131" s="239"/>
      <c r="T131" s="238"/>
      <c r="U131" s="238"/>
      <c r="V131" s="339"/>
      <c r="W131" s="336"/>
    </row>
    <row r="132" spans="2:23" s="57" customFormat="1" hidden="1" outlineLevel="1" x14ac:dyDescent="0.3">
      <c r="B132" s="208" t="s">
        <v>160</v>
      </c>
      <c r="C132" s="209"/>
      <c r="D132" s="85">
        <v>9.0459999999999994</v>
      </c>
      <c r="E132" s="86">
        <v>10.31</v>
      </c>
      <c r="F132" s="86">
        <v>14.342000000000001</v>
      </c>
      <c r="G132" s="87">
        <v>17.983000000000001</v>
      </c>
      <c r="H132" s="88">
        <f t="shared" si="97"/>
        <v>17.983000000000001</v>
      </c>
      <c r="I132" s="89">
        <v>9.9719999999999995</v>
      </c>
      <c r="J132" s="89">
        <v>14.404</v>
      </c>
      <c r="K132" s="89">
        <v>20.152000000000001</v>
      </c>
      <c r="L132" s="89">
        <v>22.158999999999999</v>
      </c>
      <c r="M132" s="188">
        <f>L132</f>
        <v>22.158999999999999</v>
      </c>
      <c r="N132" s="101">
        <v>12.978</v>
      </c>
      <c r="O132" s="89">
        <v>16.265000000000001</v>
      </c>
      <c r="P132" s="238"/>
      <c r="Q132" s="339"/>
      <c r="R132" s="336"/>
      <c r="S132" s="239"/>
      <c r="T132" s="238"/>
      <c r="U132" s="238"/>
      <c r="V132" s="339"/>
      <c r="W132" s="336"/>
    </row>
    <row r="133" spans="2:23" s="57" customFormat="1" hidden="1" outlineLevel="1" x14ac:dyDescent="0.3">
      <c r="B133" s="208" t="s">
        <v>142</v>
      </c>
      <c r="C133" s="209"/>
      <c r="D133" s="85">
        <v>45.9</v>
      </c>
      <c r="E133" s="86">
        <v>12.839</v>
      </c>
      <c r="F133" s="86">
        <v>2.6970000000000001</v>
      </c>
      <c r="G133" s="87">
        <v>5.8479999999999999</v>
      </c>
      <c r="H133" s="88">
        <f t="shared" si="97"/>
        <v>5.8479999999999999</v>
      </c>
      <c r="I133" s="89">
        <v>1.5860000000000001</v>
      </c>
      <c r="J133" s="89">
        <v>11.452999999999999</v>
      </c>
      <c r="K133" s="89">
        <v>14.808999999999999</v>
      </c>
      <c r="L133" s="89">
        <v>106.66200000000001</v>
      </c>
      <c r="M133" s="188">
        <f>L133</f>
        <v>106.66200000000001</v>
      </c>
      <c r="N133" s="101">
        <v>71.75</v>
      </c>
      <c r="O133" s="89">
        <v>5.6509999999999998</v>
      </c>
      <c r="P133" s="238"/>
      <c r="Q133" s="339"/>
      <c r="R133" s="336"/>
      <c r="S133" s="239"/>
      <c r="T133" s="238"/>
      <c r="U133" s="238"/>
      <c r="V133" s="339"/>
      <c r="W133" s="336"/>
    </row>
    <row r="134" spans="2:23" s="57" customFormat="1" hidden="1" outlineLevel="1" x14ac:dyDescent="0.3">
      <c r="B134" s="208" t="s">
        <v>143</v>
      </c>
      <c r="C134" s="209"/>
      <c r="D134" s="348">
        <v>14.034000000000001</v>
      </c>
      <c r="E134" s="349">
        <v>14.317</v>
      </c>
      <c r="F134" s="349">
        <v>14.335000000000001</v>
      </c>
      <c r="G134" s="350">
        <v>49.926000000000002</v>
      </c>
      <c r="H134" s="351">
        <f>G134</f>
        <v>49.926000000000002</v>
      </c>
      <c r="I134" s="352">
        <v>10.584</v>
      </c>
      <c r="J134" s="352">
        <v>26.417000000000002</v>
      </c>
      <c r="K134" s="352">
        <v>31.413</v>
      </c>
      <c r="L134" s="352">
        <v>32.271000000000001</v>
      </c>
      <c r="M134" s="353">
        <f>L134</f>
        <v>32.271000000000001</v>
      </c>
      <c r="N134" s="354">
        <v>36.225999999999999</v>
      </c>
      <c r="O134" s="352">
        <v>33.052999999999997</v>
      </c>
      <c r="P134" s="238"/>
      <c r="Q134" s="339"/>
      <c r="R134" s="336"/>
      <c r="S134" s="239"/>
      <c r="T134" s="238"/>
      <c r="U134" s="238"/>
      <c r="V134" s="339"/>
      <c r="W134" s="336"/>
    </row>
    <row r="135" spans="2:23" s="57" customFormat="1" hidden="1" outlineLevel="1" x14ac:dyDescent="0.3">
      <c r="B135" s="315" t="s">
        <v>101</v>
      </c>
      <c r="C135" s="316"/>
      <c r="D135" s="96">
        <f t="shared" ref="D135:O135" si="99">SUM(D128:D134)</f>
        <v>380.36599999999999</v>
      </c>
      <c r="E135" s="96">
        <f t="shared" si="99"/>
        <v>404.84100000000001</v>
      </c>
      <c r="F135" s="96">
        <f t="shared" si="99"/>
        <v>370.61099999999993</v>
      </c>
      <c r="G135" s="97">
        <f>SUM(G128:G134)</f>
        <v>355.71600000000001</v>
      </c>
      <c r="H135" s="98">
        <f t="shared" si="99"/>
        <v>355.71600000000001</v>
      </c>
      <c r="I135" s="99">
        <f>SUM(I128:I134)</f>
        <v>549.28699999999992</v>
      </c>
      <c r="J135" s="99">
        <f t="shared" si="99"/>
        <v>491.92699999999991</v>
      </c>
      <c r="K135" s="99">
        <f t="shared" si="99"/>
        <v>504.60599999999999</v>
      </c>
      <c r="L135" s="99">
        <f t="shared" si="99"/>
        <v>514.18899999999996</v>
      </c>
      <c r="M135" s="192">
        <f t="shared" si="99"/>
        <v>514.18899999999996</v>
      </c>
      <c r="N135" s="111">
        <f t="shared" si="99"/>
        <v>540.65499999999997</v>
      </c>
      <c r="O135" s="99">
        <f t="shared" si="99"/>
        <v>497.35599999999999</v>
      </c>
      <c r="P135" s="238"/>
      <c r="Q135" s="339"/>
      <c r="R135" s="336"/>
      <c r="S135" s="239"/>
      <c r="T135" s="238"/>
      <c r="U135" s="238"/>
      <c r="V135" s="339"/>
      <c r="W135" s="336"/>
    </row>
    <row r="136" spans="2:23" s="57" customFormat="1" hidden="1" outlineLevel="1" x14ac:dyDescent="0.3">
      <c r="B136" s="210"/>
      <c r="C136" s="211"/>
      <c r="D136" s="96"/>
      <c r="E136" s="96"/>
      <c r="F136" s="96"/>
      <c r="G136" s="97"/>
      <c r="H136" s="98"/>
      <c r="I136" s="99"/>
      <c r="J136" s="99"/>
      <c r="K136" s="99"/>
      <c r="L136" s="99"/>
      <c r="M136" s="192"/>
      <c r="N136" s="239"/>
      <c r="O136" s="238"/>
      <c r="P136" s="238"/>
      <c r="Q136" s="339"/>
      <c r="R136" s="336"/>
      <c r="S136" s="239"/>
      <c r="T136" s="238"/>
      <c r="U136" s="238"/>
      <c r="V136" s="339"/>
      <c r="W136" s="336"/>
    </row>
    <row r="137" spans="2:23" s="58" customFormat="1" hidden="1" outlineLevel="1" x14ac:dyDescent="0.3">
      <c r="B137" s="151" t="s">
        <v>144</v>
      </c>
      <c r="C137" s="152"/>
      <c r="D137" s="85">
        <v>110.491</v>
      </c>
      <c r="E137" s="86">
        <v>108.547</v>
      </c>
      <c r="F137" s="86">
        <v>105.827</v>
      </c>
      <c r="G137" s="87">
        <v>68.009</v>
      </c>
      <c r="H137" s="88">
        <f>G137</f>
        <v>68.009</v>
      </c>
      <c r="I137" s="89">
        <v>67.305000000000007</v>
      </c>
      <c r="J137" s="89">
        <v>355.37900000000002</v>
      </c>
      <c r="K137" s="89">
        <v>355.12799999999999</v>
      </c>
      <c r="L137" s="89">
        <v>351.59</v>
      </c>
      <c r="M137" s="193">
        <f t="shared" ref="M137:M139" si="100">L137</f>
        <v>351.59</v>
      </c>
      <c r="N137" s="101">
        <v>350.983</v>
      </c>
      <c r="O137" s="89">
        <v>348.28899999999999</v>
      </c>
      <c r="P137" s="238"/>
      <c r="Q137" s="339"/>
      <c r="R137" s="336"/>
      <c r="S137" s="239"/>
      <c r="T137" s="238"/>
      <c r="U137" s="238"/>
      <c r="V137" s="339"/>
      <c r="W137" s="336"/>
    </row>
    <row r="138" spans="2:23" s="58" customFormat="1" hidden="1" outlineLevel="1" x14ac:dyDescent="0.3">
      <c r="B138" s="204" t="s">
        <v>127</v>
      </c>
      <c r="C138" s="205"/>
      <c r="D138" s="85">
        <v>0</v>
      </c>
      <c r="E138" s="86">
        <v>0</v>
      </c>
      <c r="F138" s="86">
        <v>0</v>
      </c>
      <c r="G138" s="87">
        <v>0</v>
      </c>
      <c r="H138" s="88">
        <f>G138</f>
        <v>0</v>
      </c>
      <c r="I138" s="89"/>
      <c r="J138" s="89">
        <v>89.454999999999998</v>
      </c>
      <c r="K138" s="89">
        <v>89.447000000000003</v>
      </c>
      <c r="L138" s="89">
        <v>0</v>
      </c>
      <c r="M138" s="193">
        <f t="shared" si="100"/>
        <v>0</v>
      </c>
      <c r="N138" s="239"/>
      <c r="O138" s="238"/>
      <c r="P138" s="238"/>
      <c r="Q138" s="339"/>
      <c r="R138" s="336"/>
      <c r="S138" s="239"/>
      <c r="T138" s="238"/>
      <c r="U138" s="238"/>
      <c r="V138" s="339"/>
      <c r="W138" s="336"/>
    </row>
    <row r="139" spans="2:23" s="57" customFormat="1" ht="15.75" hidden="1" customHeight="1" outlineLevel="1" x14ac:dyDescent="0.3">
      <c r="B139" s="297" t="s">
        <v>102</v>
      </c>
      <c r="C139" s="298"/>
      <c r="D139" s="348">
        <v>0</v>
      </c>
      <c r="E139" s="349">
        <v>0</v>
      </c>
      <c r="F139" s="349">
        <v>0</v>
      </c>
      <c r="G139" s="350">
        <v>0</v>
      </c>
      <c r="H139" s="351">
        <f t="shared" ref="H139" si="101">G139</f>
        <v>0</v>
      </c>
      <c r="I139" s="352">
        <v>0</v>
      </c>
      <c r="J139" s="352">
        <v>0</v>
      </c>
      <c r="K139" s="352">
        <v>0</v>
      </c>
      <c r="L139" s="352">
        <v>0</v>
      </c>
      <c r="M139" s="353">
        <f t="shared" si="100"/>
        <v>0</v>
      </c>
      <c r="N139" s="354">
        <v>0</v>
      </c>
      <c r="O139" s="352">
        <v>0</v>
      </c>
      <c r="P139" s="241"/>
      <c r="Q139" s="340"/>
      <c r="R139" s="337"/>
      <c r="S139" s="4"/>
      <c r="T139" s="241"/>
      <c r="U139" s="241"/>
      <c r="V139" s="340"/>
      <c r="W139" s="337"/>
    </row>
    <row r="140" spans="2:23" s="57" customFormat="1" hidden="1" outlineLevel="1" x14ac:dyDescent="0.3">
      <c r="B140" s="315" t="s">
        <v>103</v>
      </c>
      <c r="C140" s="316"/>
      <c r="D140" s="96">
        <f t="shared" ref="D140:M140" si="102">SUM(D135:D139)</f>
        <v>490.85699999999997</v>
      </c>
      <c r="E140" s="96">
        <f t="shared" si="102"/>
        <v>513.38800000000003</v>
      </c>
      <c r="F140" s="96">
        <f t="shared" si="102"/>
        <v>476.43799999999993</v>
      </c>
      <c r="G140" s="97">
        <f t="shared" si="102"/>
        <v>423.72500000000002</v>
      </c>
      <c r="H140" s="98">
        <f t="shared" si="102"/>
        <v>423.72500000000002</v>
      </c>
      <c r="I140" s="99">
        <f>SUM(I135:I139)</f>
        <v>616.59199999999987</v>
      </c>
      <c r="J140" s="99">
        <f t="shared" si="102"/>
        <v>936.76099999999997</v>
      </c>
      <c r="K140" s="174">
        <f t="shared" si="102"/>
        <v>949.18099999999993</v>
      </c>
      <c r="L140" s="99">
        <f>SUM(L135:L139)</f>
        <v>865.779</v>
      </c>
      <c r="M140" s="192">
        <f t="shared" si="102"/>
        <v>865.779</v>
      </c>
      <c r="N140" s="111">
        <f>SUM(N135:N139)</f>
        <v>891.63799999999992</v>
      </c>
      <c r="O140" s="99">
        <f>SUM(O135:O139)</f>
        <v>845.64499999999998</v>
      </c>
      <c r="P140" s="241"/>
      <c r="Q140" s="340"/>
      <c r="R140" s="337"/>
      <c r="S140" s="4"/>
      <c r="T140" s="241"/>
      <c r="U140" s="241"/>
      <c r="V140" s="340"/>
      <c r="W140" s="337"/>
    </row>
    <row r="141" spans="2:23" s="57" customFormat="1" ht="6.75" hidden="1" customHeight="1" outlineLevel="1" x14ac:dyDescent="0.3">
      <c r="B141" s="327"/>
      <c r="C141" s="328"/>
      <c r="D141" s="85"/>
      <c r="E141" s="86"/>
      <c r="F141" s="86"/>
      <c r="G141" s="87"/>
      <c r="H141" s="88"/>
      <c r="I141" s="89"/>
      <c r="J141" s="89"/>
      <c r="K141" s="171"/>
      <c r="L141" s="89"/>
      <c r="M141" s="188"/>
      <c r="N141" s="239"/>
      <c r="O141" s="238"/>
      <c r="P141" s="238"/>
      <c r="Q141" s="339"/>
      <c r="R141" s="336"/>
      <c r="S141" s="239"/>
      <c r="T141" s="238"/>
      <c r="U141" s="238"/>
      <c r="V141" s="339"/>
      <c r="W141" s="336"/>
    </row>
    <row r="142" spans="2:23" s="57" customFormat="1" ht="15.45" hidden="1" customHeight="1" outlineLevel="1" x14ac:dyDescent="0.3">
      <c r="B142" s="206" t="s">
        <v>128</v>
      </c>
      <c r="C142" s="207"/>
      <c r="D142" s="85"/>
      <c r="E142" s="86"/>
      <c r="F142" s="86"/>
      <c r="G142" s="87"/>
      <c r="H142" s="88">
        <v>0</v>
      </c>
      <c r="I142" s="89"/>
      <c r="J142" s="89"/>
      <c r="K142" s="171"/>
      <c r="L142" s="89"/>
      <c r="M142" s="188"/>
      <c r="N142" s="239"/>
      <c r="O142" s="238"/>
      <c r="P142" s="238"/>
      <c r="Q142" s="339"/>
      <c r="R142" s="336"/>
      <c r="S142" s="239"/>
      <c r="T142" s="238"/>
      <c r="U142" s="238"/>
      <c r="V142" s="339"/>
      <c r="W142" s="336"/>
    </row>
    <row r="143" spans="2:23" s="57" customFormat="1" hidden="1" outlineLevel="1" x14ac:dyDescent="0.3">
      <c r="B143" s="295" t="s">
        <v>104</v>
      </c>
      <c r="C143" s="296"/>
      <c r="D143" s="85"/>
      <c r="E143" s="86"/>
      <c r="F143" s="86"/>
      <c r="G143" s="87"/>
      <c r="H143" s="88"/>
      <c r="I143" s="89"/>
      <c r="J143" s="89"/>
      <c r="K143" s="171"/>
      <c r="L143" s="89"/>
      <c r="M143" s="188"/>
      <c r="N143" s="239"/>
      <c r="O143" s="238"/>
      <c r="P143" s="238"/>
      <c r="Q143" s="339"/>
      <c r="R143" s="336"/>
      <c r="S143" s="239"/>
      <c r="T143" s="238"/>
      <c r="U143" s="238"/>
      <c r="V143" s="339"/>
      <c r="W143" s="336"/>
    </row>
    <row r="144" spans="2:23" s="57" customFormat="1" hidden="1" outlineLevel="1" x14ac:dyDescent="0.3">
      <c r="B144" s="311" t="s">
        <v>130</v>
      </c>
      <c r="C144" s="312"/>
      <c r="D144" s="85">
        <v>1.0309999999999999</v>
      </c>
      <c r="E144" s="175">
        <v>1.032</v>
      </c>
      <c r="F144" s="86">
        <v>1.0349999999999999</v>
      </c>
      <c r="G144" s="87">
        <v>1.0349999999999999</v>
      </c>
      <c r="H144" s="88">
        <f t="shared" ref="H144:H147" si="103">G144</f>
        <v>1.0349999999999999</v>
      </c>
      <c r="I144" s="89">
        <v>1.0580000000000001</v>
      </c>
      <c r="J144" s="89">
        <v>1.0329999999999999</v>
      </c>
      <c r="K144" s="171">
        <v>1.034</v>
      </c>
      <c r="L144" s="171">
        <v>1.0349999999999999</v>
      </c>
      <c r="M144" s="188">
        <f t="shared" ref="M144:M146" si="104">L144</f>
        <v>1.0349999999999999</v>
      </c>
      <c r="N144" s="101">
        <v>1.036</v>
      </c>
      <c r="O144" s="89">
        <v>1.036</v>
      </c>
      <c r="P144" s="238"/>
      <c r="Q144" s="339"/>
      <c r="R144" s="336"/>
      <c r="S144" s="239"/>
      <c r="T144" s="238"/>
      <c r="U144" s="238"/>
      <c r="V144" s="339"/>
      <c r="W144" s="336"/>
    </row>
    <row r="145" spans="2:23" s="57" customFormat="1" hidden="1" outlineLevel="1" x14ac:dyDescent="0.3">
      <c r="B145" s="204" t="s">
        <v>129</v>
      </c>
      <c r="C145" s="205"/>
      <c r="D145" s="85">
        <v>383.18299999999999</v>
      </c>
      <c r="E145" s="175">
        <v>394.61200000000002</v>
      </c>
      <c r="F145" s="86">
        <v>417.601</v>
      </c>
      <c r="G145" s="87">
        <v>426.14499999999998</v>
      </c>
      <c r="H145" s="88">
        <f t="shared" si="103"/>
        <v>426.14499999999998</v>
      </c>
      <c r="I145" s="89">
        <v>636.274</v>
      </c>
      <c r="J145" s="89">
        <v>3952.03</v>
      </c>
      <c r="K145" s="171">
        <v>3966.395</v>
      </c>
      <c r="L145" s="171">
        <v>3991.857</v>
      </c>
      <c r="M145" s="188">
        <f t="shared" si="104"/>
        <v>3991.857</v>
      </c>
      <c r="N145" s="101">
        <v>4005.9960000000001</v>
      </c>
      <c r="O145" s="89">
        <v>4021.6129999999998</v>
      </c>
      <c r="P145" s="238"/>
      <c r="Q145" s="339"/>
      <c r="R145" s="336"/>
      <c r="S145" s="239"/>
      <c r="T145" s="238"/>
      <c r="U145" s="238"/>
      <c r="V145" s="339"/>
      <c r="W145" s="336"/>
    </row>
    <row r="146" spans="2:23" s="57" customFormat="1" hidden="1" outlineLevel="1" x14ac:dyDescent="0.3">
      <c r="B146" s="204" t="s">
        <v>145</v>
      </c>
      <c r="C146" s="205"/>
      <c r="D146" s="85">
        <v>1942.575</v>
      </c>
      <c r="E146" s="175">
        <v>2083.5790000000002</v>
      </c>
      <c r="F146" s="86">
        <v>2205.1790000000001</v>
      </c>
      <c r="G146" s="87">
        <v>2330.5100000000002</v>
      </c>
      <c r="H146" s="88">
        <f t="shared" si="103"/>
        <v>2330.5100000000002</v>
      </c>
      <c r="I146" s="89">
        <v>2334.924</v>
      </c>
      <c r="J146" s="89">
        <v>1081.547</v>
      </c>
      <c r="K146" s="171">
        <v>1256.1210000000001</v>
      </c>
      <c r="L146" s="171">
        <v>1394.8630000000001</v>
      </c>
      <c r="M146" s="188">
        <f t="shared" si="104"/>
        <v>1394.8630000000001</v>
      </c>
      <c r="N146" s="101">
        <v>1558.74</v>
      </c>
      <c r="O146" s="89">
        <v>1742.96</v>
      </c>
      <c r="P146" s="238"/>
      <c r="Q146" s="339"/>
      <c r="R146" s="336"/>
      <c r="S146" s="239"/>
      <c r="T146" s="238"/>
      <c r="U146" s="238"/>
      <c r="V146" s="339"/>
      <c r="W146" s="336"/>
    </row>
    <row r="147" spans="2:23" s="57" customFormat="1" hidden="1" outlineLevel="1" x14ac:dyDescent="0.3">
      <c r="B147" s="329" t="s">
        <v>146</v>
      </c>
      <c r="C147" s="330"/>
      <c r="D147" s="85">
        <v>-1222.932</v>
      </c>
      <c r="E147" s="175">
        <v>-1222.971</v>
      </c>
      <c r="F147" s="86">
        <v>-1231.038</v>
      </c>
      <c r="G147" s="87">
        <v>-1231.087</v>
      </c>
      <c r="H147" s="88">
        <f t="shared" si="103"/>
        <v>-1231.087</v>
      </c>
      <c r="I147" s="89">
        <v>-1482.4690000000001</v>
      </c>
      <c r="J147" s="89">
        <v>-160.71700000000001</v>
      </c>
      <c r="K147" s="89">
        <v>-548.14200000000005</v>
      </c>
      <c r="L147" s="89">
        <v>-556.46699999999998</v>
      </c>
      <c r="M147" s="188">
        <f>L147</f>
        <v>-556.46699999999998</v>
      </c>
      <c r="N147" s="101">
        <v>-558.48299999999995</v>
      </c>
      <c r="O147" s="89">
        <v>-2558.721</v>
      </c>
      <c r="P147" s="238"/>
      <c r="Q147" s="339"/>
      <c r="R147" s="336"/>
      <c r="S147" s="239"/>
      <c r="T147" s="238"/>
      <c r="U147" s="238"/>
      <c r="V147" s="339"/>
      <c r="W147" s="336"/>
    </row>
    <row r="148" spans="2:23" s="57" customFormat="1" ht="16.2" hidden="1" outlineLevel="1" x14ac:dyDescent="0.45">
      <c r="B148" s="214" t="s">
        <v>147</v>
      </c>
      <c r="C148" s="215"/>
      <c r="D148" s="91">
        <v>-1.131</v>
      </c>
      <c r="E148" s="355">
        <v>-0.621</v>
      </c>
      <c r="F148" s="91">
        <v>-6.3369999999999997</v>
      </c>
      <c r="G148" s="92">
        <v>-11.452999999999999</v>
      </c>
      <c r="H148" s="93">
        <f>G148</f>
        <v>-11.452999999999999</v>
      </c>
      <c r="I148" s="94">
        <v>-21.433</v>
      </c>
      <c r="J148" s="94">
        <v>-19.073</v>
      </c>
      <c r="K148" s="94">
        <v>-20.850999999999999</v>
      </c>
      <c r="L148" s="94">
        <v>-21.878</v>
      </c>
      <c r="M148" s="344">
        <f>L148</f>
        <v>-21.878</v>
      </c>
      <c r="N148" s="102">
        <v>-15.443</v>
      </c>
      <c r="O148" s="94">
        <v>-14.477</v>
      </c>
      <c r="P148" s="238"/>
      <c r="Q148" s="339"/>
      <c r="R148" s="336"/>
      <c r="S148" s="239"/>
      <c r="T148" s="238"/>
      <c r="U148" s="238"/>
      <c r="V148" s="339"/>
      <c r="W148" s="336"/>
    </row>
    <row r="149" spans="2:23" s="57" customFormat="1" hidden="1" outlineLevel="1" x14ac:dyDescent="0.3">
      <c r="B149" s="315" t="s">
        <v>105</v>
      </c>
      <c r="C149" s="316"/>
      <c r="D149" s="96">
        <f t="shared" ref="D149:M149" si="105">SUM(D144:D148)</f>
        <v>1102.7260000000001</v>
      </c>
      <c r="E149" s="96">
        <f t="shared" si="105"/>
        <v>1255.6309999999999</v>
      </c>
      <c r="F149" s="96">
        <f t="shared" si="105"/>
        <v>1386.44</v>
      </c>
      <c r="G149" s="96">
        <f t="shared" si="105"/>
        <v>1515.15</v>
      </c>
      <c r="H149" s="98">
        <f t="shared" si="105"/>
        <v>1515.15</v>
      </c>
      <c r="I149" s="96">
        <f t="shared" si="105"/>
        <v>1468.3539999999998</v>
      </c>
      <c r="J149" s="96">
        <f t="shared" si="105"/>
        <v>4854.8200000000006</v>
      </c>
      <c r="K149" s="176">
        <f t="shared" si="105"/>
        <v>4654.5570000000007</v>
      </c>
      <c r="L149" s="176">
        <f t="shared" si="105"/>
        <v>4809.4100000000008</v>
      </c>
      <c r="M149" s="192">
        <f t="shared" si="105"/>
        <v>4809.4100000000008</v>
      </c>
      <c r="N149" s="192">
        <f>SUM(N144:N148)</f>
        <v>4991.8459999999995</v>
      </c>
      <c r="O149" s="176">
        <f>SUM(O144:O148)</f>
        <v>3192.4110000000005</v>
      </c>
      <c r="P149" s="238"/>
      <c r="Q149" s="339"/>
      <c r="R149" s="336"/>
      <c r="S149" s="239"/>
      <c r="T149" s="238"/>
      <c r="U149" s="238"/>
      <c r="V149" s="339"/>
      <c r="W149" s="336"/>
    </row>
    <row r="150" spans="2:23" s="57" customFormat="1" hidden="1" outlineLevel="1" x14ac:dyDescent="0.3">
      <c r="B150" s="325" t="s">
        <v>106</v>
      </c>
      <c r="C150" s="326"/>
      <c r="D150" s="177">
        <f t="shared" ref="D150:M150" si="106">D149+D140</f>
        <v>1593.5830000000001</v>
      </c>
      <c r="E150" s="177">
        <f t="shared" si="106"/>
        <v>1769.0189999999998</v>
      </c>
      <c r="F150" s="177">
        <f t="shared" si="106"/>
        <v>1862.8779999999999</v>
      </c>
      <c r="G150" s="178">
        <f t="shared" si="106"/>
        <v>1938.875</v>
      </c>
      <c r="H150" s="179">
        <f t="shared" si="106"/>
        <v>1938.875</v>
      </c>
      <c r="I150" s="177">
        <f>I149+I140</f>
        <v>2084.9459999999999</v>
      </c>
      <c r="J150" s="177">
        <f t="shared" si="106"/>
        <v>5791.5810000000001</v>
      </c>
      <c r="K150" s="180">
        <f t="shared" si="106"/>
        <v>5603.7380000000003</v>
      </c>
      <c r="L150" s="180">
        <f t="shared" si="106"/>
        <v>5675.1890000000003</v>
      </c>
      <c r="M150" s="335">
        <f t="shared" si="106"/>
        <v>5675.1890000000003</v>
      </c>
      <c r="N150" s="335">
        <f>N149+N140</f>
        <v>5883.4839999999995</v>
      </c>
      <c r="O150" s="180">
        <f>O149+O140</f>
        <v>4038.0560000000005</v>
      </c>
      <c r="P150" s="341"/>
      <c r="Q150" s="342"/>
      <c r="R150" s="338"/>
      <c r="S150" s="343"/>
      <c r="T150" s="341"/>
      <c r="U150" s="341"/>
      <c r="V150" s="342"/>
      <c r="W150" s="338"/>
    </row>
    <row r="151" spans="2:23" s="57" customFormat="1" collapsed="1" x14ac:dyDescent="0.3">
      <c r="B151" s="21"/>
      <c r="C151" s="181"/>
      <c r="D151" s="1">
        <f>D150-D125</f>
        <v>0</v>
      </c>
      <c r="E151" s="1">
        <f t="shared" ref="E151:M151" si="107">E150-E125</f>
        <v>0</v>
      </c>
      <c r="F151" s="1">
        <f t="shared" si="107"/>
        <v>0</v>
      </c>
      <c r="G151" s="1">
        <f t="shared" si="107"/>
        <v>0</v>
      </c>
      <c r="H151" s="1">
        <f t="shared" si="107"/>
        <v>0</v>
      </c>
      <c r="I151" s="1">
        <f t="shared" si="107"/>
        <v>0</v>
      </c>
      <c r="J151" s="1">
        <f t="shared" si="107"/>
        <v>0</v>
      </c>
      <c r="K151" s="1">
        <f t="shared" si="107"/>
        <v>0</v>
      </c>
      <c r="L151" s="1">
        <f t="shared" si="107"/>
        <v>0</v>
      </c>
      <c r="M151" s="1">
        <f t="shared" si="107"/>
        <v>0</v>
      </c>
    </row>
    <row r="152" spans="2:23" s="57" customFormat="1" ht="15.6" x14ac:dyDescent="0.3">
      <c r="B152" s="291" t="s">
        <v>107</v>
      </c>
      <c r="C152" s="292"/>
      <c r="D152" s="1"/>
      <c r="E152" s="1"/>
      <c r="F152" s="1"/>
      <c r="G152" s="1"/>
      <c r="H152" s="1"/>
      <c r="I152" s="9"/>
      <c r="J152" s="1"/>
      <c r="K152" s="3"/>
      <c r="L152" s="3"/>
      <c r="M152" s="182"/>
    </row>
    <row r="153" spans="2:23" s="57" customFormat="1" hidden="1" outlineLevel="1" x14ac:dyDescent="0.3">
      <c r="B153" s="293" t="s">
        <v>0</v>
      </c>
      <c r="C153" s="294"/>
      <c r="D153" s="60" t="s">
        <v>5</v>
      </c>
      <c r="E153" s="60" t="s">
        <v>4</v>
      </c>
      <c r="F153" s="60" t="s">
        <v>3</v>
      </c>
      <c r="G153" s="60" t="s">
        <v>6</v>
      </c>
      <c r="H153" s="60" t="s">
        <v>6</v>
      </c>
      <c r="I153" s="60" t="s">
        <v>7</v>
      </c>
      <c r="J153" s="60" t="s">
        <v>8</v>
      </c>
      <c r="K153" s="60" t="s">
        <v>9</v>
      </c>
      <c r="L153" s="60" t="s">
        <v>11</v>
      </c>
      <c r="M153" s="60" t="s">
        <v>11</v>
      </c>
      <c r="N153" s="60" t="s">
        <v>12</v>
      </c>
      <c r="O153" s="60" t="s">
        <v>13</v>
      </c>
      <c r="P153" s="62" t="s">
        <v>14</v>
      </c>
      <c r="Q153" s="62" t="s">
        <v>10</v>
      </c>
      <c r="R153" s="62" t="s">
        <v>10</v>
      </c>
      <c r="S153" s="62" t="s">
        <v>15</v>
      </c>
      <c r="T153" s="62" t="s">
        <v>16</v>
      </c>
      <c r="U153" s="62" t="s">
        <v>17</v>
      </c>
      <c r="V153" s="62" t="s">
        <v>18</v>
      </c>
      <c r="W153" s="68" t="s">
        <v>18</v>
      </c>
    </row>
    <row r="154" spans="2:23" s="57" customFormat="1" ht="16.2" hidden="1" outlineLevel="1" x14ac:dyDescent="0.45">
      <c r="B154" s="293"/>
      <c r="C154" s="294"/>
      <c r="D154" s="61" t="s">
        <v>41</v>
      </c>
      <c r="E154" s="61" t="s">
        <v>42</v>
      </c>
      <c r="F154" s="61" t="s">
        <v>43</v>
      </c>
      <c r="G154" s="61" t="s">
        <v>44</v>
      </c>
      <c r="H154" s="61" t="s">
        <v>29</v>
      </c>
      <c r="I154" s="61" t="s">
        <v>45</v>
      </c>
      <c r="J154" s="61" t="s">
        <v>46</v>
      </c>
      <c r="K154" s="61" t="s">
        <v>55</v>
      </c>
      <c r="L154" s="61" t="s">
        <v>81</v>
      </c>
      <c r="M154" s="61" t="s">
        <v>82</v>
      </c>
      <c r="N154" s="61" t="s">
        <v>213</v>
      </c>
      <c r="O154" s="61" t="s">
        <v>214</v>
      </c>
      <c r="P154" s="63" t="s">
        <v>49</v>
      </c>
      <c r="Q154" s="63" t="s">
        <v>50</v>
      </c>
      <c r="R154" s="63" t="s">
        <v>30</v>
      </c>
      <c r="S154" s="63" t="s">
        <v>51</v>
      </c>
      <c r="T154" s="63" t="s">
        <v>52</v>
      </c>
      <c r="U154" s="63" t="s">
        <v>53</v>
      </c>
      <c r="V154" s="63" t="s">
        <v>54</v>
      </c>
      <c r="W154" s="69" t="s">
        <v>31</v>
      </c>
    </row>
    <row r="155" spans="2:23" s="57" customFormat="1" hidden="1" outlineLevel="1" x14ac:dyDescent="0.3">
      <c r="B155" s="295" t="s">
        <v>108</v>
      </c>
      <c r="C155" s="296"/>
      <c r="D155" s="183"/>
      <c r="E155" s="184"/>
      <c r="F155" s="184"/>
      <c r="G155" s="185"/>
      <c r="H155" s="186"/>
      <c r="I155" s="187"/>
      <c r="J155" s="166"/>
      <c r="K155" s="164"/>
      <c r="L155" s="164"/>
      <c r="M155" s="165"/>
      <c r="N155" s="240"/>
      <c r="O155" s="238"/>
      <c r="P155" s="239"/>
      <c r="Q155" s="339"/>
      <c r="R155" s="336"/>
      <c r="S155" s="239"/>
      <c r="T155" s="238"/>
      <c r="U155" s="238"/>
      <c r="V155" s="339"/>
      <c r="W155" s="336"/>
    </row>
    <row r="156" spans="2:23" s="57" customFormat="1" hidden="1" outlineLevel="1" x14ac:dyDescent="0.3">
      <c r="B156" s="297" t="s">
        <v>109</v>
      </c>
      <c r="C156" s="298"/>
      <c r="D156" s="167">
        <f>D27</f>
        <v>95.249999999999972</v>
      </c>
      <c r="E156" s="168">
        <f>E27</f>
        <v>141.00299999999996</v>
      </c>
      <c r="F156" s="168">
        <f>F27</f>
        <v>121.59999999999994</v>
      </c>
      <c r="G156" s="169">
        <f>G27</f>
        <v>125.33200000000045</v>
      </c>
      <c r="H156" s="172">
        <f>SUM(D156:G156)</f>
        <v>483.18500000000029</v>
      </c>
      <c r="I156" s="167">
        <f>I27</f>
        <v>4.4140000000000761</v>
      </c>
      <c r="J156" s="168">
        <f>J27</f>
        <v>229.00400000000002</v>
      </c>
      <c r="K156" s="168">
        <f>K27</f>
        <v>174.57400000000001</v>
      </c>
      <c r="L156" s="169">
        <f>M156-K156-J156-I156</f>
        <v>138.74099999999984</v>
      </c>
      <c r="M156" s="170">
        <f>M27</f>
        <v>546.73299999999995</v>
      </c>
      <c r="N156" s="239">
        <v>163.87700000000001</v>
      </c>
      <c r="O156" s="168">
        <f>O27</f>
        <v>184.21900000000011</v>
      </c>
      <c r="P156" s="359"/>
      <c r="Q156" s="339"/>
      <c r="R156" s="336"/>
      <c r="S156" s="239"/>
      <c r="T156" s="238"/>
      <c r="U156" s="238"/>
      <c r="V156" s="339"/>
      <c r="W156" s="336"/>
    </row>
    <row r="157" spans="2:23" s="57" customFormat="1" hidden="1" outlineLevel="1" x14ac:dyDescent="0.3">
      <c r="B157" s="297" t="s">
        <v>110</v>
      </c>
      <c r="C157" s="298"/>
      <c r="D157" s="167">
        <v>6.4530000000000003</v>
      </c>
      <c r="E157" s="168">
        <f>12.995-D157</f>
        <v>6.5419999999999989</v>
      </c>
      <c r="F157" s="168">
        <f>19.124-D157-E157</f>
        <v>6.1290000000000004</v>
      </c>
      <c r="G157" s="169">
        <v>6.5270000000000001</v>
      </c>
      <c r="H157" s="172">
        <f t="shared" ref="H157:H178" si="108">SUM(D157:G157)</f>
        <v>25.651</v>
      </c>
      <c r="I157" s="167">
        <v>6.47</v>
      </c>
      <c r="J157" s="168">
        <f>13.249-I157</f>
        <v>6.7790000000000008</v>
      </c>
      <c r="K157" s="168">
        <f>21.757-J157-I157</f>
        <v>8.5080000000000027</v>
      </c>
      <c r="L157" s="169">
        <f t="shared" ref="L157:L164" si="109">M157-K157-J157-I157</f>
        <v>9.102999999999998</v>
      </c>
      <c r="M157" s="170">
        <v>30.86</v>
      </c>
      <c r="N157" s="239">
        <v>9.0239999999999991</v>
      </c>
      <c r="O157" s="238">
        <f>19.329-N157</f>
        <v>10.305000000000001</v>
      </c>
      <c r="P157" s="359"/>
      <c r="Q157" s="339"/>
      <c r="R157" s="336"/>
      <c r="S157" s="239"/>
      <c r="T157" s="238"/>
      <c r="U157" s="238"/>
      <c r="V157" s="339"/>
      <c r="W157" s="336"/>
    </row>
    <row r="158" spans="2:23" s="57" customFormat="1" hidden="1" outlineLevel="1" x14ac:dyDescent="0.3">
      <c r="B158" s="212" t="s">
        <v>154</v>
      </c>
      <c r="C158" s="213"/>
      <c r="D158" s="167">
        <v>-0.1</v>
      </c>
      <c r="E158" s="168">
        <f>-0.185-D158</f>
        <v>-8.4999999999999992E-2</v>
      </c>
      <c r="F158" s="168">
        <f>-0.379-E158-D158</f>
        <v>-0.19400000000000003</v>
      </c>
      <c r="G158" s="169">
        <f>-0.408-F158-E158-D158</f>
        <v>-2.8999999999999942E-2</v>
      </c>
      <c r="H158" s="172">
        <f t="shared" si="108"/>
        <v>-0.40799999999999992</v>
      </c>
      <c r="I158" s="167">
        <v>-4.5999999999999999E-2</v>
      </c>
      <c r="J158" s="168">
        <f>-0.108-I158</f>
        <v>-6.2E-2</v>
      </c>
      <c r="K158" s="168">
        <f>-0.212-J158-I158</f>
        <v>-0.104</v>
      </c>
      <c r="L158" s="169">
        <f t="shared" si="109"/>
        <v>0.40499999999999997</v>
      </c>
      <c r="M158" s="170">
        <v>0.193</v>
      </c>
      <c r="N158" s="239">
        <v>4.5999999999999999E-2</v>
      </c>
      <c r="O158" s="89">
        <f>-0.12-N158</f>
        <v>-0.16599999999999998</v>
      </c>
      <c r="P158" s="359"/>
      <c r="Q158" s="339"/>
      <c r="R158" s="336"/>
      <c r="S158" s="239"/>
      <c r="T158" s="238"/>
      <c r="U158" s="238"/>
      <c r="V158" s="339"/>
      <c r="W158" s="336"/>
    </row>
    <row r="159" spans="2:23" s="57" customFormat="1" hidden="1" outlineLevel="1" x14ac:dyDescent="0.3">
      <c r="B159" s="229" t="s">
        <v>182</v>
      </c>
      <c r="C159" s="230"/>
      <c r="D159" s="167"/>
      <c r="E159" s="168"/>
      <c r="F159" s="168"/>
      <c r="G159" s="169"/>
      <c r="H159" s="172"/>
      <c r="I159" s="167"/>
      <c r="J159" s="168">
        <v>-161.47</v>
      </c>
      <c r="K159" s="168">
        <f>-161.47-J159</f>
        <v>0</v>
      </c>
      <c r="L159" s="169">
        <f t="shared" si="109"/>
        <v>0</v>
      </c>
      <c r="M159" s="170">
        <v>-161.47</v>
      </c>
      <c r="N159" s="101">
        <v>0</v>
      </c>
      <c r="O159" s="89">
        <v>0</v>
      </c>
      <c r="P159" s="359"/>
      <c r="Q159" s="339"/>
      <c r="R159" s="336"/>
      <c r="S159" s="239"/>
      <c r="T159" s="238"/>
      <c r="U159" s="238"/>
      <c r="V159" s="339"/>
      <c r="W159" s="336"/>
    </row>
    <row r="160" spans="2:23" s="57" customFormat="1" hidden="1" outlineLevel="1" x14ac:dyDescent="0.3">
      <c r="B160" s="212" t="s">
        <v>174</v>
      </c>
      <c r="C160" s="213"/>
      <c r="D160" s="167">
        <v>6.7000000000000004E-2</v>
      </c>
      <c r="E160" s="168">
        <f>0.097-D160</f>
        <v>0.03</v>
      </c>
      <c r="F160" s="168">
        <f>0.771-E160-D160</f>
        <v>0.67399999999999993</v>
      </c>
      <c r="G160" s="169">
        <f>0.842-F160-E160-D160</f>
        <v>7.1000000000000035E-2</v>
      </c>
      <c r="H160" s="172">
        <f t="shared" si="108"/>
        <v>0.84199999999999997</v>
      </c>
      <c r="I160" s="167">
        <v>0</v>
      </c>
      <c r="J160" s="168">
        <v>0</v>
      </c>
      <c r="K160" s="168">
        <v>0</v>
      </c>
      <c r="L160" s="169">
        <f t="shared" si="109"/>
        <v>0.25</v>
      </c>
      <c r="M160" s="170">
        <v>0.25</v>
      </c>
      <c r="N160" s="101">
        <v>0</v>
      </c>
      <c r="O160" s="89"/>
      <c r="P160" s="359"/>
      <c r="Q160" s="339"/>
      <c r="R160" s="336"/>
      <c r="S160" s="239"/>
      <c r="T160" s="238"/>
      <c r="U160" s="238"/>
      <c r="V160" s="339"/>
      <c r="W160" s="336"/>
    </row>
    <row r="161" spans="2:23" s="57" customFormat="1" hidden="1" outlineLevel="1" x14ac:dyDescent="0.3">
      <c r="B161" s="212" t="s">
        <v>175</v>
      </c>
      <c r="C161" s="213"/>
      <c r="D161" s="167">
        <v>-6.6000000000000003E-2</v>
      </c>
      <c r="E161" s="168">
        <f>-0.084-D161</f>
        <v>-1.8000000000000002E-2</v>
      </c>
      <c r="F161" s="168">
        <f>-0.732-E161-D161</f>
        <v>-0.64799999999999991</v>
      </c>
      <c r="G161" s="169">
        <f>-0.801-F161-E161-D161</f>
        <v>-6.9000000000000117E-2</v>
      </c>
      <c r="H161" s="172">
        <f t="shared" si="108"/>
        <v>-0.80099999999999993</v>
      </c>
      <c r="I161" s="167">
        <v>0</v>
      </c>
      <c r="J161" s="168">
        <v>0</v>
      </c>
      <c r="K161" s="168">
        <v>0</v>
      </c>
      <c r="L161" s="169">
        <f t="shared" si="109"/>
        <v>-0.25</v>
      </c>
      <c r="M161" s="170">
        <v>-0.25</v>
      </c>
      <c r="N161" s="101">
        <v>0</v>
      </c>
      <c r="O161" s="89"/>
      <c r="P161" s="359"/>
      <c r="Q161" s="339"/>
      <c r="R161" s="336"/>
      <c r="S161" s="239"/>
      <c r="T161" s="238"/>
      <c r="U161" s="238"/>
      <c r="V161" s="339"/>
      <c r="W161" s="336"/>
    </row>
    <row r="162" spans="2:23" s="57" customFormat="1" hidden="1" outlineLevel="1" x14ac:dyDescent="0.3">
      <c r="B162" s="149" t="s">
        <v>111</v>
      </c>
      <c r="C162" s="150"/>
      <c r="D162" s="167">
        <v>6.9859999999999998</v>
      </c>
      <c r="E162" s="30">
        <f>15.089-D162</f>
        <v>8.1030000000000015</v>
      </c>
      <c r="F162" s="30">
        <f>22.509-D162-E162</f>
        <v>7.4199999999999982</v>
      </c>
      <c r="G162" s="189">
        <v>6.0430000000000001</v>
      </c>
      <c r="H162" s="172">
        <f t="shared" si="108"/>
        <v>28.552</v>
      </c>
      <c r="I162" s="188">
        <v>6.3540000000000001</v>
      </c>
      <c r="J162" s="30">
        <f>14.837-I162</f>
        <v>8.4830000000000005</v>
      </c>
      <c r="K162" s="30">
        <f>23.689-J162-I162</f>
        <v>8.8520000000000003</v>
      </c>
      <c r="L162" s="169">
        <f t="shared" si="109"/>
        <v>9.0300000000000011</v>
      </c>
      <c r="M162" s="170">
        <v>32.719000000000001</v>
      </c>
      <c r="N162" s="239">
        <v>10.061999999999999</v>
      </c>
      <c r="O162" s="89">
        <f>21.59-N162</f>
        <v>11.528</v>
      </c>
      <c r="P162" s="359"/>
      <c r="Q162" s="339"/>
      <c r="R162" s="336"/>
      <c r="S162" s="239"/>
      <c r="T162" s="238"/>
      <c r="U162" s="238"/>
      <c r="V162" s="339"/>
      <c r="W162" s="336"/>
    </row>
    <row r="163" spans="2:23" s="57" customFormat="1" hidden="1" outlineLevel="1" x14ac:dyDescent="0.3">
      <c r="B163" s="212" t="s">
        <v>155</v>
      </c>
      <c r="C163" s="213"/>
      <c r="D163" s="167">
        <v>0.16800000000000001</v>
      </c>
      <c r="E163" s="30">
        <f>0.168-D163</f>
        <v>0</v>
      </c>
      <c r="F163" s="30">
        <f>-7.919-D163</f>
        <v>-8.0869999999999997</v>
      </c>
      <c r="G163" s="189">
        <f>-9.846-F163-E163-D163</f>
        <v>-1.9270000000000003</v>
      </c>
      <c r="H163" s="172">
        <f t="shared" si="108"/>
        <v>-9.8460000000000001</v>
      </c>
      <c r="I163" s="188"/>
      <c r="J163" s="30">
        <v>156.71</v>
      </c>
      <c r="K163" s="30">
        <f>-115.098-J163</f>
        <v>-271.80799999999999</v>
      </c>
      <c r="L163" s="169">
        <f t="shared" si="109"/>
        <v>-187.32599999999999</v>
      </c>
      <c r="M163" s="170">
        <f>-302.424</f>
        <v>-302.42399999999998</v>
      </c>
      <c r="N163" s="239">
        <v>8.9999999999999993E-3</v>
      </c>
      <c r="O163" s="89">
        <f>-0.013-N163</f>
        <v>-2.1999999999999999E-2</v>
      </c>
      <c r="P163" s="359"/>
      <c r="Q163" s="339"/>
      <c r="R163" s="336"/>
      <c r="S163" s="239"/>
      <c r="T163" s="238"/>
      <c r="U163" s="238"/>
      <c r="V163" s="339"/>
      <c r="W163" s="336"/>
    </row>
    <row r="164" spans="2:23" s="57" customFormat="1" hidden="1" outlineLevel="1" x14ac:dyDescent="0.3">
      <c r="B164" s="202" t="s">
        <v>186</v>
      </c>
      <c r="C164" s="203"/>
      <c r="D164" s="167">
        <v>-2.6019999999999999</v>
      </c>
      <c r="E164" s="30">
        <f>-3.303-D164</f>
        <v>-0.70100000000000007</v>
      </c>
      <c r="F164" s="30">
        <f>-11.541-D164-E164</f>
        <v>-8.2379999999999995</v>
      </c>
      <c r="G164" s="189">
        <f>-11.924-F164-E164-D164</f>
        <v>-0.38300000000000001</v>
      </c>
      <c r="H164" s="172">
        <f t="shared" si="108"/>
        <v>-11.923999999999999</v>
      </c>
      <c r="I164" s="188">
        <v>-184.679</v>
      </c>
      <c r="J164" s="30">
        <f>-300.331-I164</f>
        <v>-115.65200000000002</v>
      </c>
      <c r="K164" s="30">
        <f>-303.914-J164-I164</f>
        <v>-3.58299999999997</v>
      </c>
      <c r="L164" s="169">
        <f t="shared" si="109"/>
        <v>-10.823000000000036</v>
      </c>
      <c r="M164" s="170">
        <f>-314.737</f>
        <v>-314.73700000000002</v>
      </c>
      <c r="N164" s="239"/>
      <c r="O164" s="89"/>
      <c r="P164" s="359"/>
      <c r="Q164" s="339"/>
      <c r="R164" s="336"/>
      <c r="S164" s="239"/>
      <c r="T164" s="238"/>
      <c r="U164" s="238"/>
      <c r="V164" s="339"/>
      <c r="W164" s="336"/>
    </row>
    <row r="165" spans="2:23" s="57" customFormat="1" hidden="1" outlineLevel="1" x14ac:dyDescent="0.3">
      <c r="B165" s="202" t="s">
        <v>131</v>
      </c>
      <c r="C165" s="203"/>
      <c r="D165" s="167">
        <v>0</v>
      </c>
      <c r="E165" s="30">
        <v>0</v>
      </c>
      <c r="F165" s="30">
        <v>0</v>
      </c>
      <c r="G165" s="189">
        <v>0</v>
      </c>
      <c r="H165" s="172">
        <f t="shared" si="108"/>
        <v>0</v>
      </c>
      <c r="I165" s="188"/>
      <c r="J165" s="30"/>
      <c r="K165" s="30"/>
      <c r="L165" s="168"/>
      <c r="M165" s="170">
        <f t="shared" ref="M165" si="110">SUM(I165:L165)</f>
        <v>0</v>
      </c>
      <c r="N165" s="239"/>
      <c r="O165" s="89"/>
      <c r="P165" s="359"/>
      <c r="Q165" s="339"/>
      <c r="R165" s="336"/>
      <c r="S165" s="239"/>
      <c r="T165" s="238"/>
      <c r="U165" s="238"/>
      <c r="V165" s="339"/>
      <c r="W165" s="336"/>
    </row>
    <row r="166" spans="2:23" s="57" customFormat="1" ht="4.5" hidden="1" customHeight="1" outlineLevel="1" x14ac:dyDescent="0.3">
      <c r="B166" s="327"/>
      <c r="C166" s="328"/>
      <c r="D166" s="167"/>
      <c r="E166" s="30"/>
      <c r="F166" s="30"/>
      <c r="G166" s="189"/>
      <c r="H166" s="172"/>
      <c r="I166" s="188"/>
      <c r="J166" s="30"/>
      <c r="K166" s="30"/>
      <c r="L166" s="168"/>
      <c r="M166" s="170"/>
      <c r="N166" s="239"/>
      <c r="O166" s="89"/>
      <c r="P166" s="359"/>
      <c r="Q166" s="339"/>
      <c r="R166" s="336"/>
      <c r="S166" s="239"/>
      <c r="T166" s="238"/>
      <c r="U166" s="238"/>
      <c r="V166" s="339"/>
      <c r="W166" s="336"/>
    </row>
    <row r="167" spans="2:23" s="57" customFormat="1" hidden="1" outlineLevel="1" x14ac:dyDescent="0.3">
      <c r="B167" s="295" t="s">
        <v>112</v>
      </c>
      <c r="C167" s="296"/>
      <c r="D167" s="167"/>
      <c r="E167" s="30"/>
      <c r="F167" s="30"/>
      <c r="G167" s="189"/>
      <c r="H167" s="172"/>
      <c r="I167" s="188"/>
      <c r="J167" s="30"/>
      <c r="K167" s="30"/>
      <c r="L167" s="30"/>
      <c r="M167" s="170"/>
      <c r="N167" s="239"/>
      <c r="O167" s="89"/>
      <c r="P167" s="359"/>
      <c r="Q167" s="339"/>
      <c r="R167" s="336"/>
      <c r="S167" s="239"/>
      <c r="T167" s="238"/>
      <c r="U167" s="238"/>
      <c r="V167" s="339"/>
      <c r="W167" s="336"/>
    </row>
    <row r="168" spans="2:23" s="57" customFormat="1" hidden="1" outlineLevel="1" x14ac:dyDescent="0.3">
      <c r="B168" s="311" t="s">
        <v>113</v>
      </c>
      <c r="C168" s="312"/>
      <c r="D168" s="167">
        <v>-42.543999999999997</v>
      </c>
      <c r="E168" s="168">
        <f>-99.711-D168</f>
        <v>-57.167000000000002</v>
      </c>
      <c r="F168" s="168">
        <f>-45.759-D168-E168</f>
        <v>53.951999999999998</v>
      </c>
      <c r="G168" s="169">
        <f>-14.29-F168-E168-D168</f>
        <v>31.469000000000008</v>
      </c>
      <c r="H168" s="172">
        <f t="shared" si="108"/>
        <v>-14.289999999999992</v>
      </c>
      <c r="I168" s="167">
        <v>-68.138000000000005</v>
      </c>
      <c r="J168" s="168">
        <f>-95.235-I168</f>
        <v>-27.096999999999994</v>
      </c>
      <c r="K168" s="168">
        <f>-132.614-J168-I168</f>
        <v>-37.379000000000005</v>
      </c>
      <c r="L168" s="169">
        <f t="shared" ref="L168:L180" si="111">M168-K168-J168-I168</f>
        <v>55.283000000000001</v>
      </c>
      <c r="M168" s="172">
        <v>-77.331000000000003</v>
      </c>
      <c r="N168" s="167">
        <v>-58.55</v>
      </c>
      <c r="O168" s="89">
        <f>-103.303-N168</f>
        <v>-44.753</v>
      </c>
      <c r="P168" s="360"/>
      <c r="Q168" s="339"/>
      <c r="R168" s="336"/>
      <c r="S168" s="239"/>
      <c r="T168" s="238"/>
      <c r="U168" s="238"/>
      <c r="V168" s="339"/>
      <c r="W168" s="336"/>
    </row>
    <row r="169" spans="2:23" s="57" customFormat="1" hidden="1" outlineLevel="1" x14ac:dyDescent="0.3">
      <c r="B169" s="222" t="s">
        <v>176</v>
      </c>
      <c r="C169" s="223"/>
      <c r="D169" s="167">
        <v>0.94699999999999995</v>
      </c>
      <c r="E169" s="168">
        <f>1.242-D169</f>
        <v>0.29500000000000004</v>
      </c>
      <c r="F169" s="168">
        <f>2.047-D169-E169</f>
        <v>0.80500000000000005</v>
      </c>
      <c r="G169" s="169">
        <f>4.58-F169-E169-D169</f>
        <v>2.5329999999999999</v>
      </c>
      <c r="H169" s="172">
        <f t="shared" si="108"/>
        <v>4.58</v>
      </c>
      <c r="I169" s="167">
        <v>6.6000000000000003E-2</v>
      </c>
      <c r="J169" s="168">
        <f>0.191-I169</f>
        <v>0.125</v>
      </c>
      <c r="K169" s="168">
        <f>0.393-J169-I169</f>
        <v>0.20200000000000001</v>
      </c>
      <c r="L169" s="169">
        <f t="shared" si="111"/>
        <v>0.20699999999999996</v>
      </c>
      <c r="M169" s="172">
        <v>0.6</v>
      </c>
      <c r="N169" s="167">
        <v>-1.6559999999999999</v>
      </c>
      <c r="O169" s="89">
        <f>-1.716-N169</f>
        <v>-6.0000000000000053E-2</v>
      </c>
      <c r="P169" s="360"/>
      <c r="Q169" s="339"/>
      <c r="R169" s="336"/>
      <c r="S169" s="239"/>
      <c r="T169" s="238"/>
      <c r="U169" s="238"/>
      <c r="V169" s="339"/>
      <c r="W169" s="336"/>
    </row>
    <row r="170" spans="2:23" s="57" customFormat="1" hidden="1" outlineLevel="1" x14ac:dyDescent="0.3">
      <c r="B170" s="208" t="s">
        <v>148</v>
      </c>
      <c r="C170" s="209"/>
      <c r="D170" s="167">
        <v>17.41</v>
      </c>
      <c r="E170" s="168">
        <f>13.536-D170</f>
        <v>-3.8740000000000006</v>
      </c>
      <c r="F170" s="168">
        <f>13.3-D170-E170</f>
        <v>-0.23599999999999888</v>
      </c>
      <c r="G170" s="169">
        <f>42.763-F170-E170-D170</f>
        <v>29.462999999999997</v>
      </c>
      <c r="H170" s="172">
        <f t="shared" si="108"/>
        <v>42.762999999999998</v>
      </c>
      <c r="I170" s="167">
        <v>-26.547000000000001</v>
      </c>
      <c r="J170" s="168">
        <f>-28.919-I170</f>
        <v>-2.3719999999999999</v>
      </c>
      <c r="K170" s="168">
        <f>-9.076-J170-I170</f>
        <v>19.843</v>
      </c>
      <c r="L170" s="169">
        <f t="shared" si="111"/>
        <v>2.0079999999999991</v>
      </c>
      <c r="M170" s="172">
        <v>-7.0679999999999996</v>
      </c>
      <c r="N170" s="188">
        <v>-7.6390000000000002</v>
      </c>
      <c r="O170" s="89">
        <f>11.613-N170</f>
        <v>19.251999999999999</v>
      </c>
      <c r="P170" s="360"/>
      <c r="Q170" s="339"/>
      <c r="R170" s="336"/>
      <c r="S170" s="239"/>
      <c r="T170" s="238"/>
      <c r="U170" s="238"/>
      <c r="V170" s="339"/>
      <c r="W170" s="336"/>
    </row>
    <row r="171" spans="2:23" s="57" customFormat="1" hidden="1" outlineLevel="1" x14ac:dyDescent="0.3">
      <c r="B171" s="208" t="s">
        <v>114</v>
      </c>
      <c r="C171" s="209"/>
      <c r="D171" s="167">
        <v>-7.11</v>
      </c>
      <c r="E171" s="168">
        <f>-4.189-D171</f>
        <v>2.9210000000000003</v>
      </c>
      <c r="F171" s="168">
        <f>-4.564-E171-D171</f>
        <v>-0.375</v>
      </c>
      <c r="G171" s="169">
        <f>0.888-F171-E171-D171</f>
        <v>5.452</v>
      </c>
      <c r="H171" s="172">
        <f t="shared" si="108"/>
        <v>0.8879999999999999</v>
      </c>
      <c r="I171" s="167">
        <v>-5.8949999999999996</v>
      </c>
      <c r="J171" s="168">
        <f>-3.322-I171</f>
        <v>2.5729999999999995</v>
      </c>
      <c r="K171" s="168">
        <f>-6.863-J171-I171</f>
        <v>-3.5410000000000004</v>
      </c>
      <c r="L171" s="169">
        <f t="shared" si="111"/>
        <v>-2.8499999999999979</v>
      </c>
      <c r="M171" s="172">
        <v>-9.7129999999999992</v>
      </c>
      <c r="N171" s="167">
        <v>-12.840999999999999</v>
      </c>
      <c r="O171" s="89">
        <f>-2.515-N171</f>
        <v>10.325999999999999</v>
      </c>
      <c r="P171" s="360"/>
      <c r="Q171" s="339"/>
      <c r="R171" s="336"/>
      <c r="S171" s="239"/>
      <c r="T171" s="238"/>
      <c r="U171" s="238"/>
      <c r="V171" s="339"/>
      <c r="W171" s="336"/>
    </row>
    <row r="172" spans="2:23" s="57" customFormat="1" hidden="1" outlineLevel="1" x14ac:dyDescent="0.3">
      <c r="B172" s="208" t="s">
        <v>156</v>
      </c>
      <c r="C172" s="209"/>
      <c r="D172" s="167">
        <v>4.4169999999999998</v>
      </c>
      <c r="E172" s="168">
        <f>2.503-D172</f>
        <v>-1.9139999999999997</v>
      </c>
      <c r="F172" s="168">
        <f>-8.723-E172-D172</f>
        <v>-11.226000000000001</v>
      </c>
      <c r="G172" s="169">
        <f>0.157-F172-E172-D172</f>
        <v>8.8800000000000008</v>
      </c>
      <c r="H172" s="172">
        <f t="shared" si="108"/>
        <v>0.15700000000000003</v>
      </c>
      <c r="I172" s="167">
        <v>-13.497999999999999</v>
      </c>
      <c r="J172" s="168">
        <f>-84.147-I172</f>
        <v>-70.649000000000001</v>
      </c>
      <c r="K172" s="168">
        <f>-83.276-J172-I172</f>
        <v>0.87100000000000399</v>
      </c>
      <c r="L172" s="169">
        <f t="shared" si="111"/>
        <v>89.197000000000003</v>
      </c>
      <c r="M172" s="172">
        <v>5.9210000000000003</v>
      </c>
      <c r="N172" s="167">
        <v>-10.535</v>
      </c>
      <c r="O172" s="89">
        <f>-18.694-N172</f>
        <v>-8.1589999999999989</v>
      </c>
      <c r="P172" s="360"/>
      <c r="Q172" s="339"/>
      <c r="R172" s="336"/>
      <c r="S172" s="239"/>
      <c r="T172" s="238"/>
      <c r="U172" s="238"/>
      <c r="V172" s="339"/>
      <c r="W172" s="336"/>
    </row>
    <row r="173" spans="2:23" s="57" customFormat="1" hidden="1" outlineLevel="1" x14ac:dyDescent="0.3">
      <c r="B173" s="208" t="s">
        <v>100</v>
      </c>
      <c r="C173" s="209"/>
      <c r="D173" s="167">
        <v>6.0679999999999996</v>
      </c>
      <c r="E173" s="168">
        <f>36.113-D173</f>
        <v>30.045000000000002</v>
      </c>
      <c r="F173" s="168">
        <f>30.032-E173-D173</f>
        <v>-6.0810000000000013</v>
      </c>
      <c r="G173" s="169">
        <f>11.282-F173-E173-D173</f>
        <v>-18.75</v>
      </c>
      <c r="H173" s="172">
        <f t="shared" si="108"/>
        <v>11.281999999999996</v>
      </c>
      <c r="I173" s="167">
        <v>42.741999999999997</v>
      </c>
      <c r="J173" s="168">
        <f>72.124-I173</f>
        <v>29.381999999999998</v>
      </c>
      <c r="K173" s="168">
        <f>75.142-J173-I173</f>
        <v>3.0180000000000007</v>
      </c>
      <c r="L173" s="169">
        <f t="shared" si="111"/>
        <v>-54.277999999999992</v>
      </c>
      <c r="M173" s="172">
        <v>20.864000000000001</v>
      </c>
      <c r="N173" s="167">
        <v>36.085999999999999</v>
      </c>
      <c r="O173" s="89">
        <f>35.005-N173</f>
        <v>-1.080999999999996</v>
      </c>
      <c r="P173" s="360"/>
      <c r="Q173" s="339"/>
      <c r="R173" s="336"/>
      <c r="S173" s="239"/>
      <c r="T173" s="238"/>
      <c r="U173" s="238"/>
      <c r="V173" s="339"/>
      <c r="W173" s="336"/>
    </row>
    <row r="174" spans="2:23" s="57" customFormat="1" hidden="1" outlineLevel="1" x14ac:dyDescent="0.3">
      <c r="B174" s="208" t="s">
        <v>157</v>
      </c>
      <c r="C174" s="209"/>
      <c r="D174" s="167">
        <v>4.6100000000000003</v>
      </c>
      <c r="E174" s="168">
        <f>17.529-D174</f>
        <v>12.919</v>
      </c>
      <c r="F174" s="168">
        <f>12.387-E174-D174</f>
        <v>-5.1420000000000003</v>
      </c>
      <c r="G174" s="169">
        <f>3.019-F174-E174-D174</f>
        <v>-9.3679999999999986</v>
      </c>
      <c r="H174" s="172">
        <f t="shared" si="108"/>
        <v>3.0190000000000019</v>
      </c>
      <c r="I174" s="167">
        <v>5.3869999999999996</v>
      </c>
      <c r="J174" s="168">
        <f>12.482-I174</f>
        <v>7.0949999999999998</v>
      </c>
      <c r="K174" s="168">
        <f>29.296-J174-I174</f>
        <v>16.814</v>
      </c>
      <c r="L174" s="169">
        <f t="shared" si="111"/>
        <v>14.015999999999998</v>
      </c>
      <c r="M174" s="172">
        <v>43.311999999999998</v>
      </c>
      <c r="N174" s="167">
        <v>12.239000000000001</v>
      </c>
      <c r="O174" s="89">
        <f>6.78-N174</f>
        <v>-5.4590000000000005</v>
      </c>
      <c r="P174" s="360"/>
      <c r="Q174" s="339"/>
      <c r="R174" s="336"/>
      <c r="S174" s="239"/>
      <c r="T174" s="238"/>
      <c r="U174" s="238"/>
      <c r="V174" s="339"/>
      <c r="W174" s="336"/>
    </row>
    <row r="175" spans="2:23" s="57" customFormat="1" hidden="1" outlineLevel="1" x14ac:dyDescent="0.3">
      <c r="B175" s="208" t="s">
        <v>158</v>
      </c>
      <c r="C175" s="209"/>
      <c r="D175" s="167">
        <v>14.708</v>
      </c>
      <c r="E175" s="168">
        <f>31.776-D175</f>
        <v>17.067999999999998</v>
      </c>
      <c r="F175" s="168">
        <f>32.421-D175-E175</f>
        <v>0.64500000000000313</v>
      </c>
      <c r="G175" s="169">
        <f>20.53-F175-E175-D175</f>
        <v>-11.891</v>
      </c>
      <c r="H175" s="172">
        <f t="shared" si="108"/>
        <v>20.53</v>
      </c>
      <c r="I175" s="167">
        <v>-2.16</v>
      </c>
      <c r="J175" s="168">
        <f>18.038-I175</f>
        <v>20.198</v>
      </c>
      <c r="K175" s="168">
        <f>15.196-J175-I175</f>
        <v>-2.8420000000000005</v>
      </c>
      <c r="L175" s="169">
        <f t="shared" si="111"/>
        <v>-8.1869999999999994</v>
      </c>
      <c r="M175" s="172">
        <v>7.0090000000000003</v>
      </c>
      <c r="N175" s="167">
        <v>13.135999999999999</v>
      </c>
      <c r="O175" s="89">
        <f>27.238-N175</f>
        <v>14.102</v>
      </c>
      <c r="P175" s="360"/>
      <c r="Q175" s="339"/>
      <c r="R175" s="336"/>
      <c r="S175" s="239"/>
      <c r="T175" s="238"/>
      <c r="U175" s="238"/>
      <c r="V175" s="339"/>
      <c r="W175" s="336"/>
    </row>
    <row r="176" spans="2:23" s="57" customFormat="1" hidden="1" outlineLevel="1" x14ac:dyDescent="0.3">
      <c r="B176" s="208" t="s">
        <v>159</v>
      </c>
      <c r="C176" s="209"/>
      <c r="D176" s="167">
        <v>0</v>
      </c>
      <c r="E176" s="168">
        <v>0.16500000000000001</v>
      </c>
      <c r="F176" s="168">
        <f>-2.338-E176</f>
        <v>-2.5030000000000001</v>
      </c>
      <c r="G176" s="169">
        <f>-2.338-F176-E176</f>
        <v>0</v>
      </c>
      <c r="H176" s="172">
        <f t="shared" si="108"/>
        <v>-2.3380000000000001</v>
      </c>
      <c r="I176" s="167">
        <v>205.98</v>
      </c>
      <c r="J176" s="168">
        <f>64.767-I176</f>
        <v>-141.21299999999999</v>
      </c>
      <c r="K176" s="168">
        <f>7.706-J176-I176</f>
        <v>-57.061000000000007</v>
      </c>
      <c r="L176" s="169">
        <f t="shared" si="111"/>
        <v>3.4900000000000091</v>
      </c>
      <c r="M176" s="172">
        <v>11.196</v>
      </c>
      <c r="N176" s="167">
        <v>-2.8530000000000002</v>
      </c>
      <c r="O176" s="89">
        <f>13.822-N176</f>
        <v>16.675000000000001</v>
      </c>
      <c r="P176" s="360"/>
      <c r="Q176" s="339"/>
      <c r="R176" s="336"/>
      <c r="S176" s="239"/>
      <c r="T176" s="238"/>
      <c r="U176" s="238"/>
      <c r="V176" s="339"/>
      <c r="W176" s="336"/>
    </row>
    <row r="177" spans="2:23" s="57" customFormat="1" hidden="1" outlineLevel="1" x14ac:dyDescent="0.3">
      <c r="B177" s="208" t="s">
        <v>160</v>
      </c>
      <c r="C177" s="209"/>
      <c r="D177" s="167">
        <v>-5.8380000000000001</v>
      </c>
      <c r="E177" s="168">
        <f>-4.618-D177</f>
        <v>1.2199999999999998</v>
      </c>
      <c r="F177" s="168">
        <f>-0.467-E177-D177</f>
        <v>4.1509999999999998</v>
      </c>
      <c r="G177" s="169">
        <f>3.394-F177-E177-D177</f>
        <v>3.8610000000000007</v>
      </c>
      <c r="H177" s="172">
        <f t="shared" si="108"/>
        <v>3.3940000000000001</v>
      </c>
      <c r="I177" s="167">
        <v>-7.8659999999999997</v>
      </c>
      <c r="J177" s="168">
        <f>-3.493-I177</f>
        <v>4.3729999999999993</v>
      </c>
      <c r="K177" s="168">
        <f>2.414-J177-I177</f>
        <v>5.907</v>
      </c>
      <c r="L177" s="169">
        <f t="shared" si="111"/>
        <v>2.093</v>
      </c>
      <c r="M177" s="172">
        <v>4.5069999999999997</v>
      </c>
      <c r="N177" s="167">
        <v>-9.1470000000000002</v>
      </c>
      <c r="O177" s="89">
        <f>-6.077-N177</f>
        <v>3.0700000000000003</v>
      </c>
      <c r="P177" s="360"/>
      <c r="Q177" s="339"/>
      <c r="R177" s="336"/>
      <c r="S177" s="239"/>
      <c r="T177" s="238"/>
      <c r="U177" s="238"/>
      <c r="V177" s="339"/>
      <c r="W177" s="336"/>
    </row>
    <row r="178" spans="2:23" s="57" customFormat="1" hidden="1" outlineLevel="1" x14ac:dyDescent="0.3">
      <c r="B178" s="208" t="s">
        <v>162</v>
      </c>
      <c r="C178" s="209"/>
      <c r="D178" s="167">
        <v>-1.5169999999999999</v>
      </c>
      <c r="E178" s="168">
        <f>-3.18-D178</f>
        <v>-1.6630000000000003</v>
      </c>
      <c r="F178" s="168">
        <f>-5.883-E178-D178</f>
        <v>-2.7029999999999998</v>
      </c>
      <c r="G178" s="169">
        <f>-8.107-F178-E178-D178</f>
        <v>-2.2239999999999998</v>
      </c>
      <c r="H178" s="172">
        <f t="shared" si="108"/>
        <v>-8.1069999999999993</v>
      </c>
      <c r="I178" s="167">
        <v>-40.040999999999997</v>
      </c>
      <c r="J178" s="168">
        <f>-40.792-I178</f>
        <v>-0.75100000000000477</v>
      </c>
      <c r="K178" s="168">
        <f>-35.991-J178-I178</f>
        <v>4.8010000000000019</v>
      </c>
      <c r="L178" s="169">
        <f t="shared" si="111"/>
        <v>-2.6400000000000006</v>
      </c>
      <c r="M178" s="172">
        <v>-38.631</v>
      </c>
      <c r="N178" s="167">
        <v>3.0920000000000001</v>
      </c>
      <c r="O178" s="89">
        <f>-2.753-N178</f>
        <v>-5.8450000000000006</v>
      </c>
      <c r="P178" s="360"/>
      <c r="Q178" s="339"/>
      <c r="R178" s="336"/>
      <c r="S178" s="239"/>
      <c r="T178" s="238"/>
      <c r="U178" s="238"/>
      <c r="V178" s="339"/>
      <c r="W178" s="336"/>
    </row>
    <row r="179" spans="2:23" s="57" customFormat="1" ht="16.2" hidden="1" outlineLevel="1" x14ac:dyDescent="0.45">
      <c r="B179" s="311" t="s">
        <v>161</v>
      </c>
      <c r="C179" s="312"/>
      <c r="D179" s="90">
        <v>39.094999999999999</v>
      </c>
      <c r="E179" s="91">
        <f>6.78-D179</f>
        <v>-32.314999999999998</v>
      </c>
      <c r="F179" s="91">
        <f>4.909-D179-E179</f>
        <v>-1.8710000000000022</v>
      </c>
      <c r="G179" s="92">
        <f>8.438-F179-E179-D179</f>
        <v>3.5290000000000035</v>
      </c>
      <c r="H179" s="356">
        <f>SUM(D179:G179)</f>
        <v>8.4380000000000024</v>
      </c>
      <c r="I179" s="90">
        <v>-4.298</v>
      </c>
      <c r="J179" s="91">
        <f>-7.533-I179</f>
        <v>-3.2350000000000003</v>
      </c>
      <c r="K179" s="91">
        <f>312.75-J179-I179</f>
        <v>320.28300000000002</v>
      </c>
      <c r="L179" s="92">
        <f>M179-K179-J179-I179</f>
        <v>102.69600000000001</v>
      </c>
      <c r="M179" s="356">
        <v>415.44600000000003</v>
      </c>
      <c r="N179" s="90">
        <v>-34.790999999999997</v>
      </c>
      <c r="O179" s="94">
        <f>-100.728-N179</f>
        <v>-65.936999999999998</v>
      </c>
      <c r="P179" s="360"/>
      <c r="Q179" s="339"/>
      <c r="R179" s="336"/>
      <c r="S179" s="239"/>
      <c r="T179" s="238"/>
      <c r="U179" s="238"/>
      <c r="V179" s="339"/>
      <c r="W179" s="336"/>
    </row>
    <row r="180" spans="2:23" s="57" customFormat="1" hidden="1" outlineLevel="1" x14ac:dyDescent="0.3">
      <c r="B180" s="315" t="s">
        <v>115</v>
      </c>
      <c r="C180" s="316"/>
      <c r="D180" s="95">
        <f t="shared" ref="D180:H180" si="112">SUM(D156:D179)</f>
        <v>136.40199999999999</v>
      </c>
      <c r="E180" s="96">
        <f t="shared" si="112"/>
        <v>122.57399999999996</v>
      </c>
      <c r="F180" s="96">
        <f>SUM(F156:F179)</f>
        <v>148.072</v>
      </c>
      <c r="G180" s="97">
        <f t="shared" si="112"/>
        <v>178.51900000000043</v>
      </c>
      <c r="H180" s="98">
        <f t="shared" si="112"/>
        <v>585.56700000000046</v>
      </c>
      <c r="I180" s="95">
        <f>SUM(I156:I179)</f>
        <v>-81.754999999999924</v>
      </c>
      <c r="J180" s="96">
        <f>SUM(J156:J179)</f>
        <v>-57.779000000000003</v>
      </c>
      <c r="K180" s="96">
        <f>SUM(K156:K179)</f>
        <v>187.35500000000008</v>
      </c>
      <c r="L180" s="97">
        <f t="shared" si="111"/>
        <v>160.16499999999974</v>
      </c>
      <c r="M180" s="98">
        <f>SUM(M156:M179)</f>
        <v>207.98599999999988</v>
      </c>
      <c r="N180" s="95">
        <f>SUM(N156:N179)</f>
        <v>109.55900000000003</v>
      </c>
      <c r="O180" s="96">
        <f>SUM(O156:O179)</f>
        <v>137.99500000000012</v>
      </c>
      <c r="P180" s="360"/>
      <c r="Q180" s="339"/>
      <c r="R180" s="336"/>
      <c r="S180" s="239"/>
      <c r="T180" s="238"/>
      <c r="U180" s="238"/>
      <c r="V180" s="339"/>
      <c r="W180" s="336"/>
    </row>
    <row r="181" spans="2:23" s="57" customFormat="1" ht="4.5" hidden="1" customHeight="1" outlineLevel="1" x14ac:dyDescent="0.3">
      <c r="B181" s="327"/>
      <c r="C181" s="328"/>
      <c r="D181" s="167"/>
      <c r="E181" s="168"/>
      <c r="F181" s="168"/>
      <c r="G181" s="169"/>
      <c r="H181" s="170"/>
      <c r="I181" s="167"/>
      <c r="J181" s="168"/>
      <c r="K181" s="168"/>
      <c r="L181" s="168"/>
      <c r="M181" s="170">
        <f t="shared" ref="M181:M182" si="113">SUM(I181:L181)</f>
        <v>0</v>
      </c>
      <c r="N181" s="238"/>
      <c r="O181" s="238"/>
      <c r="P181" s="239"/>
      <c r="Q181" s="339"/>
      <c r="R181" s="336"/>
      <c r="S181" s="239"/>
      <c r="T181" s="238"/>
      <c r="U181" s="238"/>
      <c r="V181" s="339"/>
      <c r="W181" s="336"/>
    </row>
    <row r="182" spans="2:23" s="57" customFormat="1" hidden="1" outlineLevel="1" x14ac:dyDescent="0.3">
      <c r="B182" s="295" t="s">
        <v>116</v>
      </c>
      <c r="C182" s="296"/>
      <c r="D182" s="167"/>
      <c r="E182" s="168"/>
      <c r="F182" s="168"/>
      <c r="G182" s="169"/>
      <c r="H182" s="170"/>
      <c r="I182" s="167"/>
      <c r="J182" s="168"/>
      <c r="K182" s="168"/>
      <c r="L182" s="168"/>
      <c r="M182" s="170">
        <f t="shared" si="113"/>
        <v>0</v>
      </c>
      <c r="N182" s="239"/>
      <c r="O182" s="238"/>
      <c r="P182" s="239"/>
      <c r="Q182" s="339"/>
      <c r="R182" s="336"/>
      <c r="S182" s="239"/>
      <c r="T182" s="238"/>
      <c r="U182" s="238"/>
      <c r="V182" s="339"/>
      <c r="W182" s="336"/>
    </row>
    <row r="183" spans="2:23" s="57" customFormat="1" hidden="1" outlineLevel="1" x14ac:dyDescent="0.3">
      <c r="B183" s="311" t="s">
        <v>163</v>
      </c>
      <c r="C183" s="312"/>
      <c r="D183" s="167">
        <v>151.035</v>
      </c>
      <c r="E183" s="168">
        <f>324.819-D183</f>
        <v>173.78400000000002</v>
      </c>
      <c r="F183" s="168">
        <f>545.774-E183-D183</f>
        <v>220.95500000000001</v>
      </c>
      <c r="G183" s="169">
        <f>710.294-F183-E183-D183</f>
        <v>164.51999999999995</v>
      </c>
      <c r="H183" s="170">
        <f t="shared" ref="H183:H195" si="114">SUM(D183:G183)</f>
        <v>710.29399999999998</v>
      </c>
      <c r="I183" s="167">
        <v>253.732</v>
      </c>
      <c r="J183" s="168">
        <f>480.281-I183</f>
        <v>226.54900000000001</v>
      </c>
      <c r="K183" s="168">
        <f>998.762-J183-I183</f>
        <v>518.48099999999999</v>
      </c>
      <c r="L183" s="169">
        <f>M183-K183-J183-I183</f>
        <v>1091.0260000000001</v>
      </c>
      <c r="M183" s="170">
        <v>2089.788</v>
      </c>
      <c r="N183" s="239">
        <v>396.346</v>
      </c>
      <c r="O183" s="238">
        <f>868.304-N183</f>
        <v>471.95799999999997</v>
      </c>
      <c r="P183" s="239"/>
      <c r="Q183" s="339"/>
      <c r="R183" s="336"/>
      <c r="S183" s="239"/>
      <c r="T183" s="238"/>
      <c r="U183" s="238"/>
      <c r="V183" s="339"/>
      <c r="W183" s="336"/>
    </row>
    <row r="184" spans="2:23" s="57" customFormat="1" hidden="1" outlineLevel="1" x14ac:dyDescent="0.3">
      <c r="B184" s="227" t="s">
        <v>184</v>
      </c>
      <c r="C184" s="228"/>
      <c r="D184" s="167"/>
      <c r="E184" s="168"/>
      <c r="F184" s="168"/>
      <c r="G184" s="169"/>
      <c r="H184" s="170"/>
      <c r="I184" s="167">
        <v>0.10100000000000001</v>
      </c>
      <c r="J184" s="168">
        <f>0.1-I184</f>
        <v>-1.0000000000000009E-3</v>
      </c>
      <c r="K184" s="168">
        <f>4.001-J184-I184</f>
        <v>3.9010000000000007</v>
      </c>
      <c r="L184" s="169">
        <f>M184-K184-J184-I184</f>
        <v>-3.6082248300317588E-16</v>
      </c>
      <c r="M184" s="170">
        <v>4.0010000000000003</v>
      </c>
      <c r="N184" s="239">
        <v>0</v>
      </c>
      <c r="O184" s="238">
        <v>0</v>
      </c>
      <c r="P184" s="239"/>
      <c r="Q184" s="339"/>
      <c r="R184" s="336"/>
      <c r="S184" s="239"/>
      <c r="T184" s="238"/>
      <c r="U184" s="238"/>
      <c r="V184" s="339"/>
      <c r="W184" s="336"/>
    </row>
    <row r="185" spans="2:23" s="57" customFormat="1" hidden="1" outlineLevel="1" x14ac:dyDescent="0.3">
      <c r="B185" s="311" t="s">
        <v>164</v>
      </c>
      <c r="C185" s="312"/>
      <c r="D185" s="167">
        <v>1.7250000000000001</v>
      </c>
      <c r="E185" s="168">
        <f>3.45-D185</f>
        <v>1.7250000000000001</v>
      </c>
      <c r="F185" s="168">
        <f>12.075-E185-D185</f>
        <v>8.625</v>
      </c>
      <c r="G185" s="169">
        <f>13.075-F185-E185-D185</f>
        <v>0.99999999999999911</v>
      </c>
      <c r="H185" s="170">
        <f t="shared" si="114"/>
        <v>13.074999999999999</v>
      </c>
      <c r="I185" s="167"/>
      <c r="J185" s="168">
        <f>0.725-I185</f>
        <v>0.72499999999999998</v>
      </c>
      <c r="K185" s="168">
        <f>2.625-J185</f>
        <v>1.9</v>
      </c>
      <c r="L185" s="169">
        <f>M185-K185-J185-I185</f>
        <v>1.5350000000000001</v>
      </c>
      <c r="M185" s="170">
        <v>4.16</v>
      </c>
      <c r="N185" s="239"/>
      <c r="O185" s="238">
        <v>0</v>
      </c>
      <c r="P185" s="239"/>
      <c r="Q185" s="339"/>
      <c r="R185" s="336"/>
      <c r="S185" s="239"/>
      <c r="T185" s="238"/>
      <c r="U185" s="238"/>
      <c r="V185" s="339"/>
      <c r="W185" s="336"/>
    </row>
    <row r="186" spans="2:23" s="57" customFormat="1" hidden="1" outlineLevel="1" x14ac:dyDescent="0.3">
      <c r="B186" s="227" t="s">
        <v>185</v>
      </c>
      <c r="C186" s="228"/>
      <c r="D186" s="167"/>
      <c r="E186" s="168"/>
      <c r="F186" s="168"/>
      <c r="G186" s="169"/>
      <c r="H186" s="170"/>
      <c r="I186" s="167">
        <v>0</v>
      </c>
      <c r="J186" s="168">
        <v>179.65799999999999</v>
      </c>
      <c r="K186" s="168">
        <f>179.658-J186</f>
        <v>0</v>
      </c>
      <c r="L186" s="169">
        <f>M186-K186-J186-I186</f>
        <v>0</v>
      </c>
      <c r="M186" s="170">
        <v>179.65799999999999</v>
      </c>
      <c r="N186" s="239"/>
      <c r="O186" s="238">
        <v>0</v>
      </c>
      <c r="P186" s="239"/>
      <c r="Q186" s="339"/>
      <c r="R186" s="336"/>
      <c r="S186" s="239"/>
      <c r="T186" s="238"/>
      <c r="U186" s="238"/>
      <c r="V186" s="339"/>
      <c r="W186" s="336"/>
    </row>
    <row r="187" spans="2:23" s="57" customFormat="1" hidden="1" outlineLevel="1" x14ac:dyDescent="0.3">
      <c r="B187" s="208" t="s">
        <v>165</v>
      </c>
      <c r="C187" s="209"/>
      <c r="D187" s="167">
        <v>-187.71799999999999</v>
      </c>
      <c r="E187" s="168">
        <f>-421.797-D187</f>
        <v>-234.07900000000004</v>
      </c>
      <c r="F187" s="168">
        <f>-761.538-E187-D187</f>
        <v>-339.74099999999999</v>
      </c>
      <c r="G187" s="169">
        <f>-1130.601-F187-E187-D187</f>
        <v>-369.0630000000001</v>
      </c>
      <c r="H187" s="170">
        <f t="shared" si="114"/>
        <v>-1130.6010000000001</v>
      </c>
      <c r="I187" s="167">
        <v>-118.283</v>
      </c>
      <c r="J187" s="168">
        <f>-944.193-I187</f>
        <v>-825.91</v>
      </c>
      <c r="K187" s="168">
        <f>-1760.178-J187-I187</f>
        <v>-815.98500000000013</v>
      </c>
      <c r="L187" s="169">
        <f>M187-K187-J187-I187</f>
        <v>-273.40599999999995</v>
      </c>
      <c r="M187" s="170">
        <v>-2033.5840000000001</v>
      </c>
      <c r="N187" s="167">
        <v>-152.05000000000001</v>
      </c>
      <c r="O187" s="282">
        <f>-152.664-N187</f>
        <v>-0.6139999999999759</v>
      </c>
      <c r="P187" s="239"/>
      <c r="Q187" s="339"/>
      <c r="R187" s="336"/>
      <c r="S187" s="239"/>
      <c r="T187" s="238"/>
      <c r="U187" s="238"/>
      <c r="V187" s="339"/>
      <c r="W187" s="336"/>
    </row>
    <row r="188" spans="2:23" s="57" customFormat="1" hidden="1" outlineLevel="1" x14ac:dyDescent="0.3">
      <c r="B188" s="222" t="s">
        <v>178</v>
      </c>
      <c r="C188" s="223"/>
      <c r="D188" s="167">
        <v>0</v>
      </c>
      <c r="E188" s="168">
        <v>0</v>
      </c>
      <c r="F188" s="168">
        <v>0</v>
      </c>
      <c r="G188" s="169">
        <f>-4.001-F188-E188-D188</f>
        <v>-4.0010000000000003</v>
      </c>
      <c r="H188" s="170">
        <f t="shared" si="114"/>
        <v>-4.0010000000000003</v>
      </c>
      <c r="I188" s="167">
        <v>0</v>
      </c>
      <c r="J188" s="168">
        <v>0</v>
      </c>
      <c r="K188" s="168">
        <v>0</v>
      </c>
      <c r="L188" s="168">
        <v>0</v>
      </c>
      <c r="M188" s="170">
        <v>0</v>
      </c>
      <c r="N188" s="239"/>
      <c r="O188" s="238"/>
      <c r="P188" s="239"/>
      <c r="Q188" s="339"/>
      <c r="R188" s="336"/>
      <c r="S188" s="239"/>
      <c r="T188" s="238"/>
      <c r="U188" s="238"/>
      <c r="V188" s="339"/>
      <c r="W188" s="336"/>
    </row>
    <row r="189" spans="2:23" s="57" customFormat="1" hidden="1" outlineLevel="1" x14ac:dyDescent="0.3">
      <c r="B189" s="208" t="s">
        <v>132</v>
      </c>
      <c r="C189" s="209"/>
      <c r="D189" s="167">
        <v>-9.8710000000000004</v>
      </c>
      <c r="E189" s="168">
        <f>-15.074-D189</f>
        <v>-5.2029999999999994</v>
      </c>
      <c r="F189" s="168">
        <f>-19.3-E189-D189</f>
        <v>-4.2260000000000009</v>
      </c>
      <c r="G189" s="169">
        <f>-27.952-F189-E189-D189</f>
        <v>-8.6519999999999992</v>
      </c>
      <c r="H189" s="170">
        <f t="shared" si="114"/>
        <v>-27.951999999999998</v>
      </c>
      <c r="I189" s="167">
        <v>-4.6870000000000003</v>
      </c>
      <c r="J189" s="168">
        <f>-15.827-I189</f>
        <v>-11.14</v>
      </c>
      <c r="K189" s="168">
        <f>-25.627-J189-I189</f>
        <v>-9.7999999999999972</v>
      </c>
      <c r="L189" s="169">
        <f>M189-K189-J189-I189</f>
        <v>-9.977999999999998</v>
      </c>
      <c r="M189" s="170">
        <v>-35.604999999999997</v>
      </c>
      <c r="N189" s="167">
        <v>-8.2050000000000001</v>
      </c>
      <c r="O189" s="282">
        <f>-17.813-N189</f>
        <v>-9.6079999999999988</v>
      </c>
      <c r="P189" s="239"/>
      <c r="Q189" s="339"/>
      <c r="R189" s="336"/>
      <c r="S189" s="239"/>
      <c r="T189" s="238"/>
      <c r="U189" s="238"/>
      <c r="V189" s="339"/>
      <c r="W189" s="336"/>
    </row>
    <row r="190" spans="2:23" s="57" customFormat="1" hidden="1" outlineLevel="1" x14ac:dyDescent="0.3">
      <c r="B190" s="227" t="s">
        <v>183</v>
      </c>
      <c r="C190" s="228"/>
      <c r="D190" s="167"/>
      <c r="E190" s="168"/>
      <c r="F190" s="168"/>
      <c r="G190" s="169"/>
      <c r="H190" s="170"/>
      <c r="I190" s="167"/>
      <c r="J190" s="168">
        <f>198.008</f>
        <v>198.00800000000001</v>
      </c>
      <c r="K190" s="168">
        <f>198.008-J190</f>
        <v>0</v>
      </c>
      <c r="L190" s="168">
        <v>0</v>
      </c>
      <c r="M190" s="170">
        <v>198.00800000000001</v>
      </c>
      <c r="N190" s="239"/>
      <c r="O190" s="238">
        <v>0</v>
      </c>
      <c r="P190" s="239"/>
      <c r="Q190" s="339"/>
      <c r="R190" s="336"/>
      <c r="S190" s="239"/>
      <c r="T190" s="238"/>
      <c r="U190" s="238"/>
      <c r="V190" s="339"/>
      <c r="W190" s="336"/>
    </row>
    <row r="191" spans="2:23" s="57" customFormat="1" hidden="1" outlineLevel="1" x14ac:dyDescent="0.3">
      <c r="B191" s="204" t="s">
        <v>166</v>
      </c>
      <c r="C191" s="205"/>
      <c r="D191" s="167">
        <v>0.23699999999999999</v>
      </c>
      <c r="E191" s="168">
        <f>0.31-D191</f>
        <v>7.3000000000000009E-2</v>
      </c>
      <c r="F191" s="168">
        <f>0.745-E191-D191</f>
        <v>0.43499999999999994</v>
      </c>
      <c r="G191" s="169">
        <f>0.963-F191-E191-D191</f>
        <v>0.21800000000000003</v>
      </c>
      <c r="H191" s="170">
        <f t="shared" si="114"/>
        <v>0.96299999999999986</v>
      </c>
      <c r="I191" s="167">
        <v>0.10199999999999999</v>
      </c>
      <c r="J191" s="168">
        <f>0.161-I191</f>
        <v>5.9000000000000011E-2</v>
      </c>
      <c r="K191" s="168">
        <f>0.484-J191-I191</f>
        <v>0.32300000000000001</v>
      </c>
      <c r="L191" s="169">
        <f>M191-K191-J191-I191</f>
        <v>0.44199999999999995</v>
      </c>
      <c r="M191" s="170">
        <v>0.92600000000000005</v>
      </c>
      <c r="N191" s="239">
        <v>0.38100000000000001</v>
      </c>
      <c r="O191" s="241">
        <f>0.541-N191</f>
        <v>0.16000000000000003</v>
      </c>
      <c r="P191" s="239"/>
      <c r="Q191" s="339"/>
      <c r="R191" s="336"/>
      <c r="S191" s="239"/>
      <c r="T191" s="238"/>
      <c r="U191" s="238"/>
      <c r="V191" s="339"/>
      <c r="W191" s="336"/>
    </row>
    <row r="192" spans="2:23" s="57" customFormat="1" hidden="1" outlineLevel="1" x14ac:dyDescent="0.3">
      <c r="B192" s="233" t="s">
        <v>188</v>
      </c>
      <c r="C192" s="234"/>
      <c r="D192" s="167"/>
      <c r="E192" s="168"/>
      <c r="F192" s="168"/>
      <c r="G192" s="169"/>
      <c r="H192" s="170"/>
      <c r="I192" s="167"/>
      <c r="J192" s="168"/>
      <c r="K192" s="168"/>
      <c r="L192" s="169"/>
      <c r="M192" s="170"/>
      <c r="N192" s="239"/>
      <c r="O192" s="282">
        <f>-688.485</f>
        <v>-688.48500000000001</v>
      </c>
      <c r="P192" s="239"/>
      <c r="Q192" s="339"/>
      <c r="R192" s="336"/>
      <c r="S192" s="239"/>
      <c r="T192" s="238"/>
      <c r="U192" s="238"/>
      <c r="V192" s="339"/>
      <c r="W192" s="336"/>
    </row>
    <row r="193" spans="2:24" s="57" customFormat="1" hidden="1" outlineLevel="1" x14ac:dyDescent="0.3">
      <c r="B193" s="204" t="s">
        <v>167</v>
      </c>
      <c r="C193" s="205"/>
      <c r="D193" s="167">
        <v>0.105</v>
      </c>
      <c r="E193" s="168">
        <f>-0.828-D193</f>
        <v>-0.93299999999999994</v>
      </c>
      <c r="F193" s="168">
        <f>-1.765-E193-D193</f>
        <v>-0.93699999999999994</v>
      </c>
      <c r="G193" s="169">
        <f>-3.411-F193-E193-D193</f>
        <v>-1.6460000000000004</v>
      </c>
      <c r="H193" s="170">
        <f t="shared" si="114"/>
        <v>-3.4110000000000005</v>
      </c>
      <c r="I193" s="167">
        <v>-1.552</v>
      </c>
      <c r="J193" s="168">
        <f>-3.566-I193</f>
        <v>-2.0139999999999998</v>
      </c>
      <c r="K193" s="168">
        <f>-5.352-J193-I193</f>
        <v>-1.7860000000000005</v>
      </c>
      <c r="L193" s="169">
        <f>M193-K193-J193-I193</f>
        <v>-1.5359999999999996</v>
      </c>
      <c r="M193" s="170">
        <v>-6.8879999999999999</v>
      </c>
      <c r="N193" s="167">
        <v>-2.3420000000000001</v>
      </c>
      <c r="O193" s="282">
        <f>-4.881-N193</f>
        <v>-2.5390000000000001</v>
      </c>
      <c r="P193" s="239"/>
      <c r="Q193" s="339"/>
      <c r="R193" s="336"/>
      <c r="S193" s="239"/>
      <c r="T193" s="238"/>
      <c r="U193" s="238"/>
      <c r="V193" s="339"/>
      <c r="W193" s="336"/>
    </row>
    <row r="194" spans="2:24" s="57" customFormat="1" ht="16.2" hidden="1" outlineLevel="1" x14ac:dyDescent="0.45">
      <c r="B194" s="151" t="s">
        <v>168</v>
      </c>
      <c r="C194" s="190"/>
      <c r="D194" s="90">
        <v>0.54300000000000004</v>
      </c>
      <c r="E194" s="91">
        <f>1.102-D194</f>
        <v>0.55900000000000005</v>
      </c>
      <c r="F194" s="91">
        <f>1.027-E194-D194</f>
        <v>-7.5000000000000178E-2</v>
      </c>
      <c r="G194" s="92">
        <f>1.23-F194-E194-D194</f>
        <v>0.20300000000000007</v>
      </c>
      <c r="H194" s="92">
        <f t="shared" si="114"/>
        <v>1.23</v>
      </c>
      <c r="I194" s="90">
        <v>0.22700000000000001</v>
      </c>
      <c r="J194" s="91">
        <f>-1.214-I194</f>
        <v>-1.4410000000000001</v>
      </c>
      <c r="K194" s="91">
        <f>-1.039-J194-I194</f>
        <v>0.17500000000000013</v>
      </c>
      <c r="L194" s="92">
        <f>M194-K194-J194-I194</f>
        <v>0.6409999999999999</v>
      </c>
      <c r="M194" s="93">
        <v>-0.39800000000000002</v>
      </c>
      <c r="N194" s="91">
        <v>0.14199999999999999</v>
      </c>
      <c r="O194" s="283">
        <f>-2.377-N194</f>
        <v>-2.5189999999999997</v>
      </c>
      <c r="P194" s="239"/>
      <c r="Q194" s="339"/>
      <c r="R194" s="336"/>
      <c r="S194" s="239"/>
      <c r="T194" s="238"/>
      <c r="U194" s="238"/>
      <c r="V194" s="339"/>
      <c r="W194" s="336"/>
    </row>
    <row r="195" spans="2:24" s="57" customFormat="1" hidden="1" outlineLevel="1" x14ac:dyDescent="0.3">
      <c r="B195" s="315" t="s">
        <v>117</v>
      </c>
      <c r="C195" s="316"/>
      <c r="D195" s="95">
        <f>SUM(D183:D194)</f>
        <v>-43.944000000000003</v>
      </c>
      <c r="E195" s="96">
        <f>SUM(E183:E194)</f>
        <v>-64.074000000000026</v>
      </c>
      <c r="F195" s="96">
        <f>SUM(F183:F194)</f>
        <v>-114.96399999999997</v>
      </c>
      <c r="G195" s="97">
        <f>SUM(G183:G194)</f>
        <v>-217.42100000000013</v>
      </c>
      <c r="H195" s="98">
        <f t="shared" si="114"/>
        <v>-440.40300000000013</v>
      </c>
      <c r="I195" s="95">
        <f t="shared" ref="I195:O195" si="115">SUM(I183:I194)</f>
        <v>129.64000000000001</v>
      </c>
      <c r="J195" s="96">
        <f t="shared" si="115"/>
        <v>-235.50699999999998</v>
      </c>
      <c r="K195" s="96">
        <f t="shared" si="115"/>
        <v>-302.79100000000022</v>
      </c>
      <c r="L195" s="96">
        <f t="shared" si="115"/>
        <v>808.72400000000027</v>
      </c>
      <c r="M195" s="98">
        <f t="shared" si="115"/>
        <v>400.06599999999992</v>
      </c>
      <c r="N195" s="95">
        <f t="shared" si="115"/>
        <v>234.27199999999996</v>
      </c>
      <c r="O195" s="96">
        <f t="shared" si="115"/>
        <v>-231.64699999999999</v>
      </c>
      <c r="P195" s="359"/>
      <c r="Q195" s="339"/>
      <c r="R195" s="336"/>
      <c r="S195" s="239"/>
      <c r="T195" s="238"/>
      <c r="U195" s="238"/>
      <c r="V195" s="339"/>
      <c r="W195" s="336"/>
    </row>
    <row r="196" spans="2:24" s="57" customFormat="1" ht="4.5" hidden="1" customHeight="1" outlineLevel="1" x14ac:dyDescent="0.3">
      <c r="B196" s="327"/>
      <c r="C196" s="328"/>
      <c r="D196" s="167"/>
      <c r="E196" s="168"/>
      <c r="F196" s="168"/>
      <c r="G196" s="169"/>
      <c r="H196" s="170"/>
      <c r="I196" s="167"/>
      <c r="J196" s="168"/>
      <c r="K196" s="168"/>
      <c r="L196" s="168"/>
      <c r="M196" s="170"/>
      <c r="N196" s="239"/>
      <c r="O196" s="238"/>
      <c r="P196" s="239"/>
      <c r="Q196" s="339"/>
      <c r="R196" s="336"/>
      <c r="S196" s="239"/>
      <c r="T196" s="238"/>
      <c r="U196" s="238"/>
      <c r="V196" s="339"/>
      <c r="W196" s="336"/>
    </row>
    <row r="197" spans="2:24" s="57" customFormat="1" hidden="1" outlineLevel="1" x14ac:dyDescent="0.3">
      <c r="B197" s="295" t="s">
        <v>118</v>
      </c>
      <c r="C197" s="296"/>
      <c r="D197" s="167"/>
      <c r="E197" s="168"/>
      <c r="F197" s="168"/>
      <c r="G197" s="169"/>
      <c r="H197" s="170"/>
      <c r="I197" s="167"/>
      <c r="J197" s="168"/>
      <c r="K197" s="168"/>
      <c r="L197" s="168"/>
      <c r="M197" s="170"/>
      <c r="N197" s="239"/>
      <c r="O197" s="238"/>
      <c r="P197" s="239"/>
      <c r="Q197" s="339"/>
      <c r="R197" s="336"/>
      <c r="S197" s="239"/>
      <c r="T197" s="238"/>
      <c r="U197" s="238"/>
      <c r="V197" s="339"/>
      <c r="W197" s="336"/>
    </row>
    <row r="198" spans="2:24" s="57" customFormat="1" hidden="1" outlineLevel="1" x14ac:dyDescent="0.3">
      <c r="B198" s="311" t="s">
        <v>169</v>
      </c>
      <c r="C198" s="312"/>
      <c r="D198" s="167">
        <v>-0.62</v>
      </c>
      <c r="E198" s="168">
        <f>-0.973-D198</f>
        <v>-0.35299999999999998</v>
      </c>
      <c r="F198" s="168">
        <f>-1.316-E198-D198</f>
        <v>-0.34300000000000008</v>
      </c>
      <c r="G198" s="169">
        <f>-1.619-F198-E198-D198</f>
        <v>-0.30299999999999983</v>
      </c>
      <c r="H198" s="170">
        <f>SUM(D198:G198)</f>
        <v>-1.6189999999999998</v>
      </c>
      <c r="I198" s="167">
        <v>-0.19600000000000001</v>
      </c>
      <c r="J198" s="168">
        <f>-0.53-I198</f>
        <v>-0.33400000000000002</v>
      </c>
      <c r="K198" s="168">
        <f>-0.807-J198-I198</f>
        <v>-0.27700000000000002</v>
      </c>
      <c r="L198" s="169">
        <f>M198-K198-J198-I198</f>
        <v>-0.27599999999999991</v>
      </c>
      <c r="M198" s="170">
        <f>-1.083</f>
        <v>-1.083</v>
      </c>
      <c r="N198" s="167">
        <v>-0.52200000000000002</v>
      </c>
      <c r="O198" s="168">
        <f>-1.099-N198</f>
        <v>-0.57699999999999996</v>
      </c>
      <c r="P198" s="239"/>
      <c r="Q198" s="339"/>
      <c r="R198" s="336"/>
      <c r="S198" s="239"/>
      <c r="T198" s="238"/>
      <c r="U198" s="238"/>
      <c r="V198" s="339"/>
      <c r="W198" s="336"/>
    </row>
    <row r="199" spans="2:24" s="57" customFormat="1" hidden="1" outlineLevel="1" x14ac:dyDescent="0.3">
      <c r="B199" s="311" t="s">
        <v>187</v>
      </c>
      <c r="C199" s="312"/>
      <c r="D199" s="167">
        <v>2.6019999999999999</v>
      </c>
      <c r="E199" s="168">
        <f>3.303-D199</f>
        <v>0.70100000000000007</v>
      </c>
      <c r="F199" s="168">
        <f>11.541-E199-D199</f>
        <v>8.2379999999999995</v>
      </c>
      <c r="G199" s="169">
        <f>11.924-F199-E199-D199</f>
        <v>0.38300000000000001</v>
      </c>
      <c r="H199" s="170">
        <f>SUM(D199:G199)</f>
        <v>11.923999999999999</v>
      </c>
      <c r="I199" s="167">
        <v>184.679</v>
      </c>
      <c r="J199" s="168">
        <f>300.331-I199</f>
        <v>115.65200000000002</v>
      </c>
      <c r="K199" s="168">
        <f>303.914-J199-I199</f>
        <v>3.58299999999997</v>
      </c>
      <c r="L199" s="169">
        <f>M199-K199-J199-I199</f>
        <v>10.823000000000036</v>
      </c>
      <c r="M199" s="170">
        <v>314.73700000000002</v>
      </c>
      <c r="N199" s="167"/>
      <c r="O199" s="238"/>
      <c r="P199" s="239"/>
      <c r="Q199" s="339"/>
      <c r="R199" s="336"/>
      <c r="S199" s="239"/>
      <c r="T199" s="238"/>
      <c r="U199" s="238"/>
      <c r="V199" s="339"/>
      <c r="W199" s="336"/>
    </row>
    <row r="200" spans="2:24" s="57" customFormat="1" hidden="1" outlineLevel="1" x14ac:dyDescent="0.3">
      <c r="B200" s="204" t="s">
        <v>170</v>
      </c>
      <c r="C200" s="205"/>
      <c r="D200" s="167">
        <v>5.7279999999999998</v>
      </c>
      <c r="E200" s="168">
        <f>7.716-D200</f>
        <v>1.9880000000000004</v>
      </c>
      <c r="F200" s="168">
        <f>15.05-E200-D200</f>
        <v>7.3340000000000014</v>
      </c>
      <c r="G200" s="169">
        <f>17.168-F200-E200-D200</f>
        <v>2.1179999999999977</v>
      </c>
      <c r="H200" s="170">
        <f>SUM(D200:G200)</f>
        <v>17.167999999999999</v>
      </c>
      <c r="I200" s="167">
        <v>19.119</v>
      </c>
      <c r="J200" s="168">
        <f>1689.12-I200</f>
        <v>1670.001</v>
      </c>
      <c r="K200" s="168">
        <f>1691.051-J200-I200</f>
        <v>1.9309999999999548</v>
      </c>
      <c r="L200" s="169">
        <f>M200-K200-J200-I200</f>
        <v>5.6100000000000421</v>
      </c>
      <c r="M200" s="170">
        <v>1696.6610000000001</v>
      </c>
      <c r="N200" s="239">
        <v>4.0780000000000003</v>
      </c>
      <c r="O200" s="238">
        <f>8.167-N200</f>
        <v>4.0889999999999995</v>
      </c>
      <c r="P200" s="239"/>
      <c r="Q200" s="339"/>
      <c r="R200" s="336"/>
      <c r="S200" s="239"/>
      <c r="T200" s="238"/>
      <c r="U200" s="238"/>
      <c r="V200" s="339"/>
      <c r="W200" s="336"/>
    </row>
    <row r="201" spans="2:24" s="57" customFormat="1" ht="16.2" hidden="1" outlineLevel="1" x14ac:dyDescent="0.45">
      <c r="B201" s="204" t="s">
        <v>171</v>
      </c>
      <c r="C201" s="205"/>
      <c r="D201" s="90">
        <v>-0.02</v>
      </c>
      <c r="E201" s="91">
        <f>-0.059-D201</f>
        <v>-3.8999999999999993E-2</v>
      </c>
      <c r="F201" s="91">
        <f>-8.126-E201-D201</f>
        <v>-8.0670000000000002</v>
      </c>
      <c r="G201" s="92">
        <f>-8.175-F201-E201-D201</f>
        <v>-4.9000000000000543E-2</v>
      </c>
      <c r="H201" s="93">
        <f>SUM(D201:G201)</f>
        <v>-8.1750000000000007</v>
      </c>
      <c r="I201" s="90">
        <v>-251.38200000000001</v>
      </c>
      <c r="J201" s="91">
        <f>-412.217-I201</f>
        <v>-160.83499999999998</v>
      </c>
      <c r="K201" s="91">
        <f>-758.974-J201-I201</f>
        <v>-346.75700000000012</v>
      </c>
      <c r="L201" s="92">
        <f>M201-K201-J201-I201</f>
        <v>-48.992999999999881</v>
      </c>
      <c r="M201" s="93">
        <v>-807.96699999999998</v>
      </c>
      <c r="N201" s="90">
        <v>-2.016</v>
      </c>
      <c r="O201" s="283">
        <f>-2002.254-N201</f>
        <v>-2000.2379999999998</v>
      </c>
      <c r="P201" s="239"/>
      <c r="Q201" s="339"/>
      <c r="R201" s="336"/>
      <c r="S201" s="239"/>
      <c r="T201" s="238"/>
      <c r="U201" s="238"/>
      <c r="V201" s="339"/>
      <c r="W201" s="336"/>
    </row>
    <row r="202" spans="2:24" s="57" customFormat="1" hidden="1" outlineLevel="1" x14ac:dyDescent="0.3">
      <c r="B202" s="315" t="s">
        <v>119</v>
      </c>
      <c r="C202" s="316"/>
      <c r="D202" s="95">
        <f t="shared" ref="D202:J202" si="116">SUM(D198:D201)</f>
        <v>7.6899999999999995</v>
      </c>
      <c r="E202" s="96">
        <f t="shared" si="116"/>
        <v>2.2970000000000002</v>
      </c>
      <c r="F202" s="96">
        <f>SUM(F198:F201)</f>
        <v>7.1620000000000008</v>
      </c>
      <c r="G202" s="97">
        <f>SUM(G198:G201)</f>
        <v>2.1489999999999974</v>
      </c>
      <c r="H202" s="170">
        <f t="shared" si="116"/>
        <v>19.297999999999998</v>
      </c>
      <c r="I202" s="95">
        <f>SUM(I198:I201)</f>
        <v>-47.78</v>
      </c>
      <c r="J202" s="96">
        <f t="shared" si="116"/>
        <v>1624.4839999999999</v>
      </c>
      <c r="K202" s="96">
        <f>SUM(K198:K201)</f>
        <v>-341.52000000000021</v>
      </c>
      <c r="L202" s="96">
        <f>SUM(L198:L201)</f>
        <v>-32.8359999999998</v>
      </c>
      <c r="M202" s="98">
        <f>SUM(M198:M201)</f>
        <v>1202.348</v>
      </c>
      <c r="N202" s="95">
        <f>SUM(N198:N201)</f>
        <v>1.54</v>
      </c>
      <c r="O202" s="96">
        <f>SUM(O198:O201)</f>
        <v>-1996.7259999999999</v>
      </c>
      <c r="P202" s="239"/>
      <c r="Q202" s="339"/>
      <c r="R202" s="336"/>
      <c r="S202" s="239"/>
      <c r="T202" s="238"/>
      <c r="U202" s="238"/>
      <c r="V202" s="339"/>
      <c r="W202" s="336"/>
    </row>
    <row r="203" spans="2:24" s="58" customFormat="1" ht="16.2" hidden="1" outlineLevel="1" x14ac:dyDescent="0.45">
      <c r="B203" s="151" t="s">
        <v>121</v>
      </c>
      <c r="C203" s="152"/>
      <c r="D203" s="90">
        <v>0.52300000000000002</v>
      </c>
      <c r="E203" s="357">
        <f>0.756-D203</f>
        <v>0.23299999999999998</v>
      </c>
      <c r="F203" s="357">
        <f>-4.242-E203-D203</f>
        <v>-4.9979999999999993</v>
      </c>
      <c r="G203" s="358">
        <f>-5.488-F203-E203-D203</f>
        <v>-1.2460000000000011</v>
      </c>
      <c r="H203" s="356">
        <f>SUM(D203:G203)</f>
        <v>-5.4880000000000004</v>
      </c>
      <c r="I203" s="344">
        <v>-7.641</v>
      </c>
      <c r="J203" s="357">
        <f>-5.33-I203</f>
        <v>2.3109999999999999</v>
      </c>
      <c r="K203" s="91">
        <f>-3.952-J203-I203</f>
        <v>1.3780000000000001</v>
      </c>
      <c r="L203" s="92">
        <f>M203-K203-J203-I203</f>
        <v>-1.354000000000001</v>
      </c>
      <c r="M203" s="356">
        <v>-5.306</v>
      </c>
      <c r="N203" s="90">
        <v>7.3209999999999997</v>
      </c>
      <c r="O203" s="283">
        <f>4.358-N203</f>
        <v>-2.9630000000000001</v>
      </c>
      <c r="P203" s="239"/>
      <c r="Q203" s="339"/>
      <c r="R203" s="336"/>
      <c r="S203" s="239"/>
      <c r="T203" s="238"/>
      <c r="U203" s="238"/>
      <c r="V203" s="339"/>
      <c r="W203" s="336"/>
    </row>
    <row r="204" spans="2:24" s="57" customFormat="1" hidden="1" outlineLevel="1" x14ac:dyDescent="0.3">
      <c r="B204" s="315" t="s">
        <v>120</v>
      </c>
      <c r="C204" s="316"/>
      <c r="D204" s="176">
        <f t="shared" ref="D204:F204" si="117">D202+D195+D180+D203</f>
        <v>100.67099999999998</v>
      </c>
      <c r="E204" s="176">
        <f t="shared" si="117"/>
        <v>61.029999999999923</v>
      </c>
      <c r="F204" s="176">
        <f t="shared" si="117"/>
        <v>35.272000000000041</v>
      </c>
      <c r="G204" s="191">
        <f t="shared" ref="G204:O204" si="118">G202+G195+G180+G203</f>
        <v>-37.998999999999704</v>
      </c>
      <c r="H204" s="173">
        <f t="shared" si="118"/>
        <v>158.97400000000033</v>
      </c>
      <c r="I204" s="176">
        <f t="shared" si="118"/>
        <v>-7.5359999999999108</v>
      </c>
      <c r="J204" s="176">
        <f t="shared" si="118"/>
        <v>1333.5089999999998</v>
      </c>
      <c r="K204" s="176">
        <f>K202+K195+K180+K203</f>
        <v>-455.57800000000032</v>
      </c>
      <c r="L204" s="176">
        <f>L202+L195+L180+L203</f>
        <v>934.69900000000018</v>
      </c>
      <c r="M204" s="173">
        <f t="shared" si="118"/>
        <v>1805.0939999999996</v>
      </c>
      <c r="N204" s="192">
        <f t="shared" si="118"/>
        <v>352.69200000000001</v>
      </c>
      <c r="O204" s="176">
        <f t="shared" si="118"/>
        <v>-2093.3409999999999</v>
      </c>
      <c r="P204" s="239"/>
      <c r="Q204" s="339"/>
      <c r="R204" s="336"/>
      <c r="S204" s="239"/>
      <c r="T204" s="238"/>
      <c r="U204" s="238"/>
      <c r="V204" s="339"/>
      <c r="W204" s="336"/>
    </row>
    <row r="205" spans="2:24" s="57" customFormat="1" hidden="1" outlineLevel="1" x14ac:dyDescent="0.3">
      <c r="B205" s="315" t="s">
        <v>122</v>
      </c>
      <c r="C205" s="316"/>
      <c r="D205" s="95">
        <v>211.34899999999999</v>
      </c>
      <c r="E205" s="176">
        <f>D206</f>
        <v>312.02</v>
      </c>
      <c r="F205" s="176">
        <f>E206</f>
        <v>373.0499999999999</v>
      </c>
      <c r="G205" s="191">
        <f t="shared" ref="G205" si="119">F206</f>
        <v>408.32199999999995</v>
      </c>
      <c r="H205" s="98">
        <f>D205</f>
        <v>211.34899999999999</v>
      </c>
      <c r="I205" s="192">
        <f>H206</f>
        <v>370.32300000000026</v>
      </c>
      <c r="J205" s="176">
        <f>I206</f>
        <v>362.78700000000038</v>
      </c>
      <c r="K205" s="96">
        <f>J206</f>
        <v>1696.2960000000003</v>
      </c>
      <c r="L205" s="176">
        <f>K206</f>
        <v>1240.7179999999998</v>
      </c>
      <c r="M205" s="173">
        <f>H206</f>
        <v>370.32300000000026</v>
      </c>
      <c r="N205" s="192">
        <f>M206</f>
        <v>2175.4169999999999</v>
      </c>
      <c r="O205" s="176">
        <f>N206</f>
        <v>2528.1089999999999</v>
      </c>
      <c r="P205" s="239"/>
      <c r="Q205" s="339"/>
      <c r="R205" s="336"/>
      <c r="S205" s="239"/>
      <c r="T205" s="238"/>
      <c r="U205" s="238"/>
      <c r="V205" s="339"/>
      <c r="W205" s="336"/>
    </row>
    <row r="206" spans="2:24" s="57" customFormat="1" hidden="1" outlineLevel="1" x14ac:dyDescent="0.3">
      <c r="B206" s="315" t="s">
        <v>123</v>
      </c>
      <c r="C206" s="316"/>
      <c r="D206" s="95">
        <f>D205+D204</f>
        <v>312.02</v>
      </c>
      <c r="E206" s="96">
        <f t="shared" ref="E206:F206" si="120">E205+E204</f>
        <v>373.0499999999999</v>
      </c>
      <c r="F206" s="96">
        <f t="shared" si="120"/>
        <v>408.32199999999995</v>
      </c>
      <c r="G206" s="96">
        <f>G205+G204</f>
        <v>370.32300000000026</v>
      </c>
      <c r="H206" s="173">
        <f>G206</f>
        <v>370.32300000000026</v>
      </c>
      <c r="I206" s="96">
        <f t="shared" ref="I206:O206" si="121">I205+I204</f>
        <v>362.78700000000038</v>
      </c>
      <c r="J206" s="96">
        <f t="shared" si="121"/>
        <v>1696.2960000000003</v>
      </c>
      <c r="K206" s="96">
        <f t="shared" si="121"/>
        <v>1240.7179999999998</v>
      </c>
      <c r="L206" s="96">
        <f t="shared" si="121"/>
        <v>2175.4169999999999</v>
      </c>
      <c r="M206" s="173">
        <f t="shared" si="121"/>
        <v>2175.4169999999999</v>
      </c>
      <c r="N206" s="95">
        <f t="shared" si="121"/>
        <v>2528.1089999999999</v>
      </c>
      <c r="O206" s="96">
        <f t="shared" si="121"/>
        <v>434.76800000000003</v>
      </c>
      <c r="P206" s="239"/>
      <c r="Q206" s="339"/>
      <c r="R206" s="336"/>
      <c r="S206" s="239"/>
      <c r="T206" s="238"/>
      <c r="U206" s="238"/>
      <c r="V206" s="339"/>
      <c r="W206" s="336"/>
    </row>
    <row r="207" spans="2:24" s="57" customFormat="1" hidden="1" outlineLevel="1" x14ac:dyDescent="0.3">
      <c r="B207" s="331" t="s">
        <v>124</v>
      </c>
      <c r="C207" s="332"/>
      <c r="D207" s="280">
        <f>(D104+D105)/D31</f>
        <v>4.3222497856004045</v>
      </c>
      <c r="E207" s="194">
        <f>(E104+E105)/E31</f>
        <v>4.7539720861787496</v>
      </c>
      <c r="F207" s="194">
        <f>(F104+F105)/F31</f>
        <v>5.717358122453664</v>
      </c>
      <c r="G207" s="195">
        <f>(G104+G105)/G31</f>
        <v>6.5823119840852442</v>
      </c>
      <c r="H207" s="196">
        <f>(H104+H105)/H31</f>
        <v>6.6067475686375756</v>
      </c>
      <c r="I207" s="197">
        <f>(I104+I105)/I31</f>
        <v>5.8124215953688037</v>
      </c>
      <c r="J207" s="194">
        <f>(J104+J105)/J31</f>
        <v>16.156991902633163</v>
      </c>
      <c r="K207" s="198">
        <f>(K104+K105)/K31</f>
        <v>13.385426778282893</v>
      </c>
      <c r="L207" s="218">
        <f>(L104+L105)/L31</f>
        <v>14.188801640443542</v>
      </c>
      <c r="M207" s="275">
        <f>(M104+M105)/M31</f>
        <v>15.162197667535542</v>
      </c>
      <c r="N207" s="281">
        <f>(N104+N105)/N31</f>
        <v>14.674889322790806</v>
      </c>
      <c r="O207" s="281">
        <f>(O104+O105)/O31</f>
        <v>2.3373794933843333</v>
      </c>
      <c r="P207" s="361"/>
      <c r="Q207" s="362"/>
      <c r="R207" s="363"/>
      <c r="S207" s="361"/>
      <c r="T207" s="364"/>
      <c r="U207" s="341"/>
      <c r="V207" s="342"/>
      <c r="W207" s="338"/>
      <c r="X207" s="238"/>
    </row>
    <row r="208" spans="2:24" s="57" customFormat="1" ht="15" customHeight="1" collapsed="1" x14ac:dyDescent="0.3">
      <c r="B208" s="24"/>
      <c r="C208" s="156"/>
      <c r="D208" s="219">
        <f>ROUND((D206-D104),0)</f>
        <v>0</v>
      </c>
      <c r="E208" s="219">
        <f t="shared" ref="E208:O208" si="122">ROUND((E206-E104),0)</f>
        <v>0</v>
      </c>
      <c r="F208" s="219">
        <f t="shared" si="122"/>
        <v>0</v>
      </c>
      <c r="G208" s="219">
        <f t="shared" si="122"/>
        <v>0</v>
      </c>
      <c r="H208" s="219">
        <f t="shared" si="122"/>
        <v>0</v>
      </c>
      <c r="I208" s="219">
        <f t="shared" si="122"/>
        <v>0</v>
      </c>
      <c r="J208" s="219">
        <f t="shared" si="122"/>
        <v>0</v>
      </c>
      <c r="K208" s="219">
        <f t="shared" si="122"/>
        <v>0</v>
      </c>
      <c r="L208" s="219">
        <f t="shared" si="122"/>
        <v>0</v>
      </c>
      <c r="M208" s="219">
        <f t="shared" si="122"/>
        <v>0</v>
      </c>
      <c r="N208" s="219">
        <f t="shared" si="122"/>
        <v>0</v>
      </c>
      <c r="O208" s="219">
        <f t="shared" si="122"/>
        <v>0</v>
      </c>
      <c r="P208" s="45"/>
      <c r="Q208" s="45"/>
      <c r="R208" s="45"/>
      <c r="S208" s="45"/>
      <c r="T208" s="45"/>
      <c r="U208" s="45"/>
      <c r="V208" s="45"/>
      <c r="W208" s="45"/>
      <c r="X208" s="84"/>
    </row>
    <row r="209" spans="2:23" ht="15.6" x14ac:dyDescent="0.3">
      <c r="B209" s="291" t="s">
        <v>1</v>
      </c>
      <c r="C209" s="292"/>
      <c r="D209" s="14"/>
      <c r="E209" s="14"/>
      <c r="F209" s="56"/>
      <c r="G209" s="14"/>
      <c r="H209" s="22"/>
      <c r="I209" s="14"/>
      <c r="J209" s="56"/>
      <c r="K209" s="56"/>
      <c r="L209" s="14"/>
      <c r="M209" s="14"/>
      <c r="N209" s="14"/>
      <c r="O209" s="14"/>
      <c r="P209" s="14"/>
      <c r="Q209" s="14"/>
      <c r="R209" s="14"/>
      <c r="S209" s="14"/>
      <c r="T209" s="14"/>
      <c r="U209" s="14"/>
      <c r="V209" s="14"/>
      <c r="W209" s="14"/>
    </row>
    <row r="210" spans="2:23" x14ac:dyDescent="0.3">
      <c r="B210" s="26" t="s">
        <v>26</v>
      </c>
      <c r="C210" s="129">
        <v>34.548546937406861</v>
      </c>
      <c r="D210" s="142"/>
      <c r="E210" s="6"/>
      <c r="F210" s="6"/>
      <c r="G210" s="6"/>
      <c r="H210" s="34"/>
      <c r="I210" s="7"/>
      <c r="J210" s="8"/>
      <c r="K210" s="5"/>
      <c r="L210" s="5"/>
      <c r="M210" s="8"/>
      <c r="N210" s="7"/>
      <c r="O210" s="8"/>
      <c r="P210" s="5"/>
      <c r="Q210" s="5"/>
      <c r="R210" s="8"/>
      <c r="S210" s="7"/>
      <c r="T210" s="8"/>
      <c r="U210" s="5"/>
      <c r="V210" s="5"/>
      <c r="W210" s="8"/>
    </row>
    <row r="211" spans="2:23" x14ac:dyDescent="0.3">
      <c r="B211" s="26" t="s">
        <v>27</v>
      </c>
      <c r="C211" s="130">
        <v>36.436364545454545</v>
      </c>
      <c r="D211" s="143"/>
      <c r="E211" s="22"/>
      <c r="F211" s="22"/>
      <c r="G211" s="22"/>
      <c r="H211" s="34"/>
      <c r="I211" s="22"/>
      <c r="J211" s="22"/>
      <c r="K211" s="23"/>
      <c r="L211" s="23"/>
      <c r="M211" s="23"/>
      <c r="N211" s="22"/>
      <c r="O211" s="22"/>
      <c r="P211" s="23"/>
      <c r="Q211" s="23"/>
      <c r="R211" s="23"/>
      <c r="S211" s="22"/>
      <c r="T211" s="22"/>
      <c r="U211" s="23"/>
      <c r="V211" s="23"/>
      <c r="W211" s="23"/>
    </row>
    <row r="212" spans="2:23" x14ac:dyDescent="0.3">
      <c r="B212" s="26" t="s">
        <v>28</v>
      </c>
      <c r="C212" s="130">
        <v>31.977271363636362</v>
      </c>
      <c r="D212" s="143"/>
      <c r="E212" s="22"/>
      <c r="F212" s="30"/>
      <c r="G212" s="22"/>
      <c r="H212" s="34"/>
      <c r="I212" s="22"/>
      <c r="J212" s="22"/>
      <c r="K212" s="23"/>
      <c r="L212" s="23"/>
      <c r="M212" s="23"/>
      <c r="N212" s="22"/>
      <c r="O212" s="22"/>
      <c r="P212" s="23"/>
      <c r="Q212" s="23"/>
      <c r="R212" s="23"/>
      <c r="S212" s="22"/>
      <c r="T212" s="22"/>
      <c r="U212" s="23"/>
      <c r="V212" s="23"/>
      <c r="W212" s="23"/>
    </row>
    <row r="213" spans="2:23" x14ac:dyDescent="0.3">
      <c r="B213" s="26" t="s">
        <v>2</v>
      </c>
      <c r="C213" s="131">
        <v>33.549599999999998</v>
      </c>
      <c r="D213" s="143"/>
      <c r="E213" s="22"/>
      <c r="F213" s="22"/>
      <c r="G213" s="22"/>
      <c r="H213" s="34"/>
      <c r="I213" s="22"/>
      <c r="J213" s="22"/>
      <c r="K213" s="23"/>
      <c r="L213" s="23"/>
      <c r="M213" s="23"/>
      <c r="N213" s="22"/>
      <c r="O213" s="22"/>
      <c r="P213" s="23"/>
      <c r="Q213" s="23"/>
      <c r="R213" s="23"/>
      <c r="S213" s="22"/>
      <c r="T213" s="22"/>
      <c r="U213" s="23"/>
      <c r="V213" s="23"/>
      <c r="W213" s="23"/>
    </row>
    <row r="214" spans="2:23" s="29" customFormat="1" x14ac:dyDescent="0.3">
      <c r="B214" s="4" t="s">
        <v>32</v>
      </c>
      <c r="C214" s="35">
        <f>O207</f>
        <v>2.3373794933843333</v>
      </c>
      <c r="D214" s="143"/>
      <c r="E214" s="22"/>
      <c r="F214" s="22"/>
      <c r="G214" s="22"/>
      <c r="H214" s="34"/>
      <c r="I214" s="22"/>
      <c r="J214" s="22"/>
      <c r="K214" s="23"/>
      <c r="L214" s="23"/>
      <c r="M214" s="23"/>
      <c r="N214" s="22"/>
      <c r="O214" s="22"/>
      <c r="P214" s="23"/>
      <c r="Q214" s="23"/>
      <c r="R214" s="23"/>
      <c r="S214" s="22"/>
      <c r="T214" s="22"/>
      <c r="U214" s="23"/>
      <c r="V214" s="23"/>
      <c r="W214" s="23"/>
    </row>
    <row r="215" spans="2:23" x14ac:dyDescent="0.3">
      <c r="B215" s="15" t="s">
        <v>33</v>
      </c>
      <c r="C215" s="286">
        <f>(P33+Q33+S33+T33)*C213+C214</f>
        <v>150.00011534800441</v>
      </c>
      <c r="D215" s="144"/>
      <c r="E215" s="22"/>
      <c r="F215" s="22"/>
      <c r="G215" s="22"/>
      <c r="H215" s="34"/>
      <c r="I215" s="22"/>
      <c r="J215" s="22"/>
      <c r="K215" s="23"/>
      <c r="L215" s="23"/>
      <c r="M215" s="23"/>
      <c r="N215" s="22"/>
      <c r="O215" s="22"/>
      <c r="P215" s="23"/>
      <c r="Q215" s="23"/>
      <c r="R215" s="23"/>
      <c r="S215" s="22"/>
      <c r="T215" s="22"/>
      <c r="U215" s="23"/>
      <c r="V215" s="23"/>
      <c r="W215" s="23"/>
    </row>
    <row r="216" spans="2:23" s="29" customFormat="1" ht="109.2" customHeight="1" x14ac:dyDescent="0.3">
      <c r="B216" s="305" t="s">
        <v>230</v>
      </c>
      <c r="C216" s="306"/>
      <c r="D216" s="144"/>
      <c r="E216" s="22"/>
      <c r="F216" s="22"/>
      <c r="G216" s="22"/>
      <c r="H216" s="22"/>
      <c r="I216" s="22"/>
      <c r="J216" s="22"/>
      <c r="K216" s="23"/>
      <c r="L216" s="23"/>
      <c r="M216" s="23"/>
      <c r="N216" s="22"/>
      <c r="O216" s="22"/>
      <c r="P216" s="23"/>
      <c r="Q216" s="23"/>
      <c r="R216" s="23"/>
      <c r="S216" s="22"/>
      <c r="T216" s="22"/>
      <c r="U216" s="23"/>
      <c r="V216" s="23"/>
      <c r="W216" s="23"/>
    </row>
    <row r="217" spans="2:23" s="29" customFormat="1" ht="65.25" customHeight="1" x14ac:dyDescent="0.3">
      <c r="B217" s="303" t="s">
        <v>80</v>
      </c>
      <c r="C217" s="304"/>
      <c r="D217" s="144"/>
      <c r="E217" s="22"/>
      <c r="F217" s="22"/>
      <c r="G217" s="22"/>
      <c r="H217" s="22"/>
      <c r="I217" s="22"/>
      <c r="J217" s="22"/>
      <c r="K217" s="23"/>
      <c r="L217" s="23"/>
      <c r="M217" s="23"/>
      <c r="N217" s="22"/>
      <c r="O217" s="22"/>
      <c r="P217" s="23"/>
      <c r="Q217" s="23"/>
      <c r="R217" s="23"/>
      <c r="S217" s="22"/>
      <c r="T217" s="22"/>
      <c r="U217" s="23"/>
      <c r="V217" s="23"/>
      <c r="W217" s="23"/>
    </row>
    <row r="218" spans="2:23" x14ac:dyDescent="0.3">
      <c r="B218" s="12"/>
      <c r="C218" s="1"/>
      <c r="D218" s="9"/>
    </row>
    <row r="219" spans="2:23" ht="15.6" x14ac:dyDescent="0.3">
      <c r="B219" s="291" t="s">
        <v>88</v>
      </c>
      <c r="C219" s="292"/>
      <c r="D219" s="9"/>
    </row>
    <row r="220" spans="2:23" x14ac:dyDescent="0.3">
      <c r="B220" s="137" t="s">
        <v>84</v>
      </c>
      <c r="C220" s="146">
        <v>0.01</v>
      </c>
    </row>
    <row r="221" spans="2:23" s="57" customFormat="1" x14ac:dyDescent="0.3">
      <c r="B221" s="4" t="s">
        <v>85</v>
      </c>
      <c r="C221" s="147">
        <v>6.59E-2</v>
      </c>
      <c r="D221" s="1"/>
      <c r="E221" s="1"/>
      <c r="F221" s="1"/>
      <c r="G221" s="1"/>
      <c r="H221" s="1"/>
      <c r="I221" s="1"/>
      <c r="J221" s="1"/>
      <c r="K221" s="3"/>
      <c r="L221" s="3"/>
      <c r="M221" s="3"/>
      <c r="N221" s="1"/>
      <c r="O221" s="1"/>
      <c r="P221" s="3"/>
      <c r="Q221" s="3"/>
      <c r="R221" s="3"/>
      <c r="S221" s="1"/>
      <c r="T221" s="1"/>
      <c r="U221" s="3"/>
      <c r="V221" s="3"/>
      <c r="W221" s="3"/>
    </row>
    <row r="222" spans="2:23" s="57" customFormat="1" x14ac:dyDescent="0.3">
      <c r="B222" s="4" t="s">
        <v>89</v>
      </c>
      <c r="C222" s="138">
        <f>C215</f>
        <v>150.00011534800441</v>
      </c>
      <c r="D222" s="1"/>
      <c r="E222" s="1"/>
      <c r="F222" s="1"/>
      <c r="G222" s="1"/>
      <c r="H222" s="1"/>
      <c r="I222" s="1"/>
      <c r="J222" s="1"/>
      <c r="K222" s="3"/>
      <c r="L222" s="3"/>
      <c r="M222" s="3"/>
      <c r="N222" s="1"/>
      <c r="O222" s="1"/>
      <c r="P222" s="3"/>
      <c r="Q222" s="3"/>
      <c r="R222" s="3"/>
      <c r="S222" s="1"/>
      <c r="T222" s="1"/>
      <c r="U222" s="3"/>
      <c r="V222" s="3"/>
      <c r="W222" s="3"/>
    </row>
    <row r="223" spans="2:23" x14ac:dyDescent="0.3">
      <c r="B223" s="26" t="s">
        <v>86</v>
      </c>
      <c r="C223" s="138">
        <f>C222*(1+(C221+2*C220))</f>
        <v>162.885125256398</v>
      </c>
      <c r="H223" s="136"/>
    </row>
    <row r="224" spans="2:23" x14ac:dyDescent="0.3">
      <c r="B224" s="139" t="s">
        <v>87</v>
      </c>
      <c r="C224" s="140">
        <f>C222*(1-(C221+2*C220))</f>
        <v>137.11510543961083</v>
      </c>
      <c r="H224" s="135"/>
    </row>
    <row r="225" spans="2:23" s="57" customFormat="1" ht="15" customHeight="1" x14ac:dyDescent="0.3">
      <c r="B225" s="299" t="s">
        <v>231</v>
      </c>
      <c r="C225" s="300"/>
      <c r="D225" s="1"/>
      <c r="E225" s="1"/>
      <c r="F225" s="1"/>
      <c r="G225" s="1"/>
      <c r="H225" s="1"/>
      <c r="I225" s="1"/>
      <c r="J225" s="1"/>
      <c r="K225" s="3"/>
      <c r="L225" s="3"/>
      <c r="M225" s="3"/>
      <c r="N225" s="1"/>
      <c r="O225" s="1"/>
      <c r="P225" s="3"/>
      <c r="Q225" s="3"/>
      <c r="R225" s="3"/>
      <c r="S225" s="1"/>
      <c r="T225" s="1"/>
      <c r="U225" s="3"/>
      <c r="V225" s="3"/>
      <c r="W225" s="3"/>
    </row>
    <row r="226" spans="2:23" x14ac:dyDescent="0.3">
      <c r="B226" s="299"/>
      <c r="C226" s="300"/>
    </row>
    <row r="227" spans="2:23" x14ac:dyDescent="0.3">
      <c r="B227" s="299"/>
      <c r="C227" s="300"/>
    </row>
    <row r="228" spans="2:23" x14ac:dyDescent="0.3">
      <c r="B228" s="299"/>
      <c r="C228" s="300"/>
    </row>
    <row r="229" spans="2:23" x14ac:dyDescent="0.3">
      <c r="B229" s="299"/>
      <c r="C229" s="300"/>
    </row>
    <row r="230" spans="2:23" x14ac:dyDescent="0.3">
      <c r="B230" s="299"/>
      <c r="C230" s="300"/>
    </row>
    <row r="231" spans="2:23" x14ac:dyDescent="0.3">
      <c r="B231" s="299"/>
      <c r="C231" s="300"/>
    </row>
    <row r="232" spans="2:23" x14ac:dyDescent="0.3">
      <c r="B232" s="299"/>
      <c r="C232" s="300"/>
    </row>
    <row r="233" spans="2:23" x14ac:dyDescent="0.3">
      <c r="B233" s="299"/>
      <c r="C233" s="300"/>
    </row>
    <row r="234" spans="2:23" x14ac:dyDescent="0.3">
      <c r="B234" s="299"/>
      <c r="C234" s="300"/>
    </row>
    <row r="235" spans="2:23" x14ac:dyDescent="0.3">
      <c r="B235" s="299"/>
      <c r="C235" s="300"/>
    </row>
    <row r="236" spans="2:23" x14ac:dyDescent="0.3">
      <c r="B236" s="299"/>
      <c r="C236" s="300"/>
    </row>
    <row r="237" spans="2:23" x14ac:dyDescent="0.3">
      <c r="B237" s="299"/>
      <c r="C237" s="300"/>
    </row>
    <row r="238" spans="2:23" x14ac:dyDescent="0.3">
      <c r="B238" s="299"/>
      <c r="C238" s="300"/>
    </row>
    <row r="239" spans="2:23" x14ac:dyDescent="0.3">
      <c r="B239" s="299"/>
      <c r="C239" s="300"/>
    </row>
    <row r="240" spans="2:23" x14ac:dyDescent="0.3">
      <c r="B240" s="301"/>
      <c r="C240" s="302"/>
    </row>
    <row r="242" spans="2:2" x14ac:dyDescent="0.3">
      <c r="B242" s="148" t="s">
        <v>91</v>
      </c>
    </row>
  </sheetData>
  <dataConsolidate/>
  <mergeCells count="92">
    <mergeCell ref="B207:C207"/>
    <mergeCell ref="B202:C202"/>
    <mergeCell ref="B204:C204"/>
    <mergeCell ref="B205:C205"/>
    <mergeCell ref="B206:C206"/>
    <mergeCell ref="B196:C196"/>
    <mergeCell ref="B197:C197"/>
    <mergeCell ref="B198:C198"/>
    <mergeCell ref="B199:C199"/>
    <mergeCell ref="B182:C182"/>
    <mergeCell ref="B185:C185"/>
    <mergeCell ref="B195:C195"/>
    <mergeCell ref="B167:C167"/>
    <mergeCell ref="B168:C168"/>
    <mergeCell ref="B179:C179"/>
    <mergeCell ref="B180:C180"/>
    <mergeCell ref="B183:C183"/>
    <mergeCell ref="B181:C181"/>
    <mergeCell ref="B156:C156"/>
    <mergeCell ref="B157:C157"/>
    <mergeCell ref="B166:C166"/>
    <mergeCell ref="B152:C152"/>
    <mergeCell ref="B153:C153"/>
    <mergeCell ref="B154:C154"/>
    <mergeCell ref="B155:C155"/>
    <mergeCell ref="B127:C127"/>
    <mergeCell ref="B128:C128"/>
    <mergeCell ref="B105:C105"/>
    <mergeCell ref="B107:C107"/>
    <mergeCell ref="B112:C112"/>
    <mergeCell ref="B116:C116"/>
    <mergeCell ref="B117:C117"/>
    <mergeCell ref="B125:C125"/>
    <mergeCell ref="B126:C126"/>
    <mergeCell ref="B150:C150"/>
    <mergeCell ref="B141:C141"/>
    <mergeCell ref="B143:C143"/>
    <mergeCell ref="B144:C144"/>
    <mergeCell ref="B147:C147"/>
    <mergeCell ref="B149:C149"/>
    <mergeCell ref="B129:C129"/>
    <mergeCell ref="B135:C135"/>
    <mergeCell ref="B139:C139"/>
    <mergeCell ref="B140:C140"/>
    <mergeCell ref="B2:C2"/>
    <mergeCell ref="B95:C95"/>
    <mergeCell ref="B94:C94"/>
    <mergeCell ref="B3:C3"/>
    <mergeCell ref="B4:C4"/>
    <mergeCell ref="B5:C5"/>
    <mergeCell ref="B9:C9"/>
    <mergeCell ref="B29:C29"/>
    <mergeCell ref="B10:C10"/>
    <mergeCell ref="B27:C27"/>
    <mergeCell ref="B11:C11"/>
    <mergeCell ref="B26:C26"/>
    <mergeCell ref="B31:C31"/>
    <mergeCell ref="B30:C30"/>
    <mergeCell ref="B33:C33"/>
    <mergeCell ref="B12:C12"/>
    <mergeCell ref="B13:C13"/>
    <mergeCell ref="B19:C19"/>
    <mergeCell ref="B25:C25"/>
    <mergeCell ref="B15:C15"/>
    <mergeCell ref="B16:C16"/>
    <mergeCell ref="B21:C21"/>
    <mergeCell ref="B62:C62"/>
    <mergeCell ref="B57:C57"/>
    <mergeCell ref="B56:C56"/>
    <mergeCell ref="B38:C38"/>
    <mergeCell ref="B59:C59"/>
    <mergeCell ref="B58:C58"/>
    <mergeCell ref="B45:C45"/>
    <mergeCell ref="B44:C44"/>
    <mergeCell ref="B219:C219"/>
    <mergeCell ref="B225:C240"/>
    <mergeCell ref="B217:C217"/>
    <mergeCell ref="B209:C209"/>
    <mergeCell ref="B216:C216"/>
    <mergeCell ref="B32:C32"/>
    <mergeCell ref="B48:C48"/>
    <mergeCell ref="B49:C49"/>
    <mergeCell ref="B37:C37"/>
    <mergeCell ref="B34:C34"/>
    <mergeCell ref="B98:C98"/>
    <mergeCell ref="B97:C97"/>
    <mergeCell ref="B96:C96"/>
    <mergeCell ref="B100:C100"/>
    <mergeCell ref="B101:C101"/>
    <mergeCell ref="B102:C102"/>
    <mergeCell ref="B103:C103"/>
    <mergeCell ref="B104:C104"/>
  </mergeCells>
  <pageMargins left="0.7" right="0.7" top="0.75" bottom="0.75" header="0.3" footer="0.3"/>
  <pageSetup scale="40" orientation="landscape" r:id="rId1"/>
  <headerFooter>
    <oddFooter xml:space="preserve">&amp;CGutenberg Research LLC prohibits the redistribution of this document in whole or part without the written permission. 
© Gutenberg Research LLC 2016.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Earnings Model</vt:lpstr>
      <vt:lpstr>'Earnings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cp:lastModifiedBy>
  <cp:lastPrinted>2016-03-31T01:20:23Z</cp:lastPrinted>
  <dcterms:created xsi:type="dcterms:W3CDTF">2014-10-18T18:34:10Z</dcterms:created>
  <dcterms:modified xsi:type="dcterms:W3CDTF">2016-10-08T12:35:23Z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