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Admin\Documents\Gutenberg\4-MODELS\NFLX Netflix\5 - Review (after 3Q2019 10-16-2019)\"/>
    </mc:Choice>
  </mc:AlternateContent>
  <xr:revisionPtr revIDLastSave="0" documentId="13_ncr:1_{1D594B8A-D138-4EC4-92DD-A8B46CE18FAB}" xr6:coauthVersionLast="45" xr6:coauthVersionMax="45" xr10:uidLastSave="{00000000-0000-0000-0000-000000000000}"/>
  <bookViews>
    <workbookView xWindow="1950" yWindow="825" windowWidth="31890" windowHeight="20775" activeTab="1" xr2:uid="{00000000-000D-0000-FFFF-FFFF00000000}"/>
  </bookViews>
  <sheets>
    <sheet name="Instructions" sheetId="30" r:id="rId1"/>
    <sheet name="Earnings Model" sheetId="3" r:id="rId2"/>
    <sheet name="Charts" sheetId="21" r:id="rId3"/>
    <sheet name="Std Dev" sheetId="29" r:id="rId4"/>
  </sheets>
  <definedNames>
    <definedName name="DATA" localSheetId="2">#REF!</definedName>
    <definedName name="DATA">#REF!</definedName>
    <definedName name="_xlnm.Print_Area" localSheetId="1">'Earnings Model'!$B$2:$AQ$250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 i="29" l="1"/>
  <c r="U97" i="3" l="1"/>
  <c r="U96" i="3"/>
  <c r="U93" i="3"/>
  <c r="U90" i="3"/>
  <c r="U89" i="3"/>
  <c r="U77" i="3"/>
  <c r="U72" i="3"/>
  <c r="U64" i="3"/>
  <c r="U58" i="3"/>
  <c r="U49" i="3"/>
  <c r="U43" i="3"/>
  <c r="U103" i="3"/>
  <c r="U145" i="3"/>
  <c r="U142" i="3"/>
  <c r="U143" i="3" s="1"/>
  <c r="U141" i="3"/>
  <c r="U140" i="3"/>
  <c r="U138" i="3"/>
  <c r="U208" i="3"/>
  <c r="U207" i="3"/>
  <c r="U206" i="3"/>
  <c r="U205" i="3"/>
  <c r="U160" i="3"/>
  <c r="I5" i="29" l="1"/>
  <c r="I6" i="29"/>
  <c r="I7" i="29"/>
  <c r="I8" i="29"/>
  <c r="I9" i="29"/>
  <c r="I10" i="29"/>
  <c r="I11" i="29"/>
  <c r="I12" i="29"/>
  <c r="I13" i="29"/>
  <c r="I14" i="29"/>
  <c r="I15" i="29"/>
  <c r="I16" i="29"/>
  <c r="H60" i="3"/>
  <c r="H55" i="3"/>
  <c r="M60" i="3"/>
  <c r="M55" i="3"/>
  <c r="R60" i="3"/>
  <c r="R55" i="3"/>
  <c r="Y55" i="3"/>
  <c r="Z55" i="3"/>
  <c r="Z59" i="3" s="1"/>
  <c r="X55" i="3"/>
  <c r="AA62" i="3"/>
  <c r="Z62" i="3"/>
  <c r="Y62" i="3"/>
  <c r="X62" i="3"/>
  <c r="V62" i="3"/>
  <c r="S62" i="3"/>
  <c r="X40" i="3"/>
  <c r="Y40" i="3"/>
  <c r="Y44" i="3" s="1"/>
  <c r="Z40" i="3"/>
  <c r="Z44" i="3"/>
  <c r="AA47" i="3"/>
  <c r="Z47" i="3"/>
  <c r="Y47" i="3"/>
  <c r="X47" i="3"/>
  <c r="V47" i="3"/>
  <c r="H45" i="3"/>
  <c r="H40" i="3"/>
  <c r="M45" i="3"/>
  <c r="M40" i="3"/>
  <c r="R45" i="3"/>
  <c r="R40" i="3"/>
  <c r="U44" i="3"/>
  <c r="U59" i="3"/>
  <c r="U16" i="3"/>
  <c r="U21" i="3"/>
  <c r="R18" i="3"/>
  <c r="R21" i="3" s="1"/>
  <c r="R19" i="3"/>
  <c r="R20" i="3"/>
  <c r="M18" i="3"/>
  <c r="M19" i="3"/>
  <c r="M20" i="3"/>
  <c r="M21" i="3"/>
  <c r="H18" i="3"/>
  <c r="H21" i="3" s="1"/>
  <c r="H19" i="3"/>
  <c r="H20" i="3"/>
  <c r="H26" i="3"/>
  <c r="H27" i="3"/>
  <c r="T103" i="3"/>
  <c r="V40" i="3"/>
  <c r="X44" i="3" s="1"/>
  <c r="V55" i="3"/>
  <c r="W55" i="3" s="1"/>
  <c r="T145" i="3"/>
  <c r="T143" i="3"/>
  <c r="T142" i="3"/>
  <c r="T141" i="3"/>
  <c r="T139" i="3"/>
  <c r="T138" i="3"/>
  <c r="T137" i="3"/>
  <c r="T205" i="3"/>
  <c r="T206" i="3"/>
  <c r="T207" i="3"/>
  <c r="T208" i="3"/>
  <c r="S160" i="3"/>
  <c r="T160" i="3"/>
  <c r="T97" i="3"/>
  <c r="T96" i="3"/>
  <c r="T131" i="3"/>
  <c r="T144" i="3" s="1"/>
  <c r="T182" i="3"/>
  <c r="T175" i="3"/>
  <c r="T93" i="3"/>
  <c r="T89" i="3"/>
  <c r="T90" i="3"/>
  <c r="T77" i="3"/>
  <c r="T72" i="3"/>
  <c r="T64" i="3"/>
  <c r="T61" i="3"/>
  <c r="T62" i="3" s="1"/>
  <c r="T58" i="3"/>
  <c r="T49" i="3"/>
  <c r="T46" i="3"/>
  <c r="T47" i="3" s="1"/>
  <c r="T43" i="3"/>
  <c r="T21" i="3"/>
  <c r="O72" i="3"/>
  <c r="P72" i="3"/>
  <c r="Q72" i="3"/>
  <c r="S72" i="3"/>
  <c r="X72" i="3" s="1"/>
  <c r="T44" i="3"/>
  <c r="T51" i="3" s="1"/>
  <c r="T59" i="3"/>
  <c r="T66" i="3" s="1"/>
  <c r="T73" i="3"/>
  <c r="T75" i="3" s="1"/>
  <c r="O206" i="3"/>
  <c r="P206" i="3"/>
  <c r="Q206" i="3"/>
  <c r="S206" i="3"/>
  <c r="S137" i="3"/>
  <c r="U73" i="3"/>
  <c r="R169" i="3"/>
  <c r="V70" i="3"/>
  <c r="V73" i="3" s="1"/>
  <c r="V74" i="3" s="1"/>
  <c r="S139" i="3"/>
  <c r="O138" i="3"/>
  <c r="P138" i="3"/>
  <c r="Q138" i="3"/>
  <c r="S138" i="3"/>
  <c r="O207" i="3"/>
  <c r="P207" i="3"/>
  <c r="Q207" i="3"/>
  <c r="S207" i="3"/>
  <c r="T16" i="3"/>
  <c r="T22" i="3" s="1"/>
  <c r="T28" i="3" s="1"/>
  <c r="O89" i="3"/>
  <c r="P89" i="3"/>
  <c r="Q89" i="3"/>
  <c r="S89" i="3"/>
  <c r="X89" i="3" s="1"/>
  <c r="Y89" i="3" s="1"/>
  <c r="Z89" i="3" s="1"/>
  <c r="O90" i="3"/>
  <c r="P90" i="3"/>
  <c r="Q90" i="3"/>
  <c r="S90" i="3"/>
  <c r="X90" i="3" s="1"/>
  <c r="Y90" i="3" s="1"/>
  <c r="Z90" i="3" s="1"/>
  <c r="AA90" i="3" s="1"/>
  <c r="O93" i="3"/>
  <c r="P93" i="3"/>
  <c r="Q93" i="3"/>
  <c r="S93" i="3"/>
  <c r="S182" i="3"/>
  <c r="S109" i="3"/>
  <c r="S172" i="3" s="1"/>
  <c r="S175" i="3"/>
  <c r="S16" i="3"/>
  <c r="S22" i="3" s="1"/>
  <c r="S91" i="3" s="1"/>
  <c r="S21" i="3"/>
  <c r="R177" i="3"/>
  <c r="R178" i="3"/>
  <c r="R179" i="3"/>
  <c r="R180" i="3"/>
  <c r="R181" i="3"/>
  <c r="R182" i="3"/>
  <c r="R170" i="3"/>
  <c r="R171" i="3"/>
  <c r="R172" i="3"/>
  <c r="R173" i="3"/>
  <c r="R174" i="3"/>
  <c r="R14" i="3"/>
  <c r="R15" i="3"/>
  <c r="R16" i="3" s="1"/>
  <c r="R26" i="3"/>
  <c r="R27" i="3"/>
  <c r="R29" i="3"/>
  <c r="R151" i="3"/>
  <c r="R152" i="3"/>
  <c r="R153" i="3"/>
  <c r="R154" i="3"/>
  <c r="R155" i="3"/>
  <c r="R156" i="3"/>
  <c r="R157" i="3"/>
  <c r="R158" i="3"/>
  <c r="R159" i="3"/>
  <c r="R160" i="3"/>
  <c r="R162" i="3"/>
  <c r="R163" i="3"/>
  <c r="R164" i="3"/>
  <c r="R165" i="3"/>
  <c r="R166" i="3"/>
  <c r="R183" i="3"/>
  <c r="M177" i="3"/>
  <c r="M182" i="3" s="1"/>
  <c r="M178" i="3"/>
  <c r="M179" i="3"/>
  <c r="M180" i="3"/>
  <c r="M181" i="3"/>
  <c r="M169" i="3"/>
  <c r="M170" i="3"/>
  <c r="M171" i="3"/>
  <c r="M172" i="3"/>
  <c r="M173" i="3"/>
  <c r="M174" i="3"/>
  <c r="M14" i="3"/>
  <c r="M15" i="3"/>
  <c r="M16" i="3"/>
  <c r="M22" i="3" s="1"/>
  <c r="M28" i="3" s="1"/>
  <c r="M30" i="3" s="1"/>
  <c r="M150" i="3" s="1"/>
  <c r="M167" i="3" s="1"/>
  <c r="M190" i="3" s="1"/>
  <c r="M26" i="3"/>
  <c r="M27" i="3"/>
  <c r="M29" i="3"/>
  <c r="M151" i="3"/>
  <c r="M152" i="3"/>
  <c r="M153" i="3"/>
  <c r="M154" i="3"/>
  <c r="M155" i="3"/>
  <c r="M156" i="3"/>
  <c r="M157" i="3"/>
  <c r="M158" i="3"/>
  <c r="M159" i="3"/>
  <c r="M160" i="3"/>
  <c r="M162" i="3"/>
  <c r="M163" i="3"/>
  <c r="M164" i="3"/>
  <c r="M165" i="3"/>
  <c r="M166" i="3"/>
  <c r="M183" i="3"/>
  <c r="H177" i="3"/>
  <c r="H178" i="3"/>
  <c r="H179" i="3"/>
  <c r="H180" i="3"/>
  <c r="H181" i="3"/>
  <c r="H169" i="3"/>
  <c r="H170" i="3"/>
  <c r="H171" i="3"/>
  <c r="H193" i="3" s="1"/>
  <c r="H172" i="3"/>
  <c r="H173" i="3"/>
  <c r="H174" i="3"/>
  <c r="H175" i="3"/>
  <c r="H14" i="3"/>
  <c r="H16" i="3" s="1"/>
  <c r="H15" i="3"/>
  <c r="H29" i="3"/>
  <c r="H151" i="3"/>
  <c r="H152" i="3"/>
  <c r="H153" i="3"/>
  <c r="H154" i="3"/>
  <c r="H155" i="3"/>
  <c r="H156" i="3"/>
  <c r="H157" i="3"/>
  <c r="H158" i="3"/>
  <c r="H159" i="3"/>
  <c r="H160" i="3"/>
  <c r="H162" i="3"/>
  <c r="H163" i="3"/>
  <c r="H164" i="3"/>
  <c r="H165" i="3"/>
  <c r="H166" i="3"/>
  <c r="H183" i="3"/>
  <c r="H185" i="3"/>
  <c r="O94" i="3"/>
  <c r="P94" i="3"/>
  <c r="Q94" i="3"/>
  <c r="O208" i="3"/>
  <c r="P208" i="3"/>
  <c r="Q208" i="3"/>
  <c r="S208" i="3"/>
  <c r="O145" i="3"/>
  <c r="P145" i="3"/>
  <c r="Q145" i="3"/>
  <c r="S145" i="3"/>
  <c r="J142" i="3"/>
  <c r="O142" i="3"/>
  <c r="S140" i="3"/>
  <c r="S141" i="3"/>
  <c r="V93" i="3"/>
  <c r="X93" i="3" s="1"/>
  <c r="Y93" i="3" s="1"/>
  <c r="U172" i="3"/>
  <c r="U175" i="3" s="1"/>
  <c r="K142" i="3"/>
  <c r="P142" i="3"/>
  <c r="L142" i="3"/>
  <c r="Q142" i="3"/>
  <c r="N142" i="3"/>
  <c r="S142" i="3"/>
  <c r="S199" i="3"/>
  <c r="O205" i="3"/>
  <c r="P205" i="3"/>
  <c r="Q205" i="3"/>
  <c r="S205" i="3"/>
  <c r="E139" i="3"/>
  <c r="F139" i="3"/>
  <c r="G139" i="3"/>
  <c r="I139" i="3"/>
  <c r="J139" i="3"/>
  <c r="K139" i="3"/>
  <c r="L139" i="3"/>
  <c r="N139" i="3"/>
  <c r="O139" i="3"/>
  <c r="P139" i="3"/>
  <c r="Q139" i="3"/>
  <c r="D139" i="3"/>
  <c r="N138" i="3"/>
  <c r="L138" i="3"/>
  <c r="K138" i="3"/>
  <c r="J138" i="3"/>
  <c r="I138" i="3"/>
  <c r="E138" i="3"/>
  <c r="F138" i="3"/>
  <c r="G138" i="3"/>
  <c r="D138" i="3"/>
  <c r="S131" i="3"/>
  <c r="S144" i="3"/>
  <c r="S143" i="3"/>
  <c r="S103" i="3"/>
  <c r="S97" i="3"/>
  <c r="S96" i="3"/>
  <c r="V96" i="3" s="1"/>
  <c r="V31" i="3" s="1"/>
  <c r="S77" i="3"/>
  <c r="S73" i="3"/>
  <c r="S75" i="3" s="1"/>
  <c r="S59" i="3"/>
  <c r="S66" i="3"/>
  <c r="S64" i="3"/>
  <c r="S61" i="3"/>
  <c r="S58" i="3"/>
  <c r="S44" i="3"/>
  <c r="S46" i="3" s="1"/>
  <c r="S47" i="3" s="1"/>
  <c r="S51" i="3"/>
  <c r="S49" i="3"/>
  <c r="S43" i="3"/>
  <c r="Q198" i="3"/>
  <c r="Q200" i="3" s="1"/>
  <c r="Q199" i="3"/>
  <c r="N145" i="3"/>
  <c r="N208" i="3"/>
  <c r="N72" i="3"/>
  <c r="N89" i="3"/>
  <c r="N90" i="3"/>
  <c r="N103" i="3"/>
  <c r="O103" i="3"/>
  <c r="P103" i="3"/>
  <c r="Q103" i="3"/>
  <c r="V103" i="3"/>
  <c r="X103" i="3" s="1"/>
  <c r="Q131" i="3"/>
  <c r="Q144" i="3" s="1"/>
  <c r="N207" i="3"/>
  <c r="N93" i="3"/>
  <c r="Q137" i="3"/>
  <c r="N205" i="3"/>
  <c r="N206" i="3"/>
  <c r="I142" i="3"/>
  <c r="Q140" i="3"/>
  <c r="Q141" i="3"/>
  <c r="N97" i="3"/>
  <c r="O97" i="3"/>
  <c r="P97" i="3"/>
  <c r="Q97" i="3"/>
  <c r="V97" i="3"/>
  <c r="V32" i="3" s="1"/>
  <c r="R187" i="3"/>
  <c r="R108" i="3"/>
  <c r="R198" i="3" s="1"/>
  <c r="R109" i="3"/>
  <c r="D198" i="3"/>
  <c r="D200" i="3" s="1"/>
  <c r="E198" i="3"/>
  <c r="F198" i="3"/>
  <c r="G198" i="3"/>
  <c r="H108" i="3"/>
  <c r="H198" i="3" s="1"/>
  <c r="H109" i="3"/>
  <c r="I198" i="3"/>
  <c r="J198" i="3"/>
  <c r="K198" i="3"/>
  <c r="K200" i="3" s="1"/>
  <c r="L198" i="3"/>
  <c r="M108" i="3"/>
  <c r="M109" i="3"/>
  <c r="M198" i="3"/>
  <c r="M200" i="3" s="1"/>
  <c r="N198" i="3"/>
  <c r="O198" i="3"/>
  <c r="P198" i="3"/>
  <c r="R124" i="3"/>
  <c r="R199" i="3" s="1"/>
  <c r="E16" i="3"/>
  <c r="E22" i="3" s="1"/>
  <c r="E23" i="3" s="1"/>
  <c r="E21" i="3"/>
  <c r="E24" i="3"/>
  <c r="H24" i="3" s="1"/>
  <c r="E25" i="3"/>
  <c r="E35" i="3" s="1"/>
  <c r="F16" i="3"/>
  <c r="F21" i="3"/>
  <c r="F22" i="3"/>
  <c r="F23" i="3" s="1"/>
  <c r="F24" i="3"/>
  <c r="F25" i="3"/>
  <c r="F35" i="3" s="1"/>
  <c r="G16" i="3"/>
  <c r="G21" i="3"/>
  <c r="G22" i="3"/>
  <c r="G23" i="3" s="1"/>
  <c r="G25" i="3" s="1"/>
  <c r="G35" i="3" s="1"/>
  <c r="G24" i="3"/>
  <c r="D24" i="3"/>
  <c r="I16" i="3"/>
  <c r="I21" i="3"/>
  <c r="I22" i="3"/>
  <c r="I23" i="3"/>
  <c r="I25" i="3" s="1"/>
  <c r="I35" i="3" s="1"/>
  <c r="I24" i="3"/>
  <c r="J16" i="3"/>
  <c r="J22" i="3" s="1"/>
  <c r="J21" i="3"/>
  <c r="J23" i="3"/>
  <c r="J25" i="3" s="1"/>
  <c r="J35" i="3" s="1"/>
  <c r="J24" i="3"/>
  <c r="K16" i="3"/>
  <c r="K21" i="3"/>
  <c r="K24" i="3"/>
  <c r="L16" i="3"/>
  <c r="L22" i="3" s="1"/>
  <c r="L91" i="3" s="1"/>
  <c r="L21" i="3"/>
  <c r="L23" i="3"/>
  <c r="L25" i="3" s="1"/>
  <c r="L35" i="3" s="1"/>
  <c r="L24" i="3"/>
  <c r="M23" i="3"/>
  <c r="M25" i="3" s="1"/>
  <c r="M35" i="3" s="1"/>
  <c r="M24" i="3"/>
  <c r="N16" i="3"/>
  <c r="N22" i="3" s="1"/>
  <c r="N21" i="3"/>
  <c r="N24" i="3"/>
  <c r="R24" i="3" s="1"/>
  <c r="O16" i="3"/>
  <c r="O21" i="3"/>
  <c r="O22" i="3" s="1"/>
  <c r="O24" i="3"/>
  <c r="P16" i="3"/>
  <c r="P21" i="3"/>
  <c r="P22" i="3"/>
  <c r="P23" i="3" s="1"/>
  <c r="P25" i="3" s="1"/>
  <c r="P35" i="3" s="1"/>
  <c r="P24" i="3"/>
  <c r="Q16" i="3"/>
  <c r="Q22" i="3" s="1"/>
  <c r="Q21" i="3"/>
  <c r="Q24" i="3"/>
  <c r="S23" i="3"/>
  <c r="S25" i="3" s="1"/>
  <c r="S35" i="3" s="1"/>
  <c r="S24" i="3"/>
  <c r="T24" i="3"/>
  <c r="U24" i="3"/>
  <c r="D16" i="3"/>
  <c r="D22" i="3" s="1"/>
  <c r="D91" i="3" s="1"/>
  <c r="D21" i="3"/>
  <c r="D23" i="3"/>
  <c r="D25" i="3" s="1"/>
  <c r="D35" i="3" s="1"/>
  <c r="Q77" i="3"/>
  <c r="Q78" i="3"/>
  <c r="N94" i="3"/>
  <c r="J94" i="3"/>
  <c r="L94" i="3"/>
  <c r="K94" i="3"/>
  <c r="L93" i="3"/>
  <c r="K93" i="3"/>
  <c r="J93" i="3"/>
  <c r="I94" i="3"/>
  <c r="I93" i="3"/>
  <c r="F93" i="3"/>
  <c r="G93" i="3"/>
  <c r="F94" i="3"/>
  <c r="G94" i="3"/>
  <c r="E94" i="3"/>
  <c r="E93" i="3"/>
  <c r="D199" i="3"/>
  <c r="E199" i="3"/>
  <c r="F199" i="3"/>
  <c r="G199" i="3"/>
  <c r="I199" i="3"/>
  <c r="J199" i="3"/>
  <c r="K199" i="3"/>
  <c r="L199" i="3"/>
  <c r="N199" i="3"/>
  <c r="O199" i="3"/>
  <c r="P199" i="3"/>
  <c r="P140" i="3"/>
  <c r="O140" i="3"/>
  <c r="N140" i="3"/>
  <c r="I140" i="3"/>
  <c r="F140" i="3"/>
  <c r="G140" i="3"/>
  <c r="J140" i="3"/>
  <c r="K140" i="3"/>
  <c r="L140" i="3"/>
  <c r="E140" i="3"/>
  <c r="P141" i="3"/>
  <c r="O141" i="3"/>
  <c r="N141" i="3"/>
  <c r="I141" i="3"/>
  <c r="F141" i="3"/>
  <c r="G141" i="3"/>
  <c r="J141" i="3"/>
  <c r="K141" i="3"/>
  <c r="L141" i="3"/>
  <c r="E141" i="3"/>
  <c r="D206" i="3"/>
  <c r="E206" i="3"/>
  <c r="F206" i="3"/>
  <c r="G206" i="3"/>
  <c r="I206" i="3"/>
  <c r="J206" i="3"/>
  <c r="K206" i="3"/>
  <c r="L206" i="3"/>
  <c r="E137" i="3"/>
  <c r="F137" i="3"/>
  <c r="G137" i="3"/>
  <c r="I137" i="3"/>
  <c r="J137" i="3"/>
  <c r="K137" i="3"/>
  <c r="L137" i="3"/>
  <c r="N137" i="3"/>
  <c r="O137" i="3"/>
  <c r="P137" i="3"/>
  <c r="D137" i="3"/>
  <c r="E205" i="3"/>
  <c r="F205" i="3"/>
  <c r="G205" i="3"/>
  <c r="I205" i="3"/>
  <c r="J205" i="3"/>
  <c r="K205" i="3"/>
  <c r="L205" i="3"/>
  <c r="D205" i="3"/>
  <c r="E103" i="3"/>
  <c r="F103" i="3"/>
  <c r="G103" i="3"/>
  <c r="I103" i="3"/>
  <c r="J103" i="3"/>
  <c r="K103" i="3"/>
  <c r="L103" i="3"/>
  <c r="D103" i="3"/>
  <c r="E89" i="3"/>
  <c r="F89" i="3"/>
  <c r="G89" i="3"/>
  <c r="I89" i="3"/>
  <c r="J89" i="3"/>
  <c r="K89" i="3"/>
  <c r="L89" i="3"/>
  <c r="E90" i="3"/>
  <c r="F90" i="3"/>
  <c r="G90" i="3"/>
  <c r="I90" i="3"/>
  <c r="J90" i="3"/>
  <c r="K90" i="3"/>
  <c r="L90" i="3"/>
  <c r="D90" i="3"/>
  <c r="D89" i="3"/>
  <c r="E191" i="3"/>
  <c r="F191" i="3"/>
  <c r="G191" i="3"/>
  <c r="I191" i="3"/>
  <c r="J191" i="3"/>
  <c r="K191" i="3"/>
  <c r="L191" i="3"/>
  <c r="N191" i="3"/>
  <c r="O191" i="3"/>
  <c r="P191" i="3"/>
  <c r="Q191" i="3"/>
  <c r="S191" i="3"/>
  <c r="T191" i="3"/>
  <c r="E192" i="3"/>
  <c r="F192" i="3"/>
  <c r="G192" i="3"/>
  <c r="I192" i="3"/>
  <c r="J192" i="3"/>
  <c r="K192" i="3"/>
  <c r="L192" i="3"/>
  <c r="N192" i="3"/>
  <c r="O192" i="3"/>
  <c r="P192" i="3"/>
  <c r="Q192" i="3"/>
  <c r="E193" i="3"/>
  <c r="F193" i="3"/>
  <c r="G193" i="3"/>
  <c r="I193" i="3"/>
  <c r="J193" i="3"/>
  <c r="K193" i="3"/>
  <c r="L193" i="3"/>
  <c r="N193" i="3"/>
  <c r="O193" i="3"/>
  <c r="P193" i="3"/>
  <c r="Q193" i="3"/>
  <c r="S193" i="3"/>
  <c r="T193" i="3"/>
  <c r="U193" i="3"/>
  <c r="D193" i="3"/>
  <c r="D192" i="3"/>
  <c r="D191" i="3"/>
  <c r="E182" i="3"/>
  <c r="F182" i="3"/>
  <c r="G182" i="3"/>
  <c r="I182" i="3"/>
  <c r="J182" i="3"/>
  <c r="K182" i="3"/>
  <c r="L182" i="3"/>
  <c r="N182" i="3"/>
  <c r="O182" i="3"/>
  <c r="P182" i="3"/>
  <c r="Q182" i="3"/>
  <c r="D182" i="3"/>
  <c r="E175" i="3"/>
  <c r="F175" i="3"/>
  <c r="G175" i="3"/>
  <c r="I175" i="3"/>
  <c r="J175" i="3"/>
  <c r="K175" i="3"/>
  <c r="L175" i="3"/>
  <c r="N175" i="3"/>
  <c r="O175" i="3"/>
  <c r="P175" i="3"/>
  <c r="Q175" i="3"/>
  <c r="D175" i="3"/>
  <c r="R193" i="3"/>
  <c r="R192" i="3"/>
  <c r="M193" i="3"/>
  <c r="M192" i="3"/>
  <c r="M191" i="3"/>
  <c r="H192" i="3"/>
  <c r="H191" i="3"/>
  <c r="R123" i="3"/>
  <c r="M124" i="3"/>
  <c r="M199" i="3" s="1"/>
  <c r="M123" i="3"/>
  <c r="H124" i="3"/>
  <c r="H199" i="3" s="1"/>
  <c r="H123" i="3"/>
  <c r="R118" i="3"/>
  <c r="R122" i="3" s="1"/>
  <c r="R126" i="3" s="1"/>
  <c r="M118" i="3"/>
  <c r="H118" i="3"/>
  <c r="R113" i="3"/>
  <c r="M113" i="3"/>
  <c r="H113" i="3"/>
  <c r="R110" i="3"/>
  <c r="M110" i="3"/>
  <c r="H110" i="3"/>
  <c r="H130" i="3"/>
  <c r="E122" i="3"/>
  <c r="F122" i="3"/>
  <c r="G122" i="3"/>
  <c r="G126" i="3" s="1"/>
  <c r="G132" i="3" s="1"/>
  <c r="G133" i="3" s="1"/>
  <c r="I122" i="3"/>
  <c r="J122" i="3"/>
  <c r="K122" i="3"/>
  <c r="L122" i="3"/>
  <c r="L126" i="3" s="1"/>
  <c r="N122" i="3"/>
  <c r="O122" i="3"/>
  <c r="P122" i="3"/>
  <c r="Q122" i="3"/>
  <c r="Q126" i="3" s="1"/>
  <c r="Q132" i="3" s="1"/>
  <c r="Q133" i="3" s="1"/>
  <c r="D122" i="3"/>
  <c r="E81" i="3"/>
  <c r="F81" i="3"/>
  <c r="G81" i="3"/>
  <c r="I81" i="3"/>
  <c r="J81" i="3"/>
  <c r="K81" i="3"/>
  <c r="L81" i="3"/>
  <c r="N81" i="3"/>
  <c r="O81" i="3"/>
  <c r="P81" i="3"/>
  <c r="Q81" i="3"/>
  <c r="E82" i="3"/>
  <c r="F82" i="3"/>
  <c r="G82" i="3"/>
  <c r="I82" i="3"/>
  <c r="J82" i="3"/>
  <c r="K82" i="3"/>
  <c r="L82" i="3"/>
  <c r="N82" i="3"/>
  <c r="O82" i="3"/>
  <c r="P82" i="3"/>
  <c r="Q82" i="3"/>
  <c r="E83" i="3"/>
  <c r="F83" i="3"/>
  <c r="G83" i="3"/>
  <c r="I83" i="3"/>
  <c r="J83" i="3"/>
  <c r="K83" i="3"/>
  <c r="L83" i="3"/>
  <c r="N83" i="3"/>
  <c r="O83" i="3"/>
  <c r="P83" i="3"/>
  <c r="Q83" i="3"/>
  <c r="D83" i="3"/>
  <c r="D82" i="3"/>
  <c r="D81" i="3"/>
  <c r="E78" i="3"/>
  <c r="E79" i="3" s="1"/>
  <c r="F78" i="3"/>
  <c r="F79" i="3" s="1"/>
  <c r="G78" i="3"/>
  <c r="G79" i="3" s="1"/>
  <c r="I78" i="3"/>
  <c r="I79" i="3"/>
  <c r="J78" i="3"/>
  <c r="J79" i="3" s="1"/>
  <c r="K78" i="3"/>
  <c r="K79" i="3"/>
  <c r="L78" i="3"/>
  <c r="L79" i="3" s="1"/>
  <c r="N78" i="3"/>
  <c r="N79" i="3"/>
  <c r="O78" i="3"/>
  <c r="O79" i="3" s="1"/>
  <c r="P78" i="3"/>
  <c r="P79" i="3"/>
  <c r="D78" i="3"/>
  <c r="D79" i="3" s="1"/>
  <c r="P77" i="3"/>
  <c r="O77" i="3"/>
  <c r="N77" i="3"/>
  <c r="L77" i="3"/>
  <c r="K77" i="3"/>
  <c r="J77" i="3"/>
  <c r="I77" i="3"/>
  <c r="G77" i="3"/>
  <c r="F77" i="3"/>
  <c r="E77" i="3"/>
  <c r="D77" i="3"/>
  <c r="Q73" i="3"/>
  <c r="P73" i="3"/>
  <c r="P75" i="3"/>
  <c r="O73" i="3"/>
  <c r="O75" i="3" s="1"/>
  <c r="N73" i="3"/>
  <c r="N75" i="3"/>
  <c r="L73" i="3"/>
  <c r="K73" i="3"/>
  <c r="K75" i="3"/>
  <c r="J73" i="3"/>
  <c r="J75" i="3" s="1"/>
  <c r="I73" i="3"/>
  <c r="I75" i="3"/>
  <c r="G73" i="3"/>
  <c r="G75" i="3" s="1"/>
  <c r="F73" i="3"/>
  <c r="F75" i="3" s="1"/>
  <c r="E73" i="3"/>
  <c r="E75" i="3"/>
  <c r="L72" i="3"/>
  <c r="K72" i="3"/>
  <c r="J72" i="3"/>
  <c r="I72" i="3"/>
  <c r="Q67" i="3"/>
  <c r="Q68" i="3" s="1"/>
  <c r="P67" i="3"/>
  <c r="P68" i="3"/>
  <c r="O67" i="3"/>
  <c r="O68" i="3" s="1"/>
  <c r="N67" i="3"/>
  <c r="N68" i="3"/>
  <c r="L67" i="3"/>
  <c r="L68" i="3" s="1"/>
  <c r="K67" i="3"/>
  <c r="K68" i="3"/>
  <c r="J67" i="3"/>
  <c r="J68" i="3" s="1"/>
  <c r="I67" i="3"/>
  <c r="I68" i="3"/>
  <c r="G67" i="3"/>
  <c r="G68" i="3" s="1"/>
  <c r="F67" i="3"/>
  <c r="F68" i="3"/>
  <c r="E67" i="3"/>
  <c r="E68" i="3" s="1"/>
  <c r="D67" i="3"/>
  <c r="D68" i="3"/>
  <c r="Q64" i="3"/>
  <c r="P64" i="3"/>
  <c r="O64" i="3"/>
  <c r="N64" i="3"/>
  <c r="L64" i="3"/>
  <c r="K64" i="3"/>
  <c r="J64" i="3"/>
  <c r="I64" i="3"/>
  <c r="G64" i="3"/>
  <c r="F64" i="3"/>
  <c r="E64" i="3"/>
  <c r="D64" i="3"/>
  <c r="Q59" i="3"/>
  <c r="Q66" i="3" s="1"/>
  <c r="P59" i="3"/>
  <c r="O59" i="3"/>
  <c r="N59" i="3"/>
  <c r="N66" i="3"/>
  <c r="L59" i="3"/>
  <c r="K59" i="3"/>
  <c r="J59" i="3"/>
  <c r="J61" i="3"/>
  <c r="J62" i="3" s="1"/>
  <c r="I59" i="3"/>
  <c r="I61" i="3" s="1"/>
  <c r="G59" i="3"/>
  <c r="G66" i="3"/>
  <c r="F59" i="3"/>
  <c r="F61" i="3" s="1"/>
  <c r="F62" i="3" s="1"/>
  <c r="E59" i="3"/>
  <c r="E61" i="3"/>
  <c r="Q58" i="3"/>
  <c r="P58" i="3"/>
  <c r="O58" i="3"/>
  <c r="N58" i="3"/>
  <c r="L58" i="3"/>
  <c r="K58" i="3"/>
  <c r="J58" i="3"/>
  <c r="I58" i="3"/>
  <c r="F52" i="3"/>
  <c r="F53" i="3" s="1"/>
  <c r="G52" i="3"/>
  <c r="G53" i="3"/>
  <c r="I52" i="3"/>
  <c r="I53" i="3" s="1"/>
  <c r="J52" i="3"/>
  <c r="J53" i="3"/>
  <c r="K52" i="3"/>
  <c r="L52" i="3"/>
  <c r="L53" i="3"/>
  <c r="N52" i="3"/>
  <c r="N53" i="3" s="1"/>
  <c r="O52" i="3"/>
  <c r="O53" i="3"/>
  <c r="P52" i="3"/>
  <c r="P53" i="3" s="1"/>
  <c r="Q52" i="3"/>
  <c r="Q53" i="3"/>
  <c r="D52" i="3"/>
  <c r="D53" i="3" s="1"/>
  <c r="E52" i="3"/>
  <c r="E53" i="3"/>
  <c r="E49" i="3"/>
  <c r="F49" i="3"/>
  <c r="G49" i="3"/>
  <c r="I49" i="3"/>
  <c r="J49" i="3"/>
  <c r="K49" i="3"/>
  <c r="L49" i="3"/>
  <c r="N49" i="3"/>
  <c r="O49" i="3"/>
  <c r="P49" i="3"/>
  <c r="Q49" i="3"/>
  <c r="D49" i="3"/>
  <c r="Q44" i="3"/>
  <c r="P44" i="3"/>
  <c r="P46" i="3"/>
  <c r="P47" i="3" s="1"/>
  <c r="O44" i="3"/>
  <c r="N44" i="3"/>
  <c r="N51" i="3"/>
  <c r="I44" i="3"/>
  <c r="L44" i="3"/>
  <c r="L46" i="3"/>
  <c r="L47" i="3" s="1"/>
  <c r="K44" i="3"/>
  <c r="J44" i="3"/>
  <c r="J46" i="3"/>
  <c r="J47" i="3" s="1"/>
  <c r="F44" i="3"/>
  <c r="G44" i="3"/>
  <c r="G46" i="3"/>
  <c r="G47" i="3" s="1"/>
  <c r="E44" i="3"/>
  <c r="E51" i="3" s="1"/>
  <c r="Q43" i="3"/>
  <c r="P43" i="3"/>
  <c r="O43" i="3"/>
  <c r="N43" i="3"/>
  <c r="J43" i="3"/>
  <c r="K43" i="3"/>
  <c r="L43" i="3"/>
  <c r="I43" i="3"/>
  <c r="R191" i="3"/>
  <c r="L75" i="3"/>
  <c r="Q75" i="3"/>
  <c r="E46" i="3"/>
  <c r="E47" i="3" s="1"/>
  <c r="Q61" i="3"/>
  <c r="Q62" i="3" s="1"/>
  <c r="J66" i="3"/>
  <c r="N61" i="3"/>
  <c r="G61" i="3"/>
  <c r="G62" i="3" s="1"/>
  <c r="E66" i="3"/>
  <c r="F66" i="3"/>
  <c r="K61" i="3"/>
  <c r="K62" i="3" s="1"/>
  <c r="K66" i="3"/>
  <c r="P61" i="3"/>
  <c r="P62" i="3" s="1"/>
  <c r="P66" i="3"/>
  <c r="N46" i="3"/>
  <c r="N47" i="3" s="1"/>
  <c r="L51" i="3"/>
  <c r="G51" i="3"/>
  <c r="P51" i="3"/>
  <c r="J51" i="3"/>
  <c r="Q143" i="3"/>
  <c r="K143" i="3"/>
  <c r="P143" i="3"/>
  <c r="O143" i="3"/>
  <c r="I143" i="3"/>
  <c r="N143" i="3"/>
  <c r="Q87" i="3"/>
  <c r="P87" i="3"/>
  <c r="O87" i="3"/>
  <c r="N87" i="3"/>
  <c r="I87" i="3"/>
  <c r="F87" i="3"/>
  <c r="G87" i="3"/>
  <c r="J87" i="3"/>
  <c r="K87" i="3"/>
  <c r="L87" i="3"/>
  <c r="E87" i="3"/>
  <c r="N88" i="3"/>
  <c r="O88" i="3"/>
  <c r="P88" i="3"/>
  <c r="Q88" i="3"/>
  <c r="R114" i="3"/>
  <c r="I88" i="3"/>
  <c r="J88" i="3"/>
  <c r="L88" i="3"/>
  <c r="L145" i="3"/>
  <c r="L207" i="3"/>
  <c r="N131" i="3"/>
  <c r="N144" i="3"/>
  <c r="N126" i="3"/>
  <c r="O131" i="3"/>
  <c r="O144" i="3" s="1"/>
  <c r="O126" i="3"/>
  <c r="P131" i="3"/>
  <c r="P144" i="3" s="1"/>
  <c r="P126" i="3"/>
  <c r="G88" i="3"/>
  <c r="G207" i="3"/>
  <c r="F88" i="3"/>
  <c r="E131" i="3"/>
  <c r="E126" i="3"/>
  <c r="F131" i="3"/>
  <c r="F144" i="3"/>
  <c r="F126" i="3"/>
  <c r="F132" i="3" s="1"/>
  <c r="G131" i="3"/>
  <c r="G144" i="3" s="1"/>
  <c r="H119" i="3"/>
  <c r="H120" i="3"/>
  <c r="H121" i="3"/>
  <c r="H125" i="3"/>
  <c r="H128" i="3"/>
  <c r="H131" i="3" s="1"/>
  <c r="H129" i="3"/>
  <c r="I126" i="3"/>
  <c r="I131" i="3"/>
  <c r="J126" i="3"/>
  <c r="J131" i="3"/>
  <c r="J144" i="3"/>
  <c r="K126" i="3"/>
  <c r="K132" i="3" s="1"/>
  <c r="K131" i="3"/>
  <c r="K144" i="3" s="1"/>
  <c r="L131" i="3"/>
  <c r="L144" i="3" s="1"/>
  <c r="M119" i="3"/>
  <c r="M120" i="3"/>
  <c r="M122" i="3" s="1"/>
  <c r="M126" i="3" s="1"/>
  <c r="M121" i="3"/>
  <c r="M125" i="3"/>
  <c r="M128" i="3"/>
  <c r="M129" i="3"/>
  <c r="M131" i="3" s="1"/>
  <c r="M130" i="3"/>
  <c r="R119" i="3"/>
  <c r="R120" i="3"/>
  <c r="T140" i="3" s="1"/>
  <c r="R121" i="3"/>
  <c r="R125" i="3"/>
  <c r="R128" i="3"/>
  <c r="R129" i="3"/>
  <c r="R130" i="3"/>
  <c r="R131" i="3" s="1"/>
  <c r="D131" i="3"/>
  <c r="D144" i="3" s="1"/>
  <c r="D126" i="3"/>
  <c r="I145" i="3"/>
  <c r="K145" i="3"/>
  <c r="J145" i="3"/>
  <c r="F145" i="3"/>
  <c r="G145" i="3"/>
  <c r="E145" i="3"/>
  <c r="H111" i="3"/>
  <c r="H114" i="3"/>
  <c r="H115" i="3"/>
  <c r="M111" i="3"/>
  <c r="M114" i="3"/>
  <c r="M115" i="3"/>
  <c r="R111" i="3"/>
  <c r="R115" i="3"/>
  <c r="N96" i="3"/>
  <c r="I97" i="3"/>
  <c r="L96" i="3"/>
  <c r="D207" i="3"/>
  <c r="I208" i="3"/>
  <c r="D208" i="3"/>
  <c r="J208" i="3"/>
  <c r="E208" i="3"/>
  <c r="G208" i="3"/>
  <c r="F208" i="3"/>
  <c r="K208" i="3"/>
  <c r="O86" i="3"/>
  <c r="N86" i="3"/>
  <c r="L86" i="3"/>
  <c r="K86" i="3"/>
  <c r="I86" i="3"/>
  <c r="I207" i="3"/>
  <c r="P86" i="3"/>
  <c r="J207" i="3"/>
  <c r="E207" i="3"/>
  <c r="J86" i="3"/>
  <c r="K207" i="3"/>
  <c r="F207" i="3"/>
  <c r="Q86" i="3"/>
  <c r="U191" i="3"/>
  <c r="R90" i="3"/>
  <c r="R89" i="3"/>
  <c r="M90" i="3"/>
  <c r="M89" i="3"/>
  <c r="H89" i="3"/>
  <c r="H90" i="3"/>
  <c r="H122" i="3"/>
  <c r="H126" i="3" s="1"/>
  <c r="L97" i="3"/>
  <c r="P132" i="3"/>
  <c r="J96" i="3"/>
  <c r="J97" i="3"/>
  <c r="N132" i="3"/>
  <c r="O132" i="3"/>
  <c r="L208" i="3"/>
  <c r="I96" i="3"/>
  <c r="D88" i="3"/>
  <c r="H88" i="3"/>
  <c r="J143" i="3"/>
  <c r="R86" i="3"/>
  <c r="M208" i="3"/>
  <c r="E88" i="3"/>
  <c r="M86" i="3"/>
  <c r="H208" i="3"/>
  <c r="J132" i="3"/>
  <c r="O96" i="3"/>
  <c r="Q96" i="3"/>
  <c r="F91" i="3"/>
  <c r="F28" i="3"/>
  <c r="F92" i="3" s="1"/>
  <c r="P91" i="3"/>
  <c r="P28" i="3"/>
  <c r="P92" i="3" s="1"/>
  <c r="I91" i="3"/>
  <c r="I28" i="3"/>
  <c r="I30" i="3" s="1"/>
  <c r="J91" i="3"/>
  <c r="J28" i="3"/>
  <c r="D28" i="3"/>
  <c r="D30" i="3" s="1"/>
  <c r="D34" i="3" s="1"/>
  <c r="G91" i="3"/>
  <c r="G28" i="3"/>
  <c r="L28" i="3"/>
  <c r="L92" i="3" s="1"/>
  <c r="E91" i="3"/>
  <c r="E28" i="3"/>
  <c r="E92" i="3"/>
  <c r="P96" i="3"/>
  <c r="J84" i="3"/>
  <c r="D84" i="3"/>
  <c r="F30" i="3"/>
  <c r="F33" i="3" s="1"/>
  <c r="F84" i="3"/>
  <c r="L84" i="3"/>
  <c r="E30" i="3"/>
  <c r="E150" i="3" s="1"/>
  <c r="E167" i="3"/>
  <c r="E190" i="3" s="1"/>
  <c r="E194" i="3" s="1"/>
  <c r="E84" i="3"/>
  <c r="N84" i="3"/>
  <c r="G84" i="3"/>
  <c r="P30" i="3"/>
  <c r="P33" i="3" s="1"/>
  <c r="P84" i="3"/>
  <c r="H132" i="3"/>
  <c r="R208" i="3"/>
  <c r="K97" i="3"/>
  <c r="K96" i="3"/>
  <c r="M91" i="3"/>
  <c r="M88" i="3"/>
  <c r="S78" i="3"/>
  <c r="S79" i="3" s="1"/>
  <c r="M92" i="3"/>
  <c r="S67" i="3"/>
  <c r="S68" i="3"/>
  <c r="T41" i="3"/>
  <c r="E34" i="3"/>
  <c r="E33" i="3"/>
  <c r="S86" i="3"/>
  <c r="T67" i="3"/>
  <c r="T68" i="3" s="1"/>
  <c r="P150" i="3"/>
  <c r="P167" i="3" s="1"/>
  <c r="P34" i="3"/>
  <c r="F150" i="3"/>
  <c r="F167" i="3" s="1"/>
  <c r="F190" i="3" s="1"/>
  <c r="F194" i="3"/>
  <c r="F34" i="3"/>
  <c r="S52" i="3"/>
  <c r="S53" i="3" s="1"/>
  <c r="T78" i="3"/>
  <c r="T79" i="3" s="1"/>
  <c r="V41" i="3"/>
  <c r="T81" i="3"/>
  <c r="S81" i="3"/>
  <c r="M194" i="3"/>
  <c r="M34" i="3"/>
  <c r="M33" i="3"/>
  <c r="F184" i="3"/>
  <c r="X96" i="3"/>
  <c r="S88" i="3"/>
  <c r="T52" i="3"/>
  <c r="T53" i="3" s="1"/>
  <c r="Z56" i="3"/>
  <c r="X41" i="3"/>
  <c r="S83" i="3"/>
  <c r="S87" i="3"/>
  <c r="S82" i="3"/>
  <c r="T83" i="3"/>
  <c r="T87" i="3"/>
  <c r="T86" i="3"/>
  <c r="D112" i="3"/>
  <c r="D116" i="3" s="1"/>
  <c r="Y96" i="3"/>
  <c r="Z96" i="3" s="1"/>
  <c r="S122" i="3"/>
  <c r="S126" i="3" s="1"/>
  <c r="S132" i="3" s="1"/>
  <c r="S192" i="3"/>
  <c r="T82" i="3"/>
  <c r="T192" i="3"/>
  <c r="Y41" i="3"/>
  <c r="U87" i="3"/>
  <c r="U86" i="3"/>
  <c r="T88" i="3"/>
  <c r="G112" i="3"/>
  <c r="G116" i="3"/>
  <c r="G200" i="3"/>
  <c r="E112" i="3"/>
  <c r="E116" i="3"/>
  <c r="E200" i="3"/>
  <c r="F112" i="3"/>
  <c r="F116" i="3"/>
  <c r="F133" i="3"/>
  <c r="F200" i="3"/>
  <c r="U192" i="3"/>
  <c r="Z41" i="3"/>
  <c r="U88" i="3"/>
  <c r="H200" i="3"/>
  <c r="I112" i="3"/>
  <c r="I116" i="3" s="1"/>
  <c r="I200" i="3"/>
  <c r="T122" i="3"/>
  <c r="J200" i="3"/>
  <c r="J112" i="3"/>
  <c r="J116" i="3" s="1"/>
  <c r="J133" i="3" s="1"/>
  <c r="K112" i="3"/>
  <c r="K116" i="3"/>
  <c r="K133" i="3"/>
  <c r="L200" i="3"/>
  <c r="L112" i="3"/>
  <c r="L116" i="3" s="1"/>
  <c r="M112" i="3"/>
  <c r="M116" i="3" s="1"/>
  <c r="N112" i="3"/>
  <c r="N116" i="3"/>
  <c r="N133" i="3"/>
  <c r="N200" i="3"/>
  <c r="O200" i="3"/>
  <c r="O112" i="3"/>
  <c r="O116" i="3"/>
  <c r="O133" i="3" s="1"/>
  <c r="P112" i="3"/>
  <c r="P116" i="3"/>
  <c r="P133" i="3"/>
  <c r="P200" i="3"/>
  <c r="Q112" i="3"/>
  <c r="Q116" i="3"/>
  <c r="R112" i="3"/>
  <c r="R116" i="3" s="1"/>
  <c r="T199" i="3"/>
  <c r="T126" i="3"/>
  <c r="T132" i="3" s="1"/>
  <c r="P190" i="3" l="1"/>
  <c r="P194" i="3" s="1"/>
  <c r="P184" i="3"/>
  <c r="R132" i="3"/>
  <c r="R133" i="3" s="1"/>
  <c r="Q91" i="3"/>
  <c r="Q28" i="3"/>
  <c r="N28" i="3"/>
  <c r="N23" i="3"/>
  <c r="N25" i="3" s="1"/>
  <c r="N35" i="3" s="1"/>
  <c r="T92" i="3"/>
  <c r="T30" i="3"/>
  <c r="T84" i="3"/>
  <c r="T91" i="3"/>
  <c r="E184" i="3"/>
  <c r="L30" i="3"/>
  <c r="D92" i="3"/>
  <c r="G92" i="3"/>
  <c r="G30" i="3"/>
  <c r="J92" i="3"/>
  <c r="J30" i="3"/>
  <c r="I144" i="3"/>
  <c r="I132" i="3"/>
  <c r="I133" i="3" s="1"/>
  <c r="F51" i="3"/>
  <c r="F46" i="3"/>
  <c r="F47" i="3" s="1"/>
  <c r="Q46" i="3"/>
  <c r="Q47" i="3" s="1"/>
  <c r="Q51" i="3"/>
  <c r="K53" i="3"/>
  <c r="M61" i="3"/>
  <c r="M62" i="3" s="1"/>
  <c r="I62" i="3"/>
  <c r="L66" i="3"/>
  <c r="L61" i="3"/>
  <c r="L62" i="3" s="1"/>
  <c r="D184" i="3"/>
  <c r="D186" i="3" s="1"/>
  <c r="D188" i="3" s="1"/>
  <c r="T23" i="3"/>
  <c r="T25" i="3" s="1"/>
  <c r="T35" i="3" s="1"/>
  <c r="Y59" i="3"/>
  <c r="Y56" i="3"/>
  <c r="I34" i="3"/>
  <c r="I33" i="3"/>
  <c r="O61" i="3"/>
  <c r="O62" i="3" s="1"/>
  <c r="O66" i="3"/>
  <c r="O23" i="3"/>
  <c r="O25" i="3" s="1"/>
  <c r="O35" i="3" s="1"/>
  <c r="O91" i="3"/>
  <c r="O28" i="3"/>
  <c r="O84" i="3"/>
  <c r="M46" i="3"/>
  <c r="M47" i="3" s="1"/>
  <c r="S84" i="3"/>
  <c r="D150" i="3"/>
  <c r="D167" i="3" s="1"/>
  <c r="D190" i="3" s="1"/>
  <c r="D194" i="3" s="1"/>
  <c r="D33" i="3"/>
  <c r="R61" i="3"/>
  <c r="R62" i="3" s="1"/>
  <c r="N62" i="3"/>
  <c r="O46" i="3"/>
  <c r="O47" i="3" s="1"/>
  <c r="O51" i="3"/>
  <c r="Q79" i="3"/>
  <c r="Q84" i="3"/>
  <c r="Q23" i="3"/>
  <c r="Q25" i="3" s="1"/>
  <c r="Q35" i="3" s="1"/>
  <c r="K22" i="3"/>
  <c r="K88" i="3"/>
  <c r="L143" i="3"/>
  <c r="R22" i="3"/>
  <c r="R88" i="3"/>
  <c r="M132" i="3"/>
  <c r="M133" i="3" s="1"/>
  <c r="K51" i="3"/>
  <c r="K46" i="3"/>
  <c r="K47" i="3" s="1"/>
  <c r="H112" i="3"/>
  <c r="H116" i="3" s="1"/>
  <c r="H133" i="3" s="1"/>
  <c r="I150" i="3"/>
  <c r="I167" i="3" s="1"/>
  <c r="I84" i="3"/>
  <c r="N91" i="3"/>
  <c r="I92" i="3"/>
  <c r="E144" i="3"/>
  <c r="E132" i="3"/>
  <c r="E133" i="3" s="1"/>
  <c r="I51" i="3"/>
  <c r="I46" i="3"/>
  <c r="I47" i="3" s="1"/>
  <c r="L132" i="3"/>
  <c r="L133" i="3" s="1"/>
  <c r="I66" i="3"/>
  <c r="E62" i="3"/>
  <c r="H61" i="3"/>
  <c r="H62" i="3" s="1"/>
  <c r="S28" i="3"/>
  <c r="U61" i="3"/>
  <c r="U62" i="3" s="1"/>
  <c r="U66" i="3"/>
  <c r="D132" i="3"/>
  <c r="D133" i="3" s="1"/>
  <c r="M175" i="3"/>
  <c r="M184" i="3" s="1"/>
  <c r="R175" i="3"/>
  <c r="H46" i="3"/>
  <c r="H47" i="3" s="1"/>
  <c r="Z45" i="3"/>
  <c r="Z50" i="3"/>
  <c r="R200" i="3"/>
  <c r="H22" i="3"/>
  <c r="H182" i="3"/>
  <c r="Y50" i="3"/>
  <c r="Y45" i="3"/>
  <c r="J9" i="29"/>
  <c r="K9" i="29" s="1"/>
  <c r="J13" i="29"/>
  <c r="K13" i="29" s="1"/>
  <c r="J6" i="29"/>
  <c r="K6" i="29" s="1"/>
  <c r="J8" i="29"/>
  <c r="K8" i="29" s="1"/>
  <c r="J10" i="29"/>
  <c r="K10" i="29" s="1"/>
  <c r="J12" i="29"/>
  <c r="K12" i="29" s="1"/>
  <c r="J14" i="29"/>
  <c r="K14" i="29" s="1"/>
  <c r="J16" i="29"/>
  <c r="K16" i="29" s="1"/>
  <c r="K22" i="29"/>
  <c r="J5" i="29"/>
  <c r="K5" i="29" s="1"/>
  <c r="J7" i="29"/>
  <c r="K7" i="29" s="1"/>
  <c r="J11" i="29"/>
  <c r="K11" i="29" s="1"/>
  <c r="J15" i="29"/>
  <c r="K15" i="29" s="1"/>
  <c r="X31" i="3"/>
  <c r="Y31" i="3" s="1"/>
  <c r="Z31" i="3" s="1"/>
  <c r="U46" i="3"/>
  <c r="U47" i="3" s="1"/>
  <c r="U51" i="3"/>
  <c r="X56" i="3"/>
  <c r="V56" i="3"/>
  <c r="V59" i="3"/>
  <c r="AA55" i="3"/>
  <c r="X59" i="3"/>
  <c r="X50" i="3"/>
  <c r="X45" i="3"/>
  <c r="V44" i="3"/>
  <c r="AA40" i="3"/>
  <c r="W40" i="3"/>
  <c r="AA31" i="3"/>
  <c r="AA96" i="3"/>
  <c r="X97" i="3"/>
  <c r="Z93" i="3"/>
  <c r="AA93" i="3" s="1"/>
  <c r="AA89" i="3"/>
  <c r="X70" i="3"/>
  <c r="Y72" i="3"/>
  <c r="V76" i="3"/>
  <c r="V78" i="3" s="1"/>
  <c r="V79" i="3" s="1"/>
  <c r="Z65" i="3"/>
  <c r="Z60" i="3"/>
  <c r="U67" i="3"/>
  <c r="U68" i="3" s="1"/>
  <c r="U83" i="3"/>
  <c r="Z48" i="3"/>
  <c r="Y103" i="3"/>
  <c r="Z103" i="3"/>
  <c r="AA103" i="3" s="1"/>
  <c r="U22" i="3"/>
  <c r="Y18" i="3" l="1"/>
  <c r="E185" i="3"/>
  <c r="E186" i="3" s="1"/>
  <c r="E188" i="3" s="1"/>
  <c r="D201" i="3"/>
  <c r="U23" i="3"/>
  <c r="U25" i="3" s="1"/>
  <c r="U35" i="3" s="1"/>
  <c r="U91" i="3"/>
  <c r="K23" i="3"/>
  <c r="K25" i="3" s="1"/>
  <c r="K35" i="3" s="1"/>
  <c r="K28" i="3"/>
  <c r="K91" i="3"/>
  <c r="K84" i="3"/>
  <c r="J33" i="3"/>
  <c r="J34" i="3"/>
  <c r="J150" i="3"/>
  <c r="J167" i="3" s="1"/>
  <c r="N92" i="3"/>
  <c r="N30" i="3"/>
  <c r="I190" i="3"/>
  <c r="I194" i="3" s="1"/>
  <c r="I184" i="3"/>
  <c r="R28" i="3"/>
  <c r="R91" i="3"/>
  <c r="R23" i="3"/>
  <c r="R25" i="3" s="1"/>
  <c r="R35" i="3" s="1"/>
  <c r="O30" i="3"/>
  <c r="O92" i="3"/>
  <c r="L34" i="3"/>
  <c r="L150" i="3"/>
  <c r="L167" i="3" s="1"/>
  <c r="L33" i="3"/>
  <c r="T150" i="3"/>
  <c r="T167" i="3" s="1"/>
  <c r="T34" i="3"/>
  <c r="T33" i="3"/>
  <c r="Q92" i="3"/>
  <c r="Q30" i="3"/>
  <c r="S30" i="3"/>
  <c r="S92" i="3"/>
  <c r="U28" i="3"/>
  <c r="U92" i="3" s="1"/>
  <c r="Y48" i="3"/>
  <c r="Y52" i="3"/>
  <c r="Y53" i="3" s="1"/>
  <c r="H28" i="3"/>
  <c r="H23" i="3"/>
  <c r="H25" i="3" s="1"/>
  <c r="H35" i="3" s="1"/>
  <c r="H91" i="3"/>
  <c r="R46" i="3"/>
  <c r="R47" i="3" s="1"/>
  <c r="Y60" i="3"/>
  <c r="Y65" i="3"/>
  <c r="G33" i="3"/>
  <c r="G34" i="3"/>
  <c r="G150" i="3"/>
  <c r="G167" i="3" s="1"/>
  <c r="K18" i="29"/>
  <c r="K19" i="29" s="1"/>
  <c r="K20" i="29" s="1"/>
  <c r="P196" i="3"/>
  <c r="X60" i="3"/>
  <c r="X65" i="3"/>
  <c r="X18" i="3" s="1"/>
  <c r="X83" i="3" s="1"/>
  <c r="AB55" i="3"/>
  <c r="AA56" i="3"/>
  <c r="AA59" i="3"/>
  <c r="V60" i="3"/>
  <c r="V65" i="3"/>
  <c r="V45" i="3"/>
  <c r="V50" i="3"/>
  <c r="X48" i="3"/>
  <c r="X52" i="3" s="1"/>
  <c r="X53" i="3" s="1"/>
  <c r="AA44" i="3"/>
  <c r="AB40" i="3"/>
  <c r="AA41" i="3"/>
  <c r="Y97" i="3"/>
  <c r="X32" i="3"/>
  <c r="X73" i="3"/>
  <c r="X74" i="3" s="1"/>
  <c r="Y70" i="3"/>
  <c r="Z72" i="3"/>
  <c r="Z63" i="3"/>
  <c r="Z67" i="3" s="1"/>
  <c r="Z68" i="3" s="1"/>
  <c r="Z18" i="3"/>
  <c r="U52" i="3"/>
  <c r="U53" i="3" s="1"/>
  <c r="Z52" i="3"/>
  <c r="U122" i="3"/>
  <c r="U30" i="3"/>
  <c r="E201" i="3" l="1"/>
  <c r="F185" i="3"/>
  <c r="F186" i="3" s="1"/>
  <c r="F188" i="3" s="1"/>
  <c r="O150" i="3"/>
  <c r="O167" i="3" s="1"/>
  <c r="O33" i="3"/>
  <c r="O34" i="3"/>
  <c r="Y83" i="3"/>
  <c r="Q34" i="3"/>
  <c r="Q150" i="3"/>
  <c r="Q167" i="3" s="1"/>
  <c r="Q33" i="3"/>
  <c r="T190" i="3"/>
  <c r="T194" i="3" s="1"/>
  <c r="T196" i="3" s="1"/>
  <c r="T184" i="3"/>
  <c r="J190" i="3"/>
  <c r="J194" i="3" s="1"/>
  <c r="J184" i="3"/>
  <c r="S150" i="3"/>
  <c r="S167" i="3" s="1"/>
  <c r="S34" i="3"/>
  <c r="S33" i="3"/>
  <c r="R30" i="3"/>
  <c r="R92" i="3"/>
  <c r="G190" i="3"/>
  <c r="G194" i="3" s="1"/>
  <c r="G184" i="3"/>
  <c r="Y63" i="3"/>
  <c r="Y67" i="3"/>
  <c r="Y68" i="3" s="1"/>
  <c r="K92" i="3"/>
  <c r="K30" i="3"/>
  <c r="H30" i="3"/>
  <c r="H92" i="3"/>
  <c r="L184" i="3"/>
  <c r="L190" i="3"/>
  <c r="L194" i="3" s="1"/>
  <c r="N34" i="3"/>
  <c r="N150" i="3"/>
  <c r="N167" i="3" s="1"/>
  <c r="N33" i="3"/>
  <c r="K21" i="29"/>
  <c r="AA60" i="3"/>
  <c r="AA65" i="3"/>
  <c r="W60" i="3"/>
  <c r="W61" i="3" s="1"/>
  <c r="W62" i="3" s="1"/>
  <c r="V63" i="3"/>
  <c r="V67" i="3" s="1"/>
  <c r="V68" i="3" s="1"/>
  <c r="X63" i="3"/>
  <c r="X67" i="3" s="1"/>
  <c r="X68" i="3" s="1"/>
  <c r="AA45" i="3"/>
  <c r="AA50" i="3"/>
  <c r="V18" i="3"/>
  <c r="W18" i="3" s="1"/>
  <c r="V48" i="3"/>
  <c r="W45" i="3"/>
  <c r="W46" i="3" s="1"/>
  <c r="W47" i="3" s="1"/>
  <c r="V14" i="3"/>
  <c r="Z97" i="3"/>
  <c r="AA97" i="3" s="1"/>
  <c r="Y32" i="3"/>
  <c r="Y73" i="3"/>
  <c r="Y74" i="3" s="1"/>
  <c r="X76" i="3"/>
  <c r="X14" i="3"/>
  <c r="X81" i="3" s="1"/>
  <c r="Z70" i="3"/>
  <c r="AA72" i="3"/>
  <c r="Z83" i="3"/>
  <c r="Z53" i="3"/>
  <c r="U150" i="3"/>
  <c r="U34" i="3"/>
  <c r="U33" i="3"/>
  <c r="O184" i="3" l="1"/>
  <c r="O190" i="3"/>
  <c r="O194" i="3" s="1"/>
  <c r="O196" i="3" s="1"/>
  <c r="N190" i="3"/>
  <c r="N194" i="3" s="1"/>
  <c r="N196" i="3" s="1"/>
  <c r="N184" i="3"/>
  <c r="H150" i="3"/>
  <c r="H167" i="3" s="1"/>
  <c r="H33" i="3"/>
  <c r="H34" i="3"/>
  <c r="K33" i="3"/>
  <c r="K34" i="3"/>
  <c r="K150" i="3"/>
  <c r="K167" i="3" s="1"/>
  <c r="S190" i="3"/>
  <c r="S194" i="3" s="1"/>
  <c r="S196" i="3" s="1"/>
  <c r="S184" i="3"/>
  <c r="F201" i="3"/>
  <c r="G185" i="3"/>
  <c r="G186" i="3"/>
  <c r="G188" i="3" s="1"/>
  <c r="R150" i="3"/>
  <c r="R167" i="3" s="1"/>
  <c r="R33" i="3"/>
  <c r="R34" i="3"/>
  <c r="Q190" i="3"/>
  <c r="Q194" i="3" s="1"/>
  <c r="Q196" i="3" s="1"/>
  <c r="Q184" i="3"/>
  <c r="AA63" i="3"/>
  <c r="AA67" i="3" s="1"/>
  <c r="AA68" i="3" s="1"/>
  <c r="AB60" i="3"/>
  <c r="AB61" i="3" s="1"/>
  <c r="AB62" i="3" s="1"/>
  <c r="W14" i="3"/>
  <c r="W86" i="3" s="1"/>
  <c r="V87" i="3"/>
  <c r="V20" i="3"/>
  <c r="V86" i="3"/>
  <c r="V19" i="3"/>
  <c r="V102" i="3"/>
  <c r="V24" i="3" s="1"/>
  <c r="W24" i="3" s="1"/>
  <c r="V81" i="3"/>
  <c r="AA18" i="3"/>
  <c r="AB18" i="3" s="1"/>
  <c r="AA48" i="3"/>
  <c r="AA52" i="3" s="1"/>
  <c r="AA53" i="3" s="1"/>
  <c r="AB45" i="3"/>
  <c r="AB46" i="3" s="1"/>
  <c r="AB47" i="3" s="1"/>
  <c r="V52" i="3"/>
  <c r="V53" i="3" s="1"/>
  <c r="V15" i="3"/>
  <c r="V83" i="3"/>
  <c r="Z32" i="3"/>
  <c r="AA32" i="3" s="1"/>
  <c r="Z73" i="3"/>
  <c r="Z74" i="3" s="1"/>
  <c r="X15" i="3"/>
  <c r="X78" i="3"/>
  <c r="X19" i="3"/>
  <c r="X86" i="3"/>
  <c r="X20" i="3"/>
  <c r="X102" i="3"/>
  <c r="X24" i="3" s="1"/>
  <c r="X87" i="3"/>
  <c r="AA70" i="3"/>
  <c r="Y14" i="3"/>
  <c r="Y76" i="3"/>
  <c r="Y78" i="3" s="1"/>
  <c r="Y81" i="3"/>
  <c r="U167" i="3"/>
  <c r="U190" i="3" s="1"/>
  <c r="U194" i="3" s="1"/>
  <c r="U196" i="3" s="1"/>
  <c r="R190" i="3" l="1"/>
  <c r="R194" i="3" s="1"/>
  <c r="R196" i="3" s="1"/>
  <c r="R184" i="3"/>
  <c r="H190" i="3"/>
  <c r="H194" i="3" s="1"/>
  <c r="H184" i="3"/>
  <c r="H186" i="3" s="1"/>
  <c r="H188" i="3" s="1"/>
  <c r="I185" i="3"/>
  <c r="I186" i="3" s="1"/>
  <c r="I188" i="3" s="1"/>
  <c r="G201" i="3"/>
  <c r="K190" i="3"/>
  <c r="K194" i="3" s="1"/>
  <c r="K184" i="3"/>
  <c r="V82" i="3"/>
  <c r="W15" i="3"/>
  <c r="W16" i="3" s="1"/>
  <c r="W88" i="3" s="1"/>
  <c r="V16" i="3"/>
  <c r="X16" i="3"/>
  <c r="W20" i="3"/>
  <c r="AA83" i="3"/>
  <c r="W19" i="3"/>
  <c r="V21" i="3"/>
  <c r="Y79" i="3"/>
  <c r="X21" i="3"/>
  <c r="X79" i="3"/>
  <c r="X82" i="3"/>
  <c r="Z76" i="3"/>
  <c r="Z14" i="3"/>
  <c r="Y15" i="3"/>
  <c r="AA73" i="3"/>
  <c r="AA74" i="3" s="1"/>
  <c r="Y20" i="3"/>
  <c r="Y86" i="3"/>
  <c r="Y19" i="3"/>
  <c r="Y87" i="3"/>
  <c r="Y102" i="3"/>
  <c r="Y24" i="3" s="1"/>
  <c r="U131" i="3"/>
  <c r="U144" i="3" s="1"/>
  <c r="J185" i="3" l="1"/>
  <c r="J186" i="3" s="1"/>
  <c r="J188" i="3" s="1"/>
  <c r="I201" i="3"/>
  <c r="M185" i="3"/>
  <c r="M186" i="3" s="1"/>
  <c r="H201" i="3"/>
  <c r="Y16" i="3"/>
  <c r="Y82" i="3"/>
  <c r="W21" i="3"/>
  <c r="W22" i="3" s="1"/>
  <c r="W91" i="3" s="1"/>
  <c r="X22" i="3"/>
  <c r="X91" i="3" s="1"/>
  <c r="X88" i="3"/>
  <c r="V88" i="3"/>
  <c r="V22" i="3"/>
  <c r="Y88" i="3"/>
  <c r="Z81" i="3"/>
  <c r="Z87" i="3"/>
  <c r="Z86" i="3"/>
  <c r="Z102" i="3"/>
  <c r="Z24" i="3" s="1"/>
  <c r="Z19" i="3"/>
  <c r="Z20" i="3"/>
  <c r="AA76" i="3"/>
  <c r="AA78" i="3" s="1"/>
  <c r="AA14" i="3"/>
  <c r="AB14" i="3" s="1"/>
  <c r="Z78" i="3"/>
  <c r="Z15" i="3"/>
  <c r="Z82" i="3" s="1"/>
  <c r="Y21" i="3"/>
  <c r="Y22" i="3" s="1"/>
  <c r="J201" i="3" l="1"/>
  <c r="K185" i="3"/>
  <c r="K186" i="3" s="1"/>
  <c r="K188" i="3" s="1"/>
  <c r="R185" i="3"/>
  <c r="R186" i="3" s="1"/>
  <c r="M188" i="3"/>
  <c r="M201" i="3" s="1"/>
  <c r="W23" i="3"/>
  <c r="W25" i="3" s="1"/>
  <c r="X84" i="3"/>
  <c r="X23" i="3"/>
  <c r="X25" i="3" s="1"/>
  <c r="X35" i="3" s="1"/>
  <c r="V23" i="3"/>
  <c r="V25" i="3" s="1"/>
  <c r="V35" i="3" s="1"/>
  <c r="V91" i="3"/>
  <c r="V84" i="3"/>
  <c r="Y91" i="3"/>
  <c r="Y84" i="3"/>
  <c r="AA87" i="3"/>
  <c r="AA86" i="3"/>
  <c r="AA102" i="3"/>
  <c r="AA24" i="3" s="1"/>
  <c r="AB24" i="3" s="1"/>
  <c r="AA19" i="3"/>
  <c r="AB19" i="3" s="1"/>
  <c r="AA20" i="3"/>
  <c r="Y23" i="3"/>
  <c r="Y25" i="3" s="1"/>
  <c r="Y35" i="3" s="1"/>
  <c r="AA15" i="3"/>
  <c r="AA82" i="3" s="1"/>
  <c r="Z16" i="3"/>
  <c r="Z21" i="3"/>
  <c r="AB86" i="3"/>
  <c r="Z79" i="3"/>
  <c r="AA79" i="3"/>
  <c r="AA81" i="3"/>
  <c r="U199" i="3"/>
  <c r="U126" i="3"/>
  <c r="U132" i="3" s="1"/>
  <c r="K201" i="3" l="1"/>
  <c r="L185" i="3"/>
  <c r="L186" i="3" s="1"/>
  <c r="L188" i="3" s="1"/>
  <c r="S185" i="3"/>
  <c r="S186" i="3" s="1"/>
  <c r="R188" i="3"/>
  <c r="R201" i="3" s="1"/>
  <c r="AB20" i="3"/>
  <c r="AB21" i="3" s="1"/>
  <c r="Z88" i="3"/>
  <c r="Z22" i="3"/>
  <c r="AB15" i="3"/>
  <c r="AB16" i="3" s="1"/>
  <c r="AB88" i="3" s="1"/>
  <c r="AA21" i="3"/>
  <c r="AA16" i="3"/>
  <c r="AA88" i="3" s="1"/>
  <c r="W26" i="3"/>
  <c r="U182" i="3"/>
  <c r="U184" i="3" s="1"/>
  <c r="T185" i="3" l="1"/>
  <c r="T186" i="3" s="1"/>
  <c r="S188" i="3"/>
  <c r="N185" i="3"/>
  <c r="N186" i="3" s="1"/>
  <c r="L201" i="3"/>
  <c r="AB22" i="3"/>
  <c r="AB91" i="3" s="1"/>
  <c r="Z23" i="3"/>
  <c r="Z25" i="3" s="1"/>
  <c r="Z35" i="3" s="1"/>
  <c r="Z91" i="3"/>
  <c r="Z84" i="3"/>
  <c r="AA22" i="3"/>
  <c r="S108" i="3" l="1"/>
  <c r="S201" i="3"/>
  <c r="O185" i="3"/>
  <c r="O186" i="3" s="1"/>
  <c r="N188" i="3"/>
  <c r="N201" i="3" s="1"/>
  <c r="T188" i="3"/>
  <c r="U185" i="3"/>
  <c r="U186" i="3" s="1"/>
  <c r="AB23" i="3"/>
  <c r="AB25" i="3" s="1"/>
  <c r="AA91" i="3"/>
  <c r="AA84" i="3"/>
  <c r="AA23" i="3"/>
  <c r="AA25" i="3" s="1"/>
  <c r="AA35" i="3" s="1"/>
  <c r="U188" i="3" l="1"/>
  <c r="U108" i="3" s="1"/>
  <c r="U198" i="3" s="1"/>
  <c r="U200" i="3" s="1"/>
  <c r="O188" i="3"/>
  <c r="O201" i="3" s="1"/>
  <c r="P185" i="3"/>
  <c r="P186" i="3" s="1"/>
  <c r="S198" i="3"/>
  <c r="S200" i="3" s="1"/>
  <c r="S112" i="3"/>
  <c r="S116" i="3" s="1"/>
  <c r="S133" i="3" s="1"/>
  <c r="S94" i="3"/>
  <c r="T108" i="3"/>
  <c r="U201" i="3"/>
  <c r="T112" i="3" l="1"/>
  <c r="T116" i="3" s="1"/>
  <c r="T133" i="3" s="1"/>
  <c r="T94" i="3"/>
  <c r="T198" i="3"/>
  <c r="T200" i="3" s="1"/>
  <c r="Q185" i="3"/>
  <c r="Q186" i="3" s="1"/>
  <c r="Q188" i="3" s="1"/>
  <c r="Q201" i="3" s="1"/>
  <c r="P188" i="3"/>
  <c r="P201" i="3" s="1"/>
  <c r="U94" i="3"/>
  <c r="T201" i="3"/>
  <c r="V94" i="3" l="1"/>
  <c r="X94" i="3" l="1"/>
  <c r="W27" i="3"/>
  <c r="W28" i="3" s="1"/>
  <c r="V28" i="3"/>
  <c r="V29" i="3" s="1"/>
  <c r="W29" i="3" s="1"/>
  <c r="W30" i="3" s="1"/>
  <c r="V30" i="3" l="1"/>
  <c r="V34" i="3" s="1"/>
  <c r="Y94" i="3"/>
  <c r="W92" i="3"/>
  <c r="V33" i="3"/>
  <c r="W32" i="3"/>
  <c r="W35" i="3" s="1"/>
  <c r="W31" i="3"/>
  <c r="W33" i="3" s="1"/>
  <c r="Z94" i="3" l="1"/>
  <c r="W34" i="3"/>
  <c r="AA94" i="3" l="1"/>
  <c r="U112" i="3" l="1"/>
  <c r="U116" i="3" s="1"/>
  <c r="U133" i="3" s="1"/>
  <c r="U137" i="3"/>
  <c r="U139" i="3"/>
  <c r="X28" i="3" l="1"/>
  <c r="X29" i="3" l="1"/>
  <c r="X30" i="3" s="1"/>
  <c r="X33" i="3" l="1"/>
  <c r="X34" i="3"/>
  <c r="Y28" i="3" l="1"/>
  <c r="Y29" i="3" l="1"/>
  <c r="Y30" i="3" l="1"/>
  <c r="Y34" i="3" l="1"/>
  <c r="Y33" i="3"/>
  <c r="Z28" i="3" l="1"/>
  <c r="Z29" i="3" l="1"/>
  <c r="Z30" i="3" l="1"/>
  <c r="Z33" i="3" l="1"/>
  <c r="Z34" i="3"/>
  <c r="AB26" i="3" l="1"/>
  <c r="AB27" i="3" l="1"/>
  <c r="AB28" i="3" s="1"/>
  <c r="AA28" i="3"/>
  <c r="AA29" i="3" l="1"/>
  <c r="AB29" i="3" s="1"/>
  <c r="AB92" i="3" s="1"/>
  <c r="AA30" i="3" l="1"/>
  <c r="AB30" i="3"/>
  <c r="AA34" i="3" l="1"/>
  <c r="AA33" i="3"/>
  <c r="AB32" i="3"/>
  <c r="AB35" i="3" s="1"/>
  <c r="AB31" i="3"/>
  <c r="AB33" i="3" s="1"/>
  <c r="AB34" i="3" l="1"/>
  <c r="U82" i="3" l="1"/>
  <c r="U78" i="3"/>
  <c r="U75" i="3"/>
  <c r="U81" i="3"/>
  <c r="U84" i="3" l="1"/>
  <c r="U7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14" authorId="0" shapeId="0" xr:uid="{A6408980-3D48-4A74-A1E7-3302B7BC7B7C}">
      <text>
        <r>
          <rPr>
            <sz val="9"/>
            <color indexed="81"/>
            <rFont val="Tahoma"/>
            <family val="2"/>
          </rPr>
          <t>Guidance from 4Q2018 shareholder letter released on 1/17/2019</t>
        </r>
      </text>
    </comment>
    <comment ref="T14" authorId="0" shapeId="0" xr:uid="{5868B547-6A54-4A21-B397-959C36086C38}">
      <text>
        <r>
          <rPr>
            <sz val="9"/>
            <color indexed="81"/>
            <rFont val="Tahoma"/>
            <family val="2"/>
          </rPr>
          <t>Revenue guided to $4,928M.
Source: 1Q2019 Shareholder letter.</t>
        </r>
      </text>
    </comment>
    <comment ref="U14" authorId="0" shapeId="0" xr:uid="{A7D1EDF1-1596-493B-B657-6C965BE4309B}">
      <text>
        <r>
          <rPr>
            <sz val="9"/>
            <color indexed="81"/>
            <rFont val="Tahoma"/>
            <family val="2"/>
          </rPr>
          <t>Revenue guided to $5,250M.
Source: 2Q2019 Shareholder letter.</t>
        </r>
      </text>
    </comment>
    <comment ref="V14" authorId="0" shapeId="0" xr:uid="{04183976-52C1-4714-BB79-6F0C9B2B09A4}">
      <text>
        <r>
          <rPr>
            <sz val="9"/>
            <color indexed="81"/>
            <rFont val="Tahoma"/>
            <family val="2"/>
          </rPr>
          <t>Revenue guided to $5,442M.
Source: 3Q2019 Shareholder letter.</t>
        </r>
      </text>
    </comment>
    <comment ref="S22" authorId="0" shapeId="0" xr:uid="{178FBFF9-B337-47CB-B696-20FBB8BECCDA}">
      <text>
        <r>
          <rPr>
            <sz val="9"/>
            <color indexed="81"/>
            <rFont val="Tahoma"/>
            <family val="2"/>
          </rPr>
          <t>Guidance from 4Q2018 shareholder letter released on 1/17/2019</t>
        </r>
      </text>
    </comment>
    <comment ref="T22" authorId="0" shapeId="0" xr:uid="{8114FEC9-62BC-45BF-AB5E-801E4E8D5FBA}">
      <text>
        <r>
          <rPr>
            <sz val="9"/>
            <color indexed="81"/>
            <rFont val="Tahoma"/>
            <family val="2"/>
          </rPr>
          <t>Operating Income guided to $616M.
Source: 1Q2019 Shareholder letter.</t>
        </r>
      </text>
    </comment>
    <comment ref="U22" authorId="0" shapeId="0" xr:uid="{A8B817C1-E90F-4C83-8B43-3636DB68D502}">
      <text>
        <r>
          <rPr>
            <sz val="9"/>
            <color indexed="81"/>
            <rFont val="Tahoma"/>
            <family val="2"/>
          </rPr>
          <t>Operating Income guided to $833M.
Source: 2Q2019 Shareholder letter.</t>
        </r>
      </text>
    </comment>
    <comment ref="V22" authorId="0" shapeId="0" xr:uid="{0D2A89D4-8590-402B-8FB4-C2D1D20D2720}">
      <text>
        <r>
          <rPr>
            <sz val="9"/>
            <color indexed="81"/>
            <rFont val="Tahoma"/>
            <family val="2"/>
          </rPr>
          <t>Operating Income guided to $475M.
Source: 3Q2019 Shareholder letter.</t>
        </r>
      </text>
    </comment>
    <comment ref="S30" authorId="0" shapeId="0" xr:uid="{3BC888A8-B505-43CC-968C-76D8CDFE2A9C}">
      <text>
        <r>
          <rPr>
            <sz val="9"/>
            <color indexed="81"/>
            <rFont val="Tahoma"/>
            <family val="2"/>
          </rPr>
          <t>Guidance from 4Q2018 shareholder letter released on 1/17/2019</t>
        </r>
      </text>
    </comment>
    <comment ref="T30" authorId="0" shapeId="0" xr:uid="{15BE64E9-79D5-4B74-B244-CCC6EA0C346E}">
      <text>
        <r>
          <rPr>
            <sz val="9"/>
            <color indexed="81"/>
            <rFont val="Tahoma"/>
            <family val="2"/>
          </rPr>
          <t>Net Income guided to $249M.
Source: 1Q2019 Shareholder letter.</t>
        </r>
      </text>
    </comment>
    <comment ref="U30" authorId="0" shapeId="0" xr:uid="{82A5D5E3-78AA-49D4-B8FE-9F786F4A6C4B}">
      <text>
        <r>
          <rPr>
            <sz val="9"/>
            <color indexed="81"/>
            <rFont val="Tahoma"/>
            <family val="2"/>
          </rPr>
          <t>Net Income guided to $470M.
Source: 2Q2019 Shareholder letter.</t>
        </r>
      </text>
    </comment>
    <comment ref="V30" authorId="0" shapeId="0" xr:uid="{2E830FFE-06D9-4A67-B6DA-116CCCB2398F}">
      <text>
        <r>
          <rPr>
            <sz val="9"/>
            <color indexed="81"/>
            <rFont val="Tahoma"/>
            <family val="2"/>
          </rPr>
          <t>Net Income guided to $232M.
Source: 3Q2019 Shareholder letter.</t>
        </r>
      </text>
    </comment>
    <comment ref="S34" authorId="0" shapeId="0" xr:uid="{74AE56CB-5A47-4B7C-948B-71BA529CAAFC}">
      <text>
        <r>
          <rPr>
            <sz val="9"/>
            <color indexed="81"/>
            <rFont val="Tahoma"/>
            <family val="2"/>
          </rPr>
          <t>Guidance from 4Q2018 shareholder letter released on 1/17/2019</t>
        </r>
      </text>
    </comment>
    <comment ref="T34" authorId="0" shapeId="0" xr:uid="{487992AD-A6A7-45D1-9B62-6D877D9323BF}">
      <text>
        <r>
          <rPr>
            <sz val="9"/>
            <color indexed="81"/>
            <rFont val="Tahoma"/>
            <family val="2"/>
          </rPr>
          <t>EPS guided to $0.55.
Source: 1Q2019 Shareholder letter.</t>
        </r>
      </text>
    </comment>
    <comment ref="U34" authorId="0" shapeId="0" xr:uid="{D1B8108D-8E8E-4A10-976C-D52E448612AC}">
      <text>
        <r>
          <rPr>
            <sz val="9"/>
            <color indexed="81"/>
            <rFont val="Tahoma"/>
            <family val="2"/>
          </rPr>
          <t>EPS guided to $1.04.
Source: 2Q2019 Shareholder letter.</t>
        </r>
      </text>
    </comment>
    <comment ref="V34" authorId="0" shapeId="0" xr:uid="{55C86A53-1901-4475-A0F2-75727AF393B7}">
      <text>
        <r>
          <rPr>
            <sz val="9"/>
            <color indexed="81"/>
            <rFont val="Tahoma"/>
            <family val="2"/>
          </rPr>
          <t>EPS guided to $0.51
Source: 3Q2019 Shareholder letter.</t>
        </r>
      </text>
    </comment>
    <comment ref="W34" authorId="0" shapeId="0" xr:uid="{B07CBD44-C0FE-4C36-B823-E1BC19250EFE}">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S41" authorId="0" shapeId="0" xr:uid="{3B591FB4-4819-4122-BE7F-8FBF6180C757}">
      <text>
        <r>
          <rPr>
            <b/>
            <sz val="9"/>
            <color indexed="81"/>
            <rFont val="Tahoma"/>
            <family val="2"/>
          </rPr>
          <t>4Q2018 Earnings call on 1/17/2019:</t>
        </r>
        <r>
          <rPr>
            <sz val="9"/>
            <color indexed="81"/>
            <rFont val="Tahoma"/>
            <family val="2"/>
          </rPr>
          <t xml:space="preserve"> "For Q1’19, we forecast global paid net additions of 8.9m, +8% year over year, with 1.6m in the US and 7.3m internationally. Our Q1’19 revenue forecast represents 21% year over year growth (27% FXneutral). Our paid member growth is fairly consistent. Quarter to quarter, revenue growth varies due to factors like FX changes and timing of price changes across different markets. For example, we forecast
Q1’19 international ASP will be up year over year, excluding FX."</t>
        </r>
      </text>
    </comment>
    <comment ref="T41" authorId="0" shapeId="0" xr:uid="{606421A8-7A20-40D1-B0A5-1ED2F4D66BD5}">
      <text>
        <r>
          <rPr>
            <sz val="9"/>
            <color indexed="81"/>
            <rFont val="Tahoma"/>
            <family val="2"/>
          </rPr>
          <t>U.S. Paid Members guided to 60.53, net additions of 0.30.</t>
        </r>
        <r>
          <rPr>
            <b/>
            <sz val="9"/>
            <color indexed="81"/>
            <rFont val="Tahoma"/>
            <family val="2"/>
          </rPr>
          <t xml:space="preserve"> </t>
        </r>
        <r>
          <rPr>
            <sz val="9"/>
            <color indexed="81"/>
            <rFont val="Tahoma"/>
            <family val="2"/>
          </rPr>
          <t xml:space="preserve">
Source: 1Q2019 Shareholder letter.</t>
        </r>
      </text>
    </comment>
    <comment ref="U41" authorId="0" shapeId="0" xr:uid="{1F7BDF1C-1574-4099-9639-94E258E0F84D}">
      <text>
        <r>
          <rPr>
            <sz val="9"/>
            <color indexed="81"/>
            <rFont val="Tahoma"/>
            <family val="2"/>
          </rPr>
          <t>U.S. Paid Members guided to 60.90, net additions of 0.80. 
Source: 2Q2019 Shareholder letter.</t>
        </r>
      </text>
    </comment>
    <comment ref="V41" authorId="0" shapeId="0" xr:uid="{8AD183AF-51BE-4315-8823-6164CD56016F}">
      <text>
        <r>
          <rPr>
            <sz val="9"/>
            <color indexed="81"/>
            <rFont val="Tahoma"/>
            <family val="2"/>
          </rPr>
          <t>U.S. Paid Members guided to 61.22, net additions of 0.60. 
Source: 3Q2019 Shareholder letter.</t>
        </r>
      </text>
    </comment>
    <comment ref="V43" authorId="0" shapeId="0" xr:uid="{0AF5199C-0BFF-486A-B211-CE66FFF0E8A3}">
      <text>
        <r>
          <rPr>
            <b/>
            <sz val="9"/>
            <color indexed="81"/>
            <rFont val="Tahoma"/>
            <family val="2"/>
          </rPr>
          <t>Primary Input:</t>
        </r>
        <r>
          <rPr>
            <sz val="9"/>
            <color indexed="81"/>
            <rFont val="Tahoma"/>
            <family val="2"/>
          </rPr>
          <t xml:space="preserve"> If you believe exclusive content will continue to drive increases in subscribers than increase this growth rate. If not decrease the growth rate.</t>
        </r>
      </text>
    </comment>
    <comment ref="U45" authorId="0" shapeId="0" xr:uid="{1B67C64B-B337-4A5D-AE28-0F263AFEE2C3}">
      <text>
        <r>
          <rPr>
            <sz val="9"/>
            <color indexed="81"/>
            <rFont val="Tahoma"/>
            <family val="2"/>
          </rPr>
          <t>U.S. Streaming revenue guided to $2,400M 
Source: 2Q2019 Shareholder letter.</t>
        </r>
      </text>
    </comment>
    <comment ref="V45" authorId="0" shapeId="0" xr:uid="{A3BB8006-57D5-461B-8D68-0F2951E48E00}">
      <text>
        <r>
          <rPr>
            <sz val="9"/>
            <color indexed="81"/>
            <rFont val="Tahoma"/>
            <family val="2"/>
          </rPr>
          <t>U.S. Streaming revenue guided to $2,455M 
Source: 3Q2019 Shareholder letter.</t>
        </r>
      </text>
    </comment>
    <comment ref="S46" authorId="0" shapeId="0" xr:uid="{3971F01C-B51C-4707-99CF-E827EB14A514}">
      <text>
        <r>
          <rPr>
            <b/>
            <sz val="9"/>
            <color indexed="81"/>
            <rFont val="Tahoma"/>
            <family val="2"/>
          </rPr>
          <t>4Q2018 Earnings call on 1/17/2019:</t>
        </r>
        <r>
          <rPr>
            <sz val="9"/>
            <color indexed="81"/>
            <rFont val="Tahoma"/>
            <family val="2"/>
          </rPr>
          <t xml:space="preserve"> "We just increased our US prices for new members, as we did in Q4 in Canada and Argentina, and in Japan in Q3. The new pricing in the US will be phased in for existing members over Q1 and Q2, which we anticipate will lift ASP."</t>
        </r>
      </text>
    </comment>
    <comment ref="V46" authorId="0" shapeId="0" xr:uid="{3781E2DA-1906-44E0-AD7C-C855488938B6}">
      <text>
        <r>
          <rPr>
            <b/>
            <sz val="9"/>
            <color indexed="81"/>
            <rFont val="Tahoma"/>
            <family val="2"/>
          </rPr>
          <t>Primary Input:</t>
        </r>
        <r>
          <rPr>
            <sz val="9"/>
            <color indexed="81"/>
            <rFont val="Tahoma"/>
            <family val="2"/>
          </rPr>
          <t xml:space="preserve"> If you believe the company's premium content will allow them to continue to increase membership costs than increase the estimates in this row over time.</t>
        </r>
      </text>
    </comment>
    <comment ref="T53" authorId="0" shapeId="0" xr:uid="{E01317DE-C1A1-46B0-8280-D00FD1651089}">
      <text>
        <r>
          <rPr>
            <sz val="9"/>
            <color indexed="81"/>
            <rFont val="Tahoma"/>
            <family val="2"/>
          </rPr>
          <t>U.S. Streaming contribution margin guided to $795M or 34.9%.
Source: 1Q2019 Shareholder letter.</t>
        </r>
      </text>
    </comment>
    <comment ref="U53" authorId="0" shapeId="0" xr:uid="{AC418839-07E3-45A0-85D8-5858758D191A}">
      <text>
        <r>
          <rPr>
            <sz val="9"/>
            <color indexed="81"/>
            <rFont val="Tahoma"/>
            <family val="2"/>
          </rPr>
          <t>U.S. Streaming contribution margin guided to $923M or 38.5%.
Source: 2Q2019 Shareholder letter.</t>
        </r>
      </text>
    </comment>
    <comment ref="V53" authorId="0" shapeId="0" xr:uid="{D77CA735-D581-438E-BB4B-4F06392797B2}">
      <text>
        <r>
          <rPr>
            <sz val="9"/>
            <color indexed="81"/>
            <rFont val="Tahoma"/>
            <family val="2"/>
          </rPr>
          <t>U.S. Streaming contribution margin guided to $777M or 31.6%.
Source: 3Q2019 Shareholder letter.</t>
        </r>
      </text>
    </comment>
    <comment ref="S56" authorId="0" shapeId="0" xr:uid="{42839646-6326-4ABD-91CD-27284E015D46}">
      <text>
        <r>
          <rPr>
            <b/>
            <sz val="9"/>
            <color indexed="81"/>
            <rFont val="Tahoma"/>
            <family val="2"/>
          </rPr>
          <t xml:space="preserve">4Q2018 Earnings call on 1/17/2019: </t>
        </r>
        <r>
          <rPr>
            <sz val="9"/>
            <color indexed="81"/>
            <rFont val="Tahoma"/>
            <family val="2"/>
          </rPr>
          <t>"For Q1’19, we forecast global paid net additions of 8.9m, +8% year over year, with 1.6m in the US and 7.3m internationally. Our Q1’19 revenue forecast represents 21% year over year growth (27% FXneutral). Our paid member growth is fairly consistent. Quarter to quarter, revenue growth varies due to factors like FX changes and timing of price changes across different markets. For example, we forecast Q1’19 international ASP will be up year over year, excluding FX."</t>
        </r>
      </text>
    </comment>
    <comment ref="T56" authorId="0" shapeId="0" xr:uid="{1773C490-434B-4CB9-8268-B5D569AC676C}">
      <text>
        <r>
          <rPr>
            <sz val="9"/>
            <color indexed="81"/>
            <rFont val="Tahoma"/>
            <family val="2"/>
          </rPr>
          <t>International Paid Members guided to 93.33, net additions of 4.70. 
Source: 1Q2019 Shareholder letter.</t>
        </r>
      </text>
    </comment>
    <comment ref="U56" authorId="0" shapeId="0" xr:uid="{A7648BE0-5FC1-471A-9FC2-20BDA8AFBD75}">
      <text>
        <r>
          <rPr>
            <sz val="9"/>
            <color indexed="81"/>
            <rFont val="Tahoma"/>
            <family val="2"/>
          </rPr>
          <t>International Paid Members guided to 97.66, net additions of 6.2. 
Source: 2Q2019 Shareholder letter.</t>
        </r>
      </text>
    </comment>
    <comment ref="V56" authorId="0" shapeId="0" xr:uid="{326C21CC-C7F4-4656-BF3E-87559339E2B0}">
      <text>
        <r>
          <rPr>
            <sz val="9"/>
            <color indexed="81"/>
            <rFont val="Tahoma"/>
            <family val="2"/>
          </rPr>
          <t>International Paid Members guided to 104.71, net additions of 7.0. 
Source: 3Q2019 Shareholder letter.</t>
        </r>
      </text>
    </comment>
    <comment ref="T60" authorId="0" shapeId="0" xr:uid="{503DE47B-11AA-4779-944A-DABBDE93A52A}">
      <text>
        <r>
          <rPr>
            <sz val="9"/>
            <color indexed="81"/>
            <rFont val="Tahoma"/>
            <family val="2"/>
          </rPr>
          <t>International Streaming revenue guided to $2,575M 
Source: 1Q2019 Shareholder letter.</t>
        </r>
      </text>
    </comment>
    <comment ref="U60" authorId="0" shapeId="0" xr:uid="{2448780E-1A3D-49B9-A5E7-F67F986D0DAA}">
      <text>
        <r>
          <rPr>
            <sz val="9"/>
            <color indexed="81"/>
            <rFont val="Tahoma"/>
            <family val="2"/>
          </rPr>
          <t>International Streaming revenue guided to $2,778M 
Source: 2Q2019 Shareholder letter.</t>
        </r>
      </text>
    </comment>
    <comment ref="V60" authorId="0" shapeId="0" xr:uid="{99F39ADD-75A5-4A96-856B-0061072A91A8}">
      <text>
        <r>
          <rPr>
            <sz val="9"/>
            <color indexed="81"/>
            <rFont val="Tahoma"/>
            <family val="2"/>
          </rPr>
          <t>International Streaming revenue guided to $2,918M 
Source: 3Q2019 Shareholder letter.</t>
        </r>
      </text>
    </comment>
    <comment ref="T68" authorId="0" shapeId="0" xr:uid="{AD66671B-C84A-42C1-BF0F-955807074F70}">
      <text>
        <r>
          <rPr>
            <sz val="9"/>
            <color indexed="81"/>
            <rFont val="Tahoma"/>
            <family val="2"/>
          </rPr>
          <t>International Streaming contribution margin guided to $400M or 15.5%.
Source: 1Q2019 Shareholder letter.</t>
        </r>
      </text>
    </comment>
    <comment ref="U68" authorId="0" shapeId="0" xr:uid="{90B852A5-69BD-4B10-9CBE-2E36B01D7970}">
      <text>
        <r>
          <rPr>
            <sz val="9"/>
            <color indexed="81"/>
            <rFont val="Tahoma"/>
            <family val="2"/>
          </rPr>
          <t>International Streaming contribution margin guided to $503M or 18.1%.
Source: 2Q2019 Shareholder letter.</t>
        </r>
      </text>
    </comment>
    <comment ref="V68" authorId="0" shapeId="0" xr:uid="{F0A23978-33D7-4EAC-8E2E-747E3E488CED}">
      <text>
        <r>
          <rPr>
            <sz val="9"/>
            <color indexed="81"/>
            <rFont val="Tahoma"/>
            <family val="2"/>
          </rPr>
          <t>International Streaming contribution margin guided to $309M or 10.6%.
Source: 3Q2019 Shareholder letter.</t>
        </r>
      </text>
    </comment>
    <comment ref="S91" authorId="0" shapeId="0" xr:uid="{08DEC145-3BF6-4C3D-BE1C-C9E18FF7F441}">
      <text>
        <r>
          <rPr>
            <b/>
            <sz val="9"/>
            <color indexed="81"/>
            <rFont val="Tahoma"/>
            <family val="2"/>
          </rPr>
          <t>4Q2018 Earnings call on 1/17/2019:</t>
        </r>
        <r>
          <rPr>
            <sz val="9"/>
            <color indexed="81"/>
            <rFont val="Tahoma"/>
            <family val="2"/>
          </rPr>
          <t xml:space="preserve"> "Our multi-year plan is to keep significantly growing our content while increasing our revenue faster to expand our operating margins. We’re targeting a 9% operating margin in Q1’19, which we expect will grow over the course of the year and our full year operating margin target for 2019 remains 13% vs. 10% in 2018. A majority of our revenue is not in dollars, so when there are material FX moves, investors know to expect proportionate top line changes. In such FX cases, we’ll seek to adjust our prices and costs over time, but since that will lag the revenue changes, and since we don’t hedge FX, this would lead to short-term margin variations from our steady progression."</t>
        </r>
      </text>
    </comment>
    <comment ref="T91" authorId="0" shapeId="0" xr:uid="{84E45934-69B0-4D42-A63C-8ED73399A946}">
      <text>
        <r>
          <rPr>
            <sz val="9"/>
            <color indexed="81"/>
            <rFont val="Tahoma"/>
            <family val="2"/>
          </rPr>
          <t>Operating margin guided to 12.5%.
Source: 1Q2019 Shareholder letter.</t>
        </r>
      </text>
    </comment>
    <comment ref="U91" authorId="0" shapeId="0" xr:uid="{F0E00A34-428D-46D1-B0D9-C006CF6B2A41}">
      <text>
        <r>
          <rPr>
            <sz val="9"/>
            <color indexed="81"/>
            <rFont val="Tahoma"/>
            <family val="2"/>
          </rPr>
          <t>Operating margin guided to 15.9%.
Source: 2Q2019 Shareholder letter.</t>
        </r>
      </text>
    </comment>
    <comment ref="V91" authorId="0" shapeId="0" xr:uid="{36035D3D-56E5-45FD-B8D4-44684669218E}">
      <text>
        <r>
          <rPr>
            <sz val="9"/>
            <color indexed="81"/>
            <rFont val="Tahoma"/>
            <family val="2"/>
          </rPr>
          <t>Operating margin guided to 8.7%.
Source: 3Q2019 Shareholder letter.</t>
        </r>
      </text>
    </comment>
    <comment ref="W91" authorId="0" shapeId="0" xr:uid="{30FE6FA2-3AD0-4433-B386-095F2C5B2773}">
      <text>
        <r>
          <rPr>
            <b/>
            <sz val="9"/>
            <color indexed="81"/>
            <rFont val="Tahoma"/>
            <family val="2"/>
          </rPr>
          <t xml:space="preserve">1Q2019 Shareholder Letter: </t>
        </r>
        <r>
          <rPr>
            <sz val="9"/>
            <color indexed="81"/>
            <rFont val="Tahoma"/>
            <family val="2"/>
          </rPr>
          <t>"While there will be some quarter-to-quarter lumpiness in operating margins due to the timing of spending, our full year 2019 operating margin target of 13% is unchanged, which means that we expect operating margin in the second half of the year will be higher than the first half."</t>
        </r>
        <r>
          <rPr>
            <b/>
            <sz val="9"/>
            <color indexed="81"/>
            <rFont val="Tahoma"/>
            <family val="2"/>
          </rPr>
          <t xml:space="preserve">
4Q2018 Earnings call on 1/17/2019: </t>
        </r>
        <r>
          <rPr>
            <sz val="9"/>
            <color indexed="81"/>
            <rFont val="Tahoma"/>
            <family val="2"/>
          </rPr>
          <t>"Our multi-year plan is to keep significantly growing our content while increasing our revenue faster to expand our operating margins. We’re targeting a 9% operating margin in Q1’19, which we expect will grow over the course of the year and our full year operating margin target for 2019 remains 13% vs. 10% in 2018. A majority of our revenue is not in dollars, so when there are material FX moves, investors know to expect proportionate top line changes. In such FX cases, we’ll seek to adjust our prices and costs over time, but since that will lag the revenue changes, and since we don’t hedge FX, this would lead to short-term margin variations from our steady progression."</t>
        </r>
      </text>
    </comment>
    <comment ref="T92" authorId="0" shapeId="0" xr:uid="{AA06AFBB-C805-4684-9934-5829F609C348}">
      <text>
        <r>
          <rPr>
            <b/>
            <sz val="9"/>
            <color indexed="81"/>
            <rFont val="Tahoma"/>
            <family val="2"/>
          </rPr>
          <t xml:space="preserve">1Q2019 Shareholder Leter: </t>
        </r>
        <r>
          <rPr>
            <sz val="9"/>
            <color indexed="81"/>
            <rFont val="Tahoma"/>
            <family val="2"/>
          </rPr>
          <t>"As a result of US tax reform, we took the opportunity to simplify our corporate structure. This will result in a higher effective tax rate in 2019, including an expected effective tax rate of 48% in Q2’19 due to one time discrete events. Longer term, we expect our effective tax rate to trend down toward U.S. federal rates."</t>
        </r>
      </text>
    </comment>
    <comment ref="U92" authorId="0" shapeId="0" xr:uid="{F8B51416-AE80-4EBB-B89E-EECDC0F60BAE}">
      <text>
        <r>
          <rPr>
            <sz val="9"/>
            <color indexed="81"/>
            <rFont val="Tahoma"/>
            <family val="2"/>
          </rPr>
          <t>1Q2019 Shareholder Leter: "As a result of US tax reform, we took the opportunity to simplify our corporate structure. This will result in a higher effective tax rate in 2019, including an expected effective tax rate of 48% in Q2’19 due to one time discrete events. Longer term, we expect our effective tax rate to trend down toward U.S. federal rates."</t>
        </r>
      </text>
    </comment>
    <comment ref="W194" authorId="0" shapeId="0" xr:uid="{B038CC4A-0532-4788-A113-B8EEC57AD796}">
      <text>
        <r>
          <rPr>
            <b/>
            <sz val="9"/>
            <color indexed="81"/>
            <rFont val="Tahoma"/>
            <family val="2"/>
          </rPr>
          <t>3Q2019 Shareholder Letter: "</t>
        </r>
        <r>
          <rPr>
            <sz val="9"/>
            <color indexed="81"/>
            <rFont val="Tahoma"/>
            <family val="2"/>
          </rPr>
          <t xml:space="preserve">For the full year 2019, we’re still expecting FCF of approximately -$3.5 billion. With our quickly growing revenue base and expanding operating margins, we will be able to fund more of our content spending internally. As a result, we’re expecting free cash flow to improve in 2020 vs. 2019 and we expect to continue to improve annually beyond 2020. As we move slowly toward FCF positive, our plan is to continue to use the high yield market in the interim to finance our investment needs." 
</t>
        </r>
        <r>
          <rPr>
            <b/>
            <sz val="9"/>
            <color indexed="81"/>
            <rFont val="Tahoma"/>
            <family val="2"/>
          </rPr>
          <t xml:space="preserve">
2Q2019 Shareholder Letter:</t>
        </r>
        <r>
          <rPr>
            <sz val="9"/>
            <color indexed="81"/>
            <rFont val="Tahoma"/>
            <family val="2"/>
          </rPr>
          <t xml:space="preserve"> "We’re still forecasting FCF of approximately -$3.5 billion for the full year 2019 and expect improvement in 2020. From there, we’ll
continue to reduce our free cash flow deficit as we intend to continue growing our member base, revenues, and operating margin, which provides a clear path towards positive FCF. In the meantime, our plan is still to use high yield debt to fund our content investments as we did in April. In our most recent round, we raised 10.5 year senior notes of €1.2 billion (3.875% coupon) and $900 million (5.375%
coupon)."
</t>
        </r>
        <r>
          <rPr>
            <b/>
            <sz val="9"/>
            <color indexed="81"/>
            <rFont val="Tahoma"/>
            <family val="2"/>
          </rPr>
          <t>Past Guidance 1Q2019 Shareholder letter:</t>
        </r>
        <r>
          <rPr>
            <sz val="9"/>
            <color indexed="81"/>
            <rFont val="Tahoma"/>
            <family val="2"/>
          </rPr>
          <t xml:space="preserve"> "We now expect 2019 free cash flow deficit to be modestly higher at approximately -$3.5 billion due to higher cash taxes related to the change in our corporate structure and additional investments in real estate and other infrastructure. We’re still expecting free cash flow to improve in 2020 and each year thereafter, driven by our growing member base, revenues, and operating margins." </t>
        </r>
      </text>
    </comment>
    <comment ref="B206" authorId="0" shapeId="0" xr:uid="{C585BDB1-B73D-4261-A832-545D655425CC}">
      <text>
        <r>
          <rPr>
            <sz val="9"/>
            <color indexed="81"/>
            <rFont val="Tahoma"/>
            <family val="2"/>
          </rPr>
          <t>Amortization of streaming content assets makes up the majority of cost of revenues.</t>
        </r>
      </text>
    </comment>
    <comment ref="B210" authorId="0" shapeId="0" xr:uid="{F789C202-E518-4FE7-901E-DBFB65C32F92}">
      <text>
        <r>
          <rPr>
            <b/>
            <sz val="9"/>
            <color indexed="81"/>
            <rFont val="Tahoma"/>
            <family val="2"/>
          </rPr>
          <t xml:space="preserve">Multiple Note 1) </t>
        </r>
        <r>
          <rPr>
            <sz val="9"/>
            <color indexed="81"/>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10/16/2019.</t>
        </r>
      </text>
    </comment>
    <comment ref="B218" authorId="0" shapeId="0" xr:uid="{861BD2B8-6B43-4A14-8C17-E5891E2376D0}">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10/16/2019.</t>
        </r>
      </text>
    </comment>
    <comment ref="B245" authorId="0" shapeId="0" xr:uid="{0B687D9C-DEAB-40E6-9BE6-315B785F33A7}">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10/16/2019.</t>
        </r>
      </text>
    </comment>
  </commentList>
</comments>
</file>

<file path=xl/sharedStrings.xml><?xml version="1.0" encoding="utf-8"?>
<sst xmlns="http://schemas.openxmlformats.org/spreadsheetml/2006/main" count="1356" uniqueCount="347">
  <si>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</si>
  <si>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</si>
  <si>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</si>
  <si>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</si>
  <si>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</si>
  <si>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</si>
  <si>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</si>
  <si>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</si>
  <si>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</si>
  <si>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</si>
  <si>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</si>
  <si>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</si>
  <si>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</si>
  <si>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</si>
  <si>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</si>
  <si>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</si>
  <si>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</si>
  <si>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</si>
  <si>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</si>
  <si>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</si>
  <si>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</si>
  <si>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</si>
  <si>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</si>
  <si>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Number of days of payables</t>
  </si>
  <si>
    <t>Cash Flow Ratios &amp; Assumptions</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</si>
  <si>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</si>
  <si>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</si>
  <si>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</si>
  <si>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</si>
  <si>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</si>
  <si>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</si>
  <si>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</si>
  <si>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</si>
  <si>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</si>
  <si>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</si>
  <si>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</si>
  <si>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</si>
  <si>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</si>
  <si>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Cash and equivalents</t>
  </si>
  <si>
    <t>Accounts payable</t>
  </si>
  <si>
    <t>Other non-current liabilities</t>
  </si>
  <si>
    <t xml:space="preserve">Retained earnings </t>
  </si>
  <si>
    <t>Total shareholders' equity</t>
  </si>
  <si>
    <t>Beta (relative to the S&amp;P500)</t>
  </si>
  <si>
    <t>Revenue growth (in perpetuity)</t>
  </si>
  <si>
    <t>Constant CFO growth rate</t>
  </si>
  <si>
    <t>DCF Valuation</t>
  </si>
  <si>
    <t xml:space="preserve">Net income </t>
  </si>
  <si>
    <t xml:space="preserve">Basic EPS </t>
  </si>
  <si>
    <t xml:space="preserve">Diluted EPS </t>
  </si>
  <si>
    <t>DCF Period (approximate number of years)</t>
  </si>
  <si>
    <t xml:space="preserve">Plus cash/(debt) per share </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</si>
  <si>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</si>
  <si>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</si>
  <si>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</si>
  <si>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</si>
  <si>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</si>
  <si>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</si>
  <si>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</si>
  <si>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</si>
  <si>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 xml:space="preserve">Net Cash and investments per share </t>
  </si>
  <si>
    <t>Payables turnover</t>
  </si>
  <si>
    <t>Share Count Analysis</t>
  </si>
  <si>
    <t>Revenue</t>
  </si>
  <si>
    <t>Mean monthly return</t>
  </si>
  <si>
    <t xml:space="preserve">Standard deviation </t>
  </si>
  <si>
    <t>Implied upper bound</t>
  </si>
  <si>
    <t>Implied Lower bound</t>
  </si>
  <si>
    <t>Implied target value</t>
  </si>
  <si>
    <t>Implied 50/50 average target value</t>
  </si>
  <si>
    <t xml:space="preserve">Implied target price band </t>
  </si>
  <si>
    <t>Operating expenses:</t>
  </si>
  <si>
    <t>Total operating income/(loss)</t>
  </si>
  <si>
    <t>Income/(loss) before income tax</t>
  </si>
  <si>
    <t>Deferred income taxes</t>
  </si>
  <si>
    <t>Depreciation &amp; amortization-to-average P&amp;E</t>
  </si>
  <si>
    <t>Total Debt</t>
  </si>
  <si>
    <t xml:space="preserve">Cash and investments </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</si>
  <si>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</si>
  <si>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</si>
  <si>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</si>
  <si>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</si>
  <si>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</si>
  <si>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</si>
  <si>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</si>
  <si>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</si>
  <si>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</si>
  <si>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</si>
  <si>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</si>
  <si>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</si>
  <si>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</si>
  <si>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</si>
  <si>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</si>
  <si>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</si>
  <si>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</si>
  <si>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</si>
  <si>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</si>
  <si>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</si>
  <si>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</si>
  <si>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</si>
  <si>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</si>
  <si>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</si>
  <si>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</si>
  <si>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</si>
  <si>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</si>
  <si>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</si>
  <si>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Target share price</t>
  </si>
  <si>
    <t>DCF check</t>
  </si>
  <si>
    <t>Estimate of Risk Free (future 10yr UST)</t>
  </si>
  <si>
    <t>Segment Data</t>
  </si>
  <si>
    <t>Reconciliation</t>
  </si>
  <si>
    <t>Adjustments</t>
  </si>
  <si>
    <t>Constant market Sharpe ratio</t>
  </si>
  <si>
    <t>S&amp;P500 implied volatility</t>
  </si>
  <si>
    <t>Constant Growth Stage Assumptions</t>
  </si>
  <si>
    <t>Stage 2 Long-Term WACC</t>
  </si>
  <si>
    <t>Risk Estimation Summary</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</si>
  <si>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</si>
  <si>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</si>
  <si>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</si>
  <si>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</si>
  <si>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</si>
  <si>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</si>
  <si>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</si>
  <si>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</si>
  <si>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</si>
  <si>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</si>
  <si>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</si>
  <si>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</si>
  <si>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</si>
  <si>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</si>
  <si>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</si>
  <si>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</si>
  <si>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</si>
  <si>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</si>
  <si>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</si>
  <si>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</si>
  <si>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</si>
  <si>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</si>
  <si>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</si>
  <si>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</si>
  <si>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</si>
  <si>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</si>
  <si>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</si>
  <si>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</si>
  <si>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</si>
  <si>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</si>
  <si>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</si>
  <si>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</si>
  <si>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</si>
  <si>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</si>
  <si>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</si>
  <si>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</si>
  <si>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</si>
  <si>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</si>
  <si>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</si>
  <si>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March-22</t>
  </si>
  <si>
    <t>June-22</t>
  </si>
  <si>
    <t>Sept-22</t>
  </si>
  <si>
    <t>Dec-22</t>
  </si>
  <si>
    <t>March-23</t>
  </si>
  <si>
    <t>June-23</t>
  </si>
  <si>
    <t>Sept-23</t>
  </si>
  <si>
    <t>Dec-23</t>
  </si>
  <si>
    <t xml:space="preserve">   Gross Profit</t>
  </si>
  <si>
    <t>Cost of revenue</t>
  </si>
  <si>
    <t>General and administrative</t>
  </si>
  <si>
    <t>Interest and other income (expense)</t>
  </si>
  <si>
    <t>Gross Margin</t>
  </si>
  <si>
    <t>Tax benefit from share-based award activity</t>
  </si>
  <si>
    <t>Excess tax benefit from share-based award activity</t>
  </si>
  <si>
    <t>Other financing activities</t>
  </si>
  <si>
    <t>Effect of exchange rate changes &amp; restricted cash</t>
  </si>
  <si>
    <t>Property and equipment, net</t>
  </si>
  <si>
    <t>Day Count (assume 90 days)</t>
  </si>
  <si>
    <t>Interest income as a % of investments and cash</t>
  </si>
  <si>
    <t>Revenue growth rate (GAAP, YoY)</t>
  </si>
  <si>
    <t>Revenue growth rate (GAAP, QoQ)</t>
  </si>
  <si>
    <t>1Q19E</t>
  </si>
  <si>
    <t>2Q19E</t>
  </si>
  <si>
    <t>3Q19E</t>
  </si>
  <si>
    <t>4Q19E</t>
  </si>
  <si>
    <t>2019E</t>
  </si>
  <si>
    <t>1Q20E</t>
  </si>
  <si>
    <t>2Q20E</t>
  </si>
  <si>
    <t>3Q20E</t>
  </si>
  <si>
    <t>4Q20E</t>
  </si>
  <si>
    <t>2020E</t>
  </si>
  <si>
    <t>1Q21E</t>
  </si>
  <si>
    <t>2Q21E</t>
  </si>
  <si>
    <t>3Q21E</t>
  </si>
  <si>
    <t>4Q21E</t>
  </si>
  <si>
    <t>2021E</t>
  </si>
  <si>
    <t>1Q22E</t>
  </si>
  <si>
    <t>2Q22E</t>
  </si>
  <si>
    <t>3Q22E</t>
  </si>
  <si>
    <t>4Q22E</t>
  </si>
  <si>
    <t>2022E</t>
  </si>
  <si>
    <t>1Q23E</t>
  </si>
  <si>
    <t>2Q23E</t>
  </si>
  <si>
    <t>3Q23E</t>
  </si>
  <si>
    <t>4Q23E</t>
  </si>
  <si>
    <t>2023E</t>
  </si>
  <si>
    <t>Netflix Income Statement</t>
  </si>
  <si>
    <t>Netflix Balance Sheet</t>
  </si>
  <si>
    <t>Netflix Cash Flow Statement</t>
  </si>
  <si>
    <t>Marketing</t>
  </si>
  <si>
    <t>Technology and development</t>
  </si>
  <si>
    <t>Interest (expense)</t>
  </si>
  <si>
    <t>Average paid members per period</t>
  </si>
  <si>
    <t>Contribution profit margin (%)</t>
  </si>
  <si>
    <t>Free trials</t>
  </si>
  <si>
    <t>Paid members at end of period</t>
  </si>
  <si>
    <t>Streaming revenue ($M)</t>
  </si>
  <si>
    <t xml:space="preserve">Cost of revenue </t>
  </si>
  <si>
    <t>Gross margin (%)</t>
  </si>
  <si>
    <t>Marketing expense ($M)</t>
  </si>
  <si>
    <t>Paid member growth (YoY)</t>
  </si>
  <si>
    <t>Marketing expense per average paid member ($M)</t>
  </si>
  <si>
    <t>Quarterly subscription revenue per average paid member ($)</t>
  </si>
  <si>
    <t>Contribution profit ($M)</t>
  </si>
  <si>
    <t>Paid net membership additions (sequential, QoQ)</t>
  </si>
  <si>
    <t>International Streaming Details</t>
  </si>
  <si>
    <t>DVD Details</t>
  </si>
  <si>
    <t>DVD revenue ($M)</t>
  </si>
  <si>
    <t>Marketing costs</t>
  </si>
  <si>
    <t>Operating profit</t>
  </si>
  <si>
    <t>EBITDA (GAAP)</t>
  </si>
  <si>
    <t>EBITDA (Non-GAAP)</t>
  </si>
  <si>
    <t>Short-term investments</t>
  </si>
  <si>
    <t>Current content assets, net</t>
  </si>
  <si>
    <t>Other current assets</t>
  </si>
  <si>
    <t>Non-current content assets, net</t>
  </si>
  <si>
    <t>Other non-current assets</t>
  </si>
  <si>
    <t>Current content liabilities</t>
  </si>
  <si>
    <t>Accrued expenses</t>
  </si>
  <si>
    <t>Deferred revenue</t>
  </si>
  <si>
    <t>Non-current content liabilities</t>
  </si>
  <si>
    <t>Long-term debt</t>
  </si>
  <si>
    <t>Accumulated other comprehensive income/(loss)</t>
  </si>
  <si>
    <t>Additions to streaming content assets</t>
  </si>
  <si>
    <t>Change in streaming content liabilities</t>
  </si>
  <si>
    <t>Amortization of streaming content assets</t>
  </si>
  <si>
    <t>Amortization of DVD content assets</t>
  </si>
  <si>
    <t>Depreciation &amp; amort of P&amp;E and intangibles</t>
  </si>
  <si>
    <t>Stock-based compensation expense</t>
  </si>
  <si>
    <t>Changes in operating assets &amp; liabilities</t>
  </si>
  <si>
    <t>Excess tax benefit from stock-based compensation</t>
  </si>
  <si>
    <t>Other non-cash items</t>
  </si>
  <si>
    <t>Other non-current assets and liabilities</t>
  </si>
  <si>
    <t>Acquisition of DVD content assets</t>
  </si>
  <si>
    <t>Purchases of property and equipment</t>
  </si>
  <si>
    <t>Change in other assets</t>
  </si>
  <si>
    <t>Purchases of short-term investments</t>
  </si>
  <si>
    <t>Proceeds from maturities of short-term investments</t>
  </si>
  <si>
    <t>Proceeds from issuance of debt</t>
  </si>
  <si>
    <t>Issuance costs</t>
  </si>
  <si>
    <t>Proceeds from issuance of common stock</t>
  </si>
  <si>
    <t>Non-GAAP Free Cash Flow to Firm (FCFF)</t>
  </si>
  <si>
    <t>Net cash used in operating activities</t>
  </si>
  <si>
    <t>Proceeds from sale of short-term investments</t>
  </si>
  <si>
    <t>Non-GAAP EBITDA Adjustments (SBC)</t>
  </si>
  <si>
    <t>Stock-based compensation (SBC) expense</t>
  </si>
  <si>
    <t>SBC as a percentage of revenue</t>
  </si>
  <si>
    <t>Technology and development as a % of revenue</t>
  </si>
  <si>
    <t>General and administrative as a % of revenue</t>
  </si>
  <si>
    <t>Streaming Content investment to revenue</t>
  </si>
  <si>
    <t>Current content assets to total content assets</t>
  </si>
  <si>
    <t>Debt to Equity</t>
  </si>
  <si>
    <t>Notes &amp; Instructions</t>
  </si>
  <si>
    <t>Average deferred revenue to total revenue</t>
  </si>
  <si>
    <t>Average accrued expenses to total operating expenses</t>
  </si>
  <si>
    <t>Common stock &amp; Additional Paid-in Capital</t>
  </si>
  <si>
    <r>
      <rPr>
        <b/>
        <sz val="11"/>
        <color theme="1"/>
        <rFont val="Calibri"/>
        <family val="2"/>
        <scheme val="minor"/>
      </rPr>
      <t>Other assets:</t>
    </r>
    <r>
      <rPr>
        <sz val="11"/>
        <color theme="1"/>
        <rFont val="Calibri"/>
        <family val="2"/>
        <scheme val="minor"/>
      </rPr>
      <t xml:space="preserve"> Projected using a growth scaling factor based on the average growth of the last four quarters (QoQ, sequential balance growth)</t>
    </r>
  </si>
  <si>
    <r>
      <t xml:space="preserve">Accrued expenses: </t>
    </r>
    <r>
      <rPr>
        <sz val="11"/>
        <color theme="1"/>
        <rFont val="Calibri"/>
        <family val="2"/>
        <scheme val="minor"/>
      </rPr>
      <t>Modeled based on the historic ratio of average accrued expenses to total operating expenses.</t>
    </r>
  </si>
  <si>
    <r>
      <rPr>
        <b/>
        <sz val="11"/>
        <color theme="1"/>
        <rFont val="Calibri"/>
        <family val="2"/>
        <scheme val="minor"/>
      </rPr>
      <t xml:space="preserve">Deferred revenue: </t>
    </r>
    <r>
      <rPr>
        <sz val="11"/>
        <color theme="1"/>
        <rFont val="Calibri"/>
        <family val="2"/>
        <scheme val="minor"/>
      </rPr>
      <t xml:space="preserve"> Deferred revenue consists of membership fees billed that have not been recognized and gift and other prepaid memberships that have not been redeemed. This account is modeled based on a percentage of total revenue.</t>
    </r>
  </si>
  <si>
    <r>
      <rPr>
        <b/>
        <sz val="11"/>
        <color theme="1"/>
        <rFont val="Calibri"/>
        <family val="2"/>
        <scheme val="minor"/>
      </rPr>
      <t>Other non-current liabilities:</t>
    </r>
    <r>
      <rPr>
        <sz val="11"/>
        <color theme="1"/>
        <rFont val="Calibri"/>
        <family val="2"/>
        <scheme val="minor"/>
      </rPr>
      <t xml:space="preserve"> Projected using a growth scaling factor based on the average growth of the last four quarters (QoQ, sequential balance growth).</t>
    </r>
  </si>
  <si>
    <r>
      <rPr>
        <b/>
        <sz val="11"/>
        <color theme="1"/>
        <rFont val="Calibri"/>
        <family val="2"/>
        <scheme val="minor"/>
      </rPr>
      <t xml:space="preserve">From the 10-K 12/31/2018: </t>
    </r>
    <r>
      <rPr>
        <sz val="11"/>
        <color theme="1"/>
        <rFont val="Calibri"/>
        <family val="2"/>
        <scheme val="minor"/>
      </rPr>
      <t>"</t>
    </r>
    <r>
      <rPr>
        <i/>
        <sz val="11"/>
        <color theme="1"/>
        <rFont val="Calibri"/>
        <family val="2"/>
        <scheme val="minor"/>
      </rPr>
      <t>We acquire, license and produce content, including original programing, in order to offer our members unlimited viewing of TV series and films. The content licenses are for a fixed fee and specific windows of availability. Payment terms for certain content licenses and the production of content require more upfront cash payments relative to the amortization expense. Payments for content, including additions to streaming assets and the changes in related liabilities, are classified within "Net cash used in operating activities" on the Consolidated Statements of Cash Flows. 
For licenses, we capitalize the fee per title and record a corresponding liability at the gross amount of the liability when the license period begins, the cost of the title is known and the title is accepted and available for streaming. The portion available for streaming within one year is recognized as “Current content assets, net” and the remaining portion as “Non-current content assets, net” on the Consolidated Balance Sheets.
For productions, we capitalize costs associated with the production, including development cost, direct costs and production  overhead. We include these amounts in "Non-current content assets, net" on the Consolidated Balance Sheets. Participations and residuals are expensed in line with the amortization of production costs. 
Based on factors including historical and estimated viewing patterns, we amortize the content assets (licensed and produced) in “Cost of revenues” on the Consolidated Statements of Operations over the shorter of each title's contractual window of availability or estimated period of use or ten years, beginning with the month of first availability. The amortization is on an accelerated basis, as we typically expect more upfront viewing, for instance due to additional merchandising and marketing efforts, and film amortization is more accelerated than TV series amortization. We review factors that impact the amortization of the content assets on an ongoing basis. Our estimates related to these factors require considerable management judgment.</t>
    </r>
    <r>
      <rPr>
        <sz val="11"/>
        <color theme="1"/>
        <rFont val="Calibri"/>
        <family val="2"/>
        <scheme val="minor"/>
      </rPr>
      <t>"</t>
    </r>
  </si>
  <si>
    <t>4) Balance Sheet</t>
  </si>
  <si>
    <r>
      <t xml:space="preserve">Stock-Based Compensation (SBC): </t>
    </r>
    <r>
      <rPr>
        <sz val="11"/>
        <color theme="1"/>
        <rFont val="Calibri"/>
        <family val="2"/>
        <scheme val="minor"/>
      </rPr>
      <t>Projected based on the historic ratio of SBC to revenue. Excess tax benefit from stock-based compensation and proceeds from issuance of common stock to SBC are projected using the ratios from the last reported quarter.</t>
    </r>
  </si>
  <si>
    <r>
      <t>Changes in operating assets &amp; liabilities:</t>
    </r>
    <r>
      <rPr>
        <sz val="11"/>
        <color theme="1"/>
        <rFont val="Calibri"/>
        <family val="2"/>
        <scheme val="minor"/>
      </rPr>
      <t xml:space="preserve"> Taken directly from the projected changes in the Balance Sheet Accounts.</t>
    </r>
  </si>
  <si>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</si>
  <si>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t>Cash and equivalents at end of period (Balance Sheet)</t>
  </si>
  <si>
    <t>Change in restricted cash</t>
  </si>
  <si>
    <t>Interest expense as a % of average debt</t>
  </si>
  <si>
    <t>Operating Margin</t>
  </si>
  <si>
    <t>U.S. Streaming Details</t>
  </si>
  <si>
    <t>U.S. Streaming paid members</t>
  </si>
  <si>
    <t>U.S. Streaming Contribution profit ($M)</t>
  </si>
  <si>
    <t>U.S. Streaming Contribution profit margin (%)</t>
  </si>
  <si>
    <t>International Streaming paid members</t>
  </si>
  <si>
    <t>International Streaming Contribution profit ($M)</t>
  </si>
  <si>
    <t>International Streaming Contribution profit margin (%)</t>
  </si>
  <si>
    <t>EBITDA per share (Non-GAAP)</t>
  </si>
  <si>
    <t>P/EBITDA (2020E) 3-month average</t>
  </si>
  <si>
    <t>P/EBITDA (2020E) 3-month high</t>
  </si>
  <si>
    <t>P/EBITDA (2020E) 3-month low</t>
  </si>
  <si>
    <t>Implied P/EBITDA (2020E) target value</t>
  </si>
  <si>
    <t>Implied P/EBITDA 12-month target value</t>
  </si>
  <si>
    <t>https://www.gutenbergresearch.com/certificateprogram.html</t>
  </si>
  <si>
    <r>
      <rPr>
        <b/>
        <sz val="11"/>
        <color theme="1"/>
        <rFont val="Calibri"/>
        <family val="2"/>
        <scheme val="minor"/>
      </rPr>
      <t>Want Additional Details on Our Modeling Approach?</t>
    </r>
    <r>
      <rPr>
        <sz val="11"/>
        <color theme="1"/>
        <rFont val="Calibri"/>
        <family val="2"/>
        <scheme val="minor"/>
      </rPr>
      <t xml:space="preserve"> Check out our training course</t>
    </r>
  </si>
  <si>
    <r>
      <rPr>
        <b/>
        <i/>
        <sz val="11"/>
        <color theme="1"/>
        <rFont val="Calibri"/>
        <family val="2"/>
        <scheme val="minor"/>
      </rPr>
      <t>2) 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t>
    </r>
  </si>
  <si>
    <r>
      <rPr>
        <b/>
        <sz val="11"/>
        <color theme="1"/>
        <rFont val="Calibri"/>
        <family val="2"/>
        <scheme val="minor"/>
      </rPr>
      <t>Interest expense and income:</t>
    </r>
    <r>
      <rPr>
        <sz val="11"/>
        <color theme="1"/>
        <rFont val="Calibri"/>
        <family val="2"/>
        <scheme val="minor"/>
      </rPr>
      <t xml:space="preserve"> These amounts are forecasted based on effective interest rates. Note that other income items are reported on the other income line. These amounts are deemed de minis and not adjusted. To prevent a circular reference error the prior period debt/investment balances are used in the forecast as an approximation. If necessary the effective interest rate forecasts may be adjusted to compensate for significant future period balance changes. </t>
    </r>
  </si>
  <si>
    <r>
      <t>Content assets and liabilities:</t>
    </r>
    <r>
      <rPr>
        <sz val="11"/>
        <color theme="1"/>
        <rFont val="Calibri"/>
        <family val="2"/>
        <scheme val="minor"/>
      </rPr>
      <t xml:space="preserve"> These balances are modeled first using an estimate of the total future investment in streaming content (based on a streaming content investment to revenue ratio). Next, the content assets are allocated to current and non-current balances based on the historic percentages of each classification. The amortization of the assets is based on the historic amortization, and additional cost of revenue in excess of content amortization. Finally, the liabilities are projected based on a ratio of content assets to liabilities, using historic averages for the future forecast. Note: Acquisition of/and amortization of DVD content is immaterial. Projections are based on recent historic trends.</t>
    </r>
  </si>
  <si>
    <r>
      <rPr>
        <b/>
        <sz val="11"/>
        <color theme="1"/>
        <rFont val="Calibri"/>
        <family val="2"/>
        <scheme val="minor"/>
      </rPr>
      <t>Long-term debt:</t>
    </r>
    <r>
      <rPr>
        <sz val="11"/>
        <color theme="1"/>
        <rFont val="Calibri"/>
        <family val="2"/>
        <scheme val="minor"/>
      </rPr>
      <t xml:space="preserve"> A simplified approach is used based on the debt to equity ratio. Note that this results in small debt issuances each projection quarter, which would be more likely to come in larger periodic issuances (not every quarter), however the approach is reasonable over the long term. Debt issuance costs are de minimis and are assumed to be included in the debt to equity ratio based forecast.</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</si>
  <si>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Future retained earnings is based on the projected net income from the Income Statement. Accumulated other comprehensive income will change due to changes in foreign currency, however the impact is expected to be de minimis to the overall model, so it is held flat to the last reported balance.</t>
    </r>
  </si>
  <si>
    <r>
      <t xml:space="preserve">Deferred income taxes and other non cash items: </t>
    </r>
    <r>
      <rPr>
        <sz val="11"/>
        <color theme="1"/>
        <rFont val="Calibri"/>
        <family val="2"/>
        <scheme val="minor"/>
      </rPr>
      <t>Deemed de minimis, not forecasted separately from all other assets/liabilities.</t>
    </r>
  </si>
  <si>
    <r>
      <rPr>
        <b/>
        <i/>
        <sz val="11"/>
        <color theme="1"/>
        <rFont val="Calibri"/>
        <family val="2"/>
        <scheme val="minor"/>
      </rPr>
      <t>3) Income Statement:</t>
    </r>
    <r>
      <rPr>
        <b/>
        <sz val="11"/>
        <color theme="1"/>
        <rFont val="Calibri"/>
        <family val="2"/>
        <scheme val="minor"/>
      </rPr>
      <t xml:space="preserve"> </t>
    </r>
    <r>
      <rPr>
        <sz val="11"/>
        <color theme="1"/>
        <rFont val="Calibri"/>
        <family val="2"/>
        <scheme val="minor"/>
      </rPr>
      <t>Historic results are disaggregated by segment (U.S. Streaming, International Streaming, and DVDs). Future revenue is projected using estimates for growth in subscribers and average revenue per subscriber.</t>
    </r>
  </si>
  <si>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</si>
  <si>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</si>
  <si>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sz val="11"/>
        <color theme="1"/>
        <rFont val="Calibri"/>
        <family val="2"/>
        <scheme val="minor"/>
      </rPr>
      <t xml:space="preserve">About our  Consensus/Management Guidance-based Models: </t>
    </r>
    <r>
      <rPr>
        <sz val="11"/>
        <color theme="1"/>
        <rFont val="Calibri"/>
        <family val="2"/>
        <scheme val="minor"/>
      </rPr>
      <t>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t>
    </r>
  </si>
  <si>
    <r>
      <rPr>
        <b/>
        <sz val="11"/>
        <color theme="1"/>
        <rFont val="Calibri"/>
        <family val="2"/>
        <scheme val="minor"/>
      </rPr>
      <t>Accounts payable:</t>
    </r>
    <r>
      <rPr>
        <sz val="11"/>
        <color theme="1"/>
        <rFont val="Calibri"/>
        <family val="2"/>
        <scheme val="minor"/>
      </rPr>
      <t xml:space="preserve"> Projected using the historic accounts payable turnover ratio, based on general and administrative costs. Note that the turnover ratios include both Income Statement and Balance Sheet metrics, therefore, the Balance Sheet component of the ratios should be based on an average of the current and previous quarter's balances; However, this would cause a circular reference error in the forecast period.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</si>
  <si>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t xml:space="preserve">5) Cash Flow Statement: </t>
    </r>
    <r>
      <rPr>
        <i/>
        <sz val="11"/>
        <color theme="1"/>
        <rFont val="Calibri"/>
        <family val="2"/>
        <scheme val="minor"/>
      </rPr>
      <t>Generally driven by the net income from the Income statement, adjusted for non-cash items, and changes in Balance Sheet accounts.</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</si>
  <si>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</si>
  <si>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t>1Q19</t>
  </si>
  <si>
    <t>Current content liabilities to total content liabilities</t>
  </si>
  <si>
    <t>Content liabilities to content assets</t>
  </si>
  <si>
    <t>2Q19</t>
  </si>
  <si>
    <t>Difference between cost of revenue and content amort</t>
  </si>
  <si>
    <t>Average Revenue Per User (ARPU, Monthly)</t>
  </si>
  <si>
    <t>March-24</t>
  </si>
  <si>
    <t>June-24</t>
  </si>
  <si>
    <t>Sept-24</t>
  </si>
  <si>
    <t>Dec-24</t>
  </si>
  <si>
    <t>1Q24E</t>
  </si>
  <si>
    <t>2Q24E</t>
  </si>
  <si>
    <t>3Q24E</t>
  </si>
  <si>
    <t>4Q24E</t>
  </si>
  <si>
    <t>2024E</t>
  </si>
  <si>
    <t>Blue cells = Gutenberg estimates (last updated 10/16/2019)</t>
  </si>
  <si>
    <t>Purple cells = Company guidance (updated 10/16/2019)</t>
  </si>
  <si>
    <t>Orange cells = Consensus estimates (N/A)</t>
  </si>
  <si>
    <t>3Q19</t>
  </si>
  <si>
    <t>Average analyst target price (as of 10/5/19)</t>
  </si>
  <si>
    <r>
      <t xml:space="preserve">Last updated: </t>
    </r>
    <r>
      <rPr>
        <sz val="11"/>
        <color theme="1"/>
        <rFont val="Calibri"/>
        <family val="2"/>
        <scheme val="minor"/>
      </rPr>
      <t>10/16/2019</t>
    </r>
  </si>
  <si>
    <t>March-25</t>
  </si>
  <si>
    <t>June-25</t>
  </si>
  <si>
    <t>Sept-25</t>
  </si>
  <si>
    <t>Dec-25</t>
  </si>
  <si>
    <t>1Q25E</t>
  </si>
  <si>
    <t>2Q25E</t>
  </si>
  <si>
    <t>3Q25E</t>
  </si>
  <si>
    <t>4Q25E</t>
  </si>
  <si>
    <t>2025E</t>
  </si>
  <si>
    <t>Included in Premium Model</t>
  </si>
  <si>
    <t xml:space="preserve">Want to support our website as we grow? 
Consider purchasing the Premium 
version of this Earnings Model.
Available here: </t>
  </si>
  <si>
    <t>Netflix Premium Earnings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</si>
</sst>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6" formatCode="0.0\x"/>
    <numFmt numFmtId="227" formatCode="0.00000"/>
  </numFmts>
  <fonts count="8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u/>
      <sz val="12"/>
      <name val="Calibri"/>
      <family val="2"/>
      <scheme val="minor"/>
    </font>
    <font>
      <u val="singleAccounting"/>
      <sz val="11"/>
      <color rgb="FFFF0000"/>
      <name val="Calibri"/>
      <family val="2"/>
      <scheme val="minor"/>
    </font>
    <font>
      <b/>
      <i/>
      <u/>
      <sz val="11"/>
      <name val="Calibri"/>
      <family val="2"/>
      <scheme val="minor"/>
    </font>
    <font>
      <b/>
      <i/>
      <sz val="11"/>
      <color theme="1"/>
      <name val="Calibri"/>
      <family val="2"/>
      <scheme val="minor"/>
    </font>
    <font>
      <b/>
      <i/>
      <u/>
      <sz val="16"/>
      <color theme="1"/>
      <name val="Calibri"/>
      <family val="2"/>
      <scheme val="minor"/>
    </font>
    <font>
      <i/>
      <sz val="11"/>
      <color theme="3"/>
      <name val="Calibri"/>
      <family val="2"/>
      <scheme val="minor"/>
    </font>
    <font>
      <b/>
      <i/>
      <sz val="11"/>
      <color theme="3"/>
      <name val="Calibri"/>
      <family val="2"/>
      <scheme val="minor"/>
    </font>
    <font>
      <i/>
      <u val="singleAccounting"/>
      <sz val="11"/>
      <color theme="3"/>
      <name val="Calibri"/>
      <family val="2"/>
      <scheme val="minor"/>
    </font>
    <font>
      <sz val="11"/>
      <color theme="0"/>
      <name val="Calibri"/>
      <family val="2"/>
      <scheme val="minor"/>
    </font>
    <font>
      <i/>
      <sz val="11"/>
      <color rgb="FFFF0000"/>
      <name val="Calibri"/>
      <family val="2"/>
      <scheme val="minor"/>
    </font>
    <font>
      <b/>
      <i/>
      <sz val="11"/>
      <name val="Calibri"/>
      <family val="2"/>
      <scheme val="minor"/>
    </font>
    <font>
      <b/>
      <i/>
      <sz val="11"/>
      <color theme="1" tint="0.14999847407452621"/>
      <name val="Calibri"/>
      <family val="2"/>
      <scheme val="minor"/>
    </font>
  </fonts>
  <fills count="1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49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43" fontId="55" fillId="0" borderId="9" xfId="1" applyFont="1" applyBorder="1" applyAlignment="1">
      <alignment horizontal="right"/>
    </xf>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applyNumberFormat="1" applyFont="1" applyBorder="1" applyAlignment="1">
      <alignment horizontal="right"/>
    </xf>
    <xf numFmtId="0" fontId="55" fillId="0" borderId="0" xfId="0" applyFont="1" applyAlignment="1">
      <alignment horizontal="left"/>
    </xf>
    <xf numFmtId="164" fontId="57" fillId="0" borderId="0" xfId="1" quotePrefix="1" applyNumberFormat="1" applyFont="1" applyAlignment="1">
      <alignment horizontal="right"/>
    </xf>
    <xf numFmtId="164" fontId="57"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55" fillId="0" borderId="0" xfId="1" quotePrefix="1" applyNumberFormat="1" applyFont="1" applyAlignment="1">
      <alignment horizontal="right"/>
    </xf>
    <xf numFmtId="43" fontId="55" fillId="0" borderId="0" xfId="1" quotePrefix="1" applyFont="1" applyAlignment="1">
      <alignment horizontal="right"/>
    </xf>
    <xf numFmtId="165" fontId="4" fillId="0" borderId="30" xfId="1" applyNumberFormat="1" applyFont="1" applyBorder="1" applyAlignment="1">
      <alignment horizontal="right"/>
    </xf>
    <xf numFmtId="165" fontId="4" fillId="0" borderId="31" xfId="1" applyNumberFormat="1" applyFont="1" applyBorder="1" applyAlignment="1">
      <alignment horizontal="right"/>
    </xf>
    <xf numFmtId="164" fontId="4" fillId="0" borderId="5" xfId="1" quotePrefix="1" applyNumberFormat="1" applyFont="1" applyBorder="1" applyAlignment="1">
      <alignment horizontal="right"/>
    </xf>
    <xf numFmtId="164" fontId="4" fillId="0" borderId="0" xfId="1" applyNumberFormat="1" applyFont="1" applyAlignment="1">
      <alignment horizontal="left"/>
    </xf>
    <xf numFmtId="165" fontId="4" fillId="0" borderId="2" xfId="1" applyNumberFormat="1" applyFont="1" applyBorder="1" applyAlignment="1">
      <alignment horizontal="right"/>
    </xf>
    <xf numFmtId="164" fontId="57" fillId="0" borderId="2" xfId="1" quotePrefix="1" applyNumberFormat="1" applyFont="1" applyBorder="1" applyAlignment="1">
      <alignment horizontal="right"/>
    </xf>
    <xf numFmtId="9" fontId="55" fillId="0" borderId="2" xfId="2" quotePrefix="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4" fillId="3" borderId="0" xfId="1" quotePrefix="1" applyNumberFormat="1" applyFont="1" applyFill="1" applyAlignment="1">
      <alignment horizontal="right"/>
    </xf>
    <xf numFmtId="164" fontId="59" fillId="2" borderId="2" xfId="1" quotePrefix="1" applyNumberFormat="1" applyFont="1" applyFill="1" applyBorder="1" applyAlignment="1">
      <alignment horizontal="right"/>
    </xf>
    <xf numFmtId="164" fontId="60"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4" fillId="0" borderId="3" xfId="0" applyFont="1" applyBorder="1" applyAlignment="1">
      <alignment horizontal="left"/>
    </xf>
    <xf numFmtId="0" fontId="4" fillId="0" borderId="4" xfId="0" applyFont="1" applyBorder="1"/>
    <xf numFmtId="0" fontId="55" fillId="0" borderId="4" xfId="0" applyFont="1" applyBorder="1"/>
    <xf numFmtId="165" fontId="66" fillId="0" borderId="0" xfId="1" applyNumberFormat="1" applyFont="1" applyAlignment="1">
      <alignment horizontal="right"/>
    </xf>
    <xf numFmtId="165" fontId="66" fillId="0" borderId="5" xfId="1" applyNumberFormat="1" applyFont="1" applyBorder="1" applyAlignment="1">
      <alignment horizontal="right"/>
    </xf>
    <xf numFmtId="0" fontId="65"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5" fillId="0" borderId="0" xfId="0" applyFont="1"/>
    <xf numFmtId="165" fontId="65" fillId="0" borderId="0" xfId="1" applyNumberFormat="1" applyFont="1" applyAlignment="1">
      <alignment horizontal="right"/>
    </xf>
    <xf numFmtId="165" fontId="65" fillId="0" borderId="5" xfId="1" applyNumberFormat="1" applyFont="1" applyBorder="1" applyAlignment="1">
      <alignment horizontal="right"/>
    </xf>
    <xf numFmtId="0" fontId="63" fillId="0" borderId="0" xfId="0" applyFont="1"/>
    <xf numFmtId="43" fontId="65" fillId="0" borderId="0" xfId="1" applyFont="1" applyAlignment="1">
      <alignment horizontal="right"/>
    </xf>
    <xf numFmtId="43" fontId="65" fillId="0" borderId="5" xfId="1" applyFont="1" applyBorder="1" applyAlignment="1">
      <alignment horizontal="right"/>
    </xf>
    <xf numFmtId="43" fontId="63" fillId="0" borderId="0" xfId="1" applyFont="1" applyAlignment="1">
      <alignment horizontal="right"/>
    </xf>
    <xf numFmtId="0" fontId="63" fillId="0" borderId="3" xfId="0" applyFont="1" applyBorder="1" applyAlignment="1">
      <alignment horizontal="left" indent="1"/>
    </xf>
    <xf numFmtId="0" fontId="63" fillId="12" borderId="4" xfId="0" applyFont="1" applyFill="1" applyBorder="1" applyAlignment="1">
      <alignment horizontal="left"/>
    </xf>
    <xf numFmtId="165" fontId="63" fillId="0" borderId="0" xfId="1" quotePrefix="1" applyNumberFormat="1" applyFont="1" applyAlignment="1">
      <alignment horizontal="right"/>
    </xf>
    <xf numFmtId="165" fontId="65" fillId="0" borderId="7" xfId="1" applyNumberFormat="1" applyFont="1" applyBorder="1" applyAlignment="1">
      <alignment horizontal="right"/>
    </xf>
    <xf numFmtId="165" fontId="65" fillId="0" borderId="8" xfId="1" applyNumberFormat="1" applyFont="1" applyBorder="1" applyAlignment="1">
      <alignment horizontal="right"/>
    </xf>
    <xf numFmtId="166" fontId="63" fillId="0" borderId="0" xfId="2" quotePrefix="1" applyNumberFormat="1" applyFont="1" applyAlignment="1">
      <alignment horizontal="right"/>
    </xf>
    <xf numFmtId="165" fontId="63" fillId="0" borderId="5" xfId="1" quotePrefix="1" applyNumberFormat="1" applyFont="1" applyBorder="1" applyAlignment="1">
      <alignment horizontal="right"/>
    </xf>
    <xf numFmtId="0" fontId="68" fillId="0" borderId="4" xfId="0" applyFont="1" applyBorder="1" applyAlignment="1">
      <alignment horizontal="left"/>
    </xf>
    <xf numFmtId="0" fontId="63" fillId="12" borderId="3" xfId="0" applyFont="1" applyFill="1" applyBorder="1" applyAlignment="1">
      <alignment horizontal="left"/>
    </xf>
    <xf numFmtId="9" fontId="63" fillId="0" borderId="0" xfId="2" quotePrefix="1" applyFont="1" applyAlignment="1">
      <alignment horizontal="right"/>
    </xf>
    <xf numFmtId="165" fontId="69" fillId="0" borderId="0" xfId="2" applyNumberFormat="1" applyFont="1" applyAlignment="1">
      <alignment horizontal="right"/>
    </xf>
    <xf numFmtId="166" fontId="63" fillId="0" borderId="0" xfId="2" applyNumberFormat="1" applyFont="1" applyAlignment="1">
      <alignment horizontal="right"/>
    </xf>
    <xf numFmtId="0" fontId="70" fillId="0" borderId="0" xfId="0" applyFont="1"/>
    <xf numFmtId="9" fontId="63" fillId="0" borderId="5" xfId="2" applyFont="1" applyBorder="1" applyAlignment="1">
      <alignment horizontal="right"/>
    </xf>
    <xf numFmtId="166" fontId="63" fillId="0" borderId="5" xfId="2" applyNumberFormat="1" applyFont="1" applyBorder="1" applyAlignment="1">
      <alignment horizontal="right"/>
    </xf>
    <xf numFmtId="9" fontId="63" fillId="0" borderId="0" xfId="2" applyFont="1" applyAlignment="1">
      <alignment horizontal="right"/>
    </xf>
    <xf numFmtId="0" fontId="63" fillId="0" borderId="3" xfId="0" applyFont="1" applyBorder="1"/>
    <xf numFmtId="164" fontId="63" fillId="0" borderId="0" xfId="1" quotePrefix="1" applyNumberFormat="1" applyFont="1" applyAlignment="1">
      <alignment horizontal="right"/>
    </xf>
    <xf numFmtId="164" fontId="63" fillId="0" borderId="5" xfId="1" quotePrefix="1" applyNumberFormat="1" applyFont="1" applyBorder="1" applyAlignment="1">
      <alignment horizontal="right"/>
    </xf>
    <xf numFmtId="165" fontId="66" fillId="10" borderId="0" xfId="1" applyNumberFormat="1" applyFont="1" applyFill="1" applyAlignment="1">
      <alignment horizontal="right"/>
    </xf>
    <xf numFmtId="9" fontId="63" fillId="0" borderId="5" xfId="2" quotePrefix="1" applyFont="1" applyBorder="1" applyAlignment="1">
      <alignment horizontal="right"/>
    </xf>
    <xf numFmtId="165" fontId="63" fillId="10" borderId="0" xfId="1" applyNumberFormat="1" applyFont="1" applyFill="1" applyAlignment="1">
      <alignment horizontal="right"/>
    </xf>
    <xf numFmtId="9" fontId="63" fillId="10" borderId="0" xfId="2" applyFont="1" applyFill="1" applyAlignment="1">
      <alignment horizontal="right"/>
    </xf>
    <xf numFmtId="166" fontId="63" fillId="10" borderId="0" xfId="2" applyNumberFormat="1" applyFont="1" applyFill="1" applyAlignment="1">
      <alignment horizontal="right"/>
    </xf>
    <xf numFmtId="165" fontId="55" fillId="0" borderId="9" xfId="1" applyNumberFormat="1" applyFont="1" applyBorder="1" applyAlignment="1">
      <alignment horizontal="right"/>
    </xf>
    <xf numFmtId="0" fontId="67" fillId="0" borderId="24" xfId="0" applyFont="1" applyBorder="1" applyAlignment="1">
      <alignment horizontal="left"/>
    </xf>
    <xf numFmtId="7" fontId="63" fillId="0" borderId="0" xfId="1" applyNumberFormat="1" applyFont="1" applyAlignment="1">
      <alignment horizontal="right"/>
    </xf>
    <xf numFmtId="7" fontId="4" fillId="0" borderId="5" xfId="1" applyNumberFormat="1" applyFont="1" applyBorder="1" applyAlignment="1">
      <alignment horizontal="right"/>
    </xf>
    <xf numFmtId="7" fontId="63" fillId="10" borderId="0" xfId="1" applyNumberFormat="1" applyFont="1" applyFill="1" applyAlignment="1">
      <alignment horizontal="right"/>
    </xf>
    <xf numFmtId="7" fontId="63" fillId="0" borderId="5" xfId="1" applyNumberFormat="1" applyFont="1" applyBorder="1" applyAlignment="1">
      <alignment horizontal="right"/>
    </xf>
    <xf numFmtId="164" fontId="63" fillId="0" borderId="7" xfId="1" applyNumberFormat="1" applyFont="1" applyBorder="1" applyAlignment="1">
      <alignment horizontal="right"/>
    </xf>
    <xf numFmtId="165" fontId="63" fillId="0" borderId="30" xfId="1" applyNumberFormat="1" applyFont="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3" fillId="0" borderId="8" xfId="1" applyNumberFormat="1" applyFont="1" applyBorder="1" applyAlignment="1">
      <alignment horizontal="right"/>
    </xf>
    <xf numFmtId="0" fontId="4" fillId="0" borderId="4"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5" fillId="0" borderId="3" xfId="0" applyFont="1" applyBorder="1" applyAlignment="1">
      <alignment horizontal="left" indent="1"/>
    </xf>
    <xf numFmtId="0" fontId="65" fillId="0" borderId="4" xfId="0" applyFont="1" applyBorder="1" applyAlignment="1">
      <alignment horizontal="left" indent="1"/>
    </xf>
    <xf numFmtId="0" fontId="62" fillId="2" borderId="3" xfId="0" applyFont="1" applyFill="1" applyBorder="1" applyAlignment="1">
      <alignment horizontal="left"/>
    </xf>
    <xf numFmtId="0" fontId="63" fillId="0" borderId="24" xfId="0" applyFont="1" applyBorder="1" applyAlignment="1">
      <alignment horizontal="left"/>
    </xf>
    <xf numFmtId="0" fontId="63" fillId="0" borderId="25"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3" fillId="0" borderId="3" xfId="0" applyFont="1" applyBorder="1" applyAlignment="1">
      <alignment horizontal="left" indent="2"/>
    </xf>
    <xf numFmtId="166" fontId="63" fillId="0" borderId="5" xfId="2" quotePrefix="1" applyNumberFormat="1" applyFont="1" applyBorder="1" applyAlignment="1">
      <alignment horizontal="right"/>
    </xf>
    <xf numFmtId="0" fontId="65" fillId="0" borderId="3" xfId="0" applyFont="1" applyBorder="1" applyAlignment="1">
      <alignment horizontal="left" indent="2"/>
    </xf>
    <xf numFmtId="165" fontId="65" fillId="12" borderId="0" xfId="1" applyNumberFormat="1" applyFont="1" applyFill="1" applyAlignment="1">
      <alignment horizontal="right"/>
    </xf>
    <xf numFmtId="165" fontId="65" fillId="12" borderId="5" xfId="1" applyNumberFormat="1" applyFont="1" applyFill="1" applyBorder="1" applyAlignment="1">
      <alignment horizontal="right"/>
    </xf>
    <xf numFmtId="165" fontId="63" fillId="0" borderId="31" xfId="1" applyNumberFormat="1" applyFont="1" applyBorder="1" applyAlignment="1">
      <alignment horizontal="right"/>
    </xf>
    <xf numFmtId="165" fontId="63" fillId="12" borderId="30" xfId="1" applyNumberFormat="1" applyFont="1" applyFill="1" applyBorder="1" applyAlignment="1">
      <alignment horizontal="right"/>
    </xf>
    <xf numFmtId="165" fontId="63" fillId="12" borderId="31" xfId="1" applyNumberFormat="1" applyFont="1" applyFill="1" applyBorder="1" applyAlignment="1">
      <alignment horizontal="right"/>
    </xf>
    <xf numFmtId="165" fontId="4" fillId="12" borderId="30" xfId="1" applyNumberFormat="1" applyFont="1" applyFill="1" applyBorder="1" applyAlignment="1">
      <alignment horizontal="right"/>
    </xf>
    <xf numFmtId="165" fontId="63" fillId="12" borderId="0" xfId="1" applyNumberFormat="1" applyFont="1" applyFill="1" applyAlignment="1">
      <alignment horizontal="right"/>
    </xf>
    <xf numFmtId="165" fontId="63" fillId="12" borderId="5" xfId="1" applyNumberFormat="1" applyFont="1" applyFill="1" applyBorder="1" applyAlignment="1">
      <alignment horizontal="right"/>
    </xf>
    <xf numFmtId="165" fontId="66" fillId="12" borderId="0" xfId="1" applyNumberFormat="1" applyFont="1" applyFill="1" applyAlignment="1">
      <alignment horizontal="right"/>
    </xf>
    <xf numFmtId="165" fontId="66" fillId="12" borderId="5" xfId="1" applyNumberFormat="1" applyFont="1" applyFill="1" applyBorder="1" applyAlignment="1">
      <alignment horizontal="right"/>
    </xf>
    <xf numFmtId="165" fontId="63" fillId="12" borderId="29" xfId="1" applyNumberFormat="1" applyFont="1" applyFill="1" applyBorder="1" applyAlignment="1">
      <alignment horizontal="right"/>
    </xf>
    <xf numFmtId="165" fontId="63" fillId="12" borderId="28" xfId="1" applyNumberFormat="1" applyFont="1" applyFill="1" applyBorder="1" applyAlignment="1">
      <alignment horizontal="right"/>
    </xf>
    <xf numFmtId="164" fontId="63" fillId="12" borderId="0" xfId="1" quotePrefix="1" applyNumberFormat="1" applyFont="1" applyFill="1" applyAlignment="1">
      <alignment horizontal="right"/>
    </xf>
    <xf numFmtId="43" fontId="63" fillId="12" borderId="0" xfId="1" quotePrefix="1" applyFont="1" applyFill="1" applyAlignment="1">
      <alignment horizontal="right"/>
    </xf>
    <xf numFmtId="164" fontId="63" fillId="12" borderId="5" xfId="1" quotePrefix="1" applyNumberFormat="1" applyFont="1" applyFill="1" applyBorder="1" applyAlignment="1">
      <alignment horizontal="right"/>
    </xf>
    <xf numFmtId="43" fontId="63" fillId="12" borderId="5" xfId="1" quotePrefix="1" applyFont="1" applyFill="1" applyBorder="1" applyAlignment="1">
      <alignment horizontal="right"/>
    </xf>
    <xf numFmtId="9" fontId="63" fillId="12" borderId="5" xfId="2" applyFont="1" applyFill="1" applyBorder="1" applyAlignment="1">
      <alignment horizontal="right"/>
    </xf>
    <xf numFmtId="164" fontId="59" fillId="2" borderId="32" xfId="1" quotePrefix="1" applyNumberFormat="1" applyFont="1" applyFill="1" applyBorder="1" applyAlignment="1">
      <alignment horizontal="right"/>
    </xf>
    <xf numFmtId="164" fontId="60" fillId="2" borderId="5" xfId="1" quotePrefix="1" applyNumberFormat="1" applyFont="1" applyFill="1" applyBorder="1" applyAlignment="1">
      <alignment horizontal="right"/>
    </xf>
    <xf numFmtId="164" fontId="2" fillId="3" borderId="32"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0" fontId="62" fillId="2" borderId="4" xfId="0" applyFont="1" applyFill="1" applyBorder="1" applyAlignment="1">
      <alignment horizontal="left"/>
    </xf>
    <xf numFmtId="166" fontId="69" fillId="0" borderId="0" xfId="2" applyNumberFormat="1" applyFont="1" applyAlignment="1">
      <alignment horizontal="right"/>
    </xf>
    <xf numFmtId="0" fontId="73" fillId="0" borderId="3" xfId="0" applyFont="1" applyBorder="1"/>
    <xf numFmtId="0" fontId="71" fillId="0" borderId="3" xfId="0" applyFont="1" applyBorder="1"/>
    <xf numFmtId="0" fontId="72" fillId="0" borderId="12" xfId="0" applyFont="1" applyBorder="1" applyAlignment="1">
      <alignment horizontal="left" indent="1"/>
    </xf>
    <xf numFmtId="0" fontId="72" fillId="0" borderId="3" xfId="0" applyFont="1" applyBorder="1" applyAlignment="1">
      <alignment horizontal="left" indent="1"/>
    </xf>
    <xf numFmtId="0" fontId="65" fillId="0" borderId="12" xfId="0" applyFont="1" applyBorder="1" applyAlignment="1">
      <alignment horizontal="left" indent="1"/>
    </xf>
    <xf numFmtId="0" fontId="67" fillId="0" borderId="3" xfId="0" applyFont="1" applyBorder="1"/>
    <xf numFmtId="166" fontId="63" fillId="0" borderId="8" xfId="2" quotePrefix="1" applyNumberFormat="1" applyFont="1" applyBorder="1" applyAlignment="1">
      <alignment horizontal="right"/>
    </xf>
    <xf numFmtId="166" fontId="4" fillId="0" borderId="0" xfId="2" applyNumberFormat="1" applyFont="1" applyAlignment="1">
      <alignment horizontal="right"/>
    </xf>
    <xf numFmtId="167" fontId="63" fillId="0" borderId="0" xfId="1" applyNumberFormat="1" applyFont="1" applyAlignment="1">
      <alignment horizontal="right"/>
    </xf>
    <xf numFmtId="166" fontId="63" fillId="0" borderId="0" xfId="1" applyNumberFormat="1" applyFont="1" applyAlignment="1">
      <alignment horizontal="right"/>
    </xf>
    <xf numFmtId="0" fontId="63" fillId="0" borderId="1" xfId="0" applyFont="1" applyBorder="1"/>
    <xf numFmtId="43" fontId="63" fillId="0" borderId="0" xfId="1" applyFont="1" applyAlignment="1">
      <alignment horizontal="left"/>
    </xf>
    <xf numFmtId="9" fontId="63" fillId="0" borderId="0" xfId="1" applyNumberFormat="1" applyFont="1" applyAlignment="1">
      <alignment horizontal="right"/>
    </xf>
    <xf numFmtId="0" fontId="2" fillId="0" borderId="0" xfId="0" applyFont="1"/>
    <xf numFmtId="164" fontId="6" fillId="2" borderId="33"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4" fontId="0" fillId="0" borderId="40" xfId="0" applyNumberFormat="1" applyBorder="1"/>
    <xf numFmtId="14" fontId="0" fillId="0" borderId="37" xfId="0" applyNumberFormat="1" applyBorder="1"/>
    <xf numFmtId="10" fontId="0" fillId="0" borderId="38" xfId="0" applyNumberFormat="1" applyBorder="1"/>
    <xf numFmtId="0" fontId="0" fillId="0" borderId="35" xfId="0" applyBorder="1"/>
    <xf numFmtId="0" fontId="0" fillId="0" borderId="36" xfId="0" applyBorder="1"/>
    <xf numFmtId="0" fontId="2" fillId="0" borderId="0" xfId="0" applyFont="1" applyAlignment="1">
      <alignment horizontal="right"/>
    </xf>
    <xf numFmtId="0" fontId="2" fillId="0" borderId="41" xfId="0" applyFont="1" applyBorder="1"/>
    <xf numFmtId="0" fontId="0" fillId="13" borderId="0" xfId="0" applyFill="1"/>
    <xf numFmtId="0" fontId="2" fillId="13" borderId="0" xfId="0" applyFont="1" applyFill="1" applyAlignment="1">
      <alignment horizontal="right"/>
    </xf>
    <xf numFmtId="10" fontId="2" fillId="13" borderId="41" xfId="2" applyNumberFormat="1" applyFont="1" applyFill="1" applyBorder="1"/>
    <xf numFmtId="10" fontId="74" fillId="0" borderId="41" xfId="1" applyNumberFormat="1" applyFont="1" applyBorder="1"/>
    <xf numFmtId="0" fontId="74" fillId="0" borderId="0" xfId="0" applyFont="1" applyAlignment="1">
      <alignment horizontal="right"/>
    </xf>
    <xf numFmtId="227" fontId="0" fillId="0" borderId="41" xfId="0" applyNumberFormat="1" applyBorder="1"/>
    <xf numFmtId="227" fontId="0" fillId="0" borderId="39" xfId="0" applyNumberFormat="1" applyBorder="1"/>
    <xf numFmtId="0" fontId="75" fillId="0" borderId="0" xfId="0" applyFont="1" applyAlignment="1">
      <alignment horizontal="right"/>
    </xf>
    <xf numFmtId="166" fontId="63" fillId="0" borderId="0" xfId="2" applyNumberFormat="1" applyFont="1" applyAlignment="1">
      <alignment horizontal="left"/>
    </xf>
    <xf numFmtId="9" fontId="63" fillId="0" borderId="0" xfId="1" applyNumberFormat="1" applyFont="1" applyAlignment="1">
      <alignment horizontal="left"/>
    </xf>
    <xf numFmtId="10" fontId="63" fillId="0" borderId="0" xfId="1" applyNumberFormat="1" applyFont="1" applyAlignment="1">
      <alignment horizontal="right"/>
    </xf>
    <xf numFmtId="227" fontId="2" fillId="0" borderId="41" xfId="0" applyNumberFormat="1" applyFont="1" applyBorder="1"/>
    <xf numFmtId="0" fontId="0" fillId="0" borderId="37" xfId="0" applyBorder="1"/>
    <xf numFmtId="0" fontId="2" fillId="0" borderId="38" xfId="0" applyFont="1" applyBorder="1" applyAlignment="1">
      <alignment horizontal="right"/>
    </xf>
    <xf numFmtId="10" fontId="2" fillId="0" borderId="39" xfId="2" applyNumberFormat="1" applyFont="1" applyBorder="1"/>
    <xf numFmtId="0" fontId="63" fillId="0" borderId="10" xfId="0" applyFont="1" applyBorder="1" applyAlignment="1">
      <alignment horizontal="left"/>
    </xf>
    <xf numFmtId="0" fontId="65" fillId="0" borderId="6" xfId="0" applyFont="1" applyBorder="1"/>
    <xf numFmtId="0" fontId="63" fillId="0" borderId="6" xfId="0" applyFont="1" applyBorder="1"/>
    <xf numFmtId="14" fontId="0" fillId="0" borderId="34" xfId="0" applyNumberFormat="1" applyBorder="1"/>
    <xf numFmtId="0" fontId="65" fillId="0" borderId="3" xfId="0" applyFont="1" applyBorder="1" applyAlignment="1">
      <alignment horizontal="left" indent="3"/>
    </xf>
    <xf numFmtId="0" fontId="77" fillId="0" borderId="4" xfId="0" applyFont="1" applyBorder="1" applyAlignment="1">
      <alignment horizontal="left"/>
    </xf>
    <xf numFmtId="0" fontId="63" fillId="0" borderId="4" xfId="0" applyFont="1" applyBorder="1"/>
    <xf numFmtId="9" fontId="55" fillId="0" borderId="5" xfId="2" quotePrefix="1" applyFont="1" applyBorder="1" applyAlignment="1">
      <alignment horizontal="right"/>
    </xf>
    <xf numFmtId="164" fontId="63" fillId="0" borderId="8" xfId="1" applyNumberFormat="1" applyFont="1" applyBorder="1" applyAlignment="1">
      <alignment horizontal="right"/>
    </xf>
    <xf numFmtId="0" fontId="63" fillId="0" borderId="13" xfId="0" applyFont="1" applyBorder="1"/>
    <xf numFmtId="0" fontId="63" fillId="12" borderId="28" xfId="1" applyNumberFormat="1" applyFont="1" applyFill="1" applyBorder="1" applyAlignment="1">
      <alignment horizontal="right"/>
    </xf>
    <xf numFmtId="166" fontId="63" fillId="12" borderId="7" xfId="2" quotePrefix="1" applyNumberFormat="1" applyFont="1" applyFill="1" applyBorder="1" applyAlignment="1">
      <alignment horizontal="right"/>
    </xf>
    <xf numFmtId="166" fontId="4" fillId="12" borderId="8" xfId="2" quotePrefix="1" applyNumberFormat="1" applyFont="1" applyFill="1" applyBorder="1" applyAlignment="1">
      <alignment horizontal="right"/>
    </xf>
    <xf numFmtId="166" fontId="63" fillId="10" borderId="7" xfId="2" applyNumberFormat="1" applyFont="1" applyFill="1" applyBorder="1" applyAlignment="1">
      <alignment horizontal="right"/>
    </xf>
    <xf numFmtId="165" fontId="65" fillId="12" borderId="31"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3" fillId="0" borderId="0" xfId="2" applyNumberFormat="1" applyFont="1" applyAlignment="1">
      <alignment horizontal="right"/>
    </xf>
    <xf numFmtId="10" fontId="2" fillId="13" borderId="0" xfId="0" applyNumberFormat="1" applyFont="1" applyFill="1"/>
    <xf numFmtId="10" fontId="0" fillId="0" borderId="35" xfId="2" applyNumberFormat="1" applyFont="1" applyBorder="1"/>
    <xf numFmtId="10" fontId="0" fillId="0" borderId="35" xfId="0" applyNumberFormat="1" applyBorder="1"/>
    <xf numFmtId="10" fontId="0" fillId="0" borderId="38" xfId="2" applyNumberFormat="1" applyFont="1" applyBorder="1"/>
    <xf numFmtId="165" fontId="76" fillId="0" borderId="0" xfId="1" applyNumberFormat="1" applyFont="1" applyAlignment="1">
      <alignment horizontal="right"/>
    </xf>
    <xf numFmtId="0" fontId="63" fillId="0" borderId="6" xfId="0" applyFont="1" applyBorder="1" applyAlignment="1">
      <alignment horizontal="left"/>
    </xf>
    <xf numFmtId="0" fontId="63" fillId="0" borderId="3" xfId="0" applyFont="1" applyBorder="1" applyAlignment="1">
      <alignment horizontal="left" indent="4"/>
    </xf>
    <xf numFmtId="0" fontId="65" fillId="0" borderId="3" xfId="0" applyFont="1" applyBorder="1"/>
    <xf numFmtId="164" fontId="63" fillId="0" borderId="0" xfId="1" applyNumberFormat="1" applyFont="1" applyAlignment="1">
      <alignment horizontal="right"/>
    </xf>
    <xf numFmtId="164" fontId="65" fillId="0" borderId="0" xfId="1" applyNumberFormat="1" applyFont="1" applyAlignment="1">
      <alignment horizontal="right"/>
    </xf>
    <xf numFmtId="164" fontId="55" fillId="0" borderId="5" xfId="1" quotePrefix="1" applyNumberFormat="1" applyFont="1" applyBorder="1" applyAlignment="1">
      <alignment horizontal="right"/>
    </xf>
    <xf numFmtId="165" fontId="55" fillId="0" borderId="5" xfId="1" quotePrefix="1" applyNumberFormat="1" applyFont="1" applyBorder="1" applyAlignment="1">
      <alignment horizontal="right"/>
    </xf>
    <xf numFmtId="166" fontId="65" fillId="0" borderId="0" xfId="2" applyNumberFormat="1" applyFont="1" applyAlignment="1">
      <alignment horizontal="right"/>
    </xf>
    <xf numFmtId="164" fontId="66" fillId="0" borderId="0" xfId="1" applyNumberFormat="1" applyFont="1" applyAlignment="1">
      <alignment horizontal="right"/>
    </xf>
    <xf numFmtId="164" fontId="78" fillId="0" borderId="5" xfId="1" quotePrefix="1" applyNumberFormat="1" applyFont="1" applyBorder="1" applyAlignment="1">
      <alignment horizontal="right"/>
    </xf>
    <xf numFmtId="166" fontId="65" fillId="0" borderId="5" xfId="2" applyNumberFormat="1" applyFont="1" applyBorder="1" applyAlignment="1">
      <alignment horizontal="right"/>
    </xf>
    <xf numFmtId="164" fontId="65" fillId="0" borderId="5" xfId="1" applyNumberFormat="1" applyFont="1" applyBorder="1" applyAlignment="1">
      <alignment horizontal="right"/>
    </xf>
    <xf numFmtId="164" fontId="66" fillId="0" borderId="5" xfId="1" applyNumberFormat="1" applyFont="1" applyBorder="1" applyAlignment="1">
      <alignment horizontal="right"/>
    </xf>
    <xf numFmtId="166" fontId="65" fillId="10" borderId="0" xfId="2" applyNumberFormat="1" applyFont="1" applyFill="1" applyAlignment="1">
      <alignment horizontal="right"/>
    </xf>
    <xf numFmtId="10" fontId="4" fillId="0" borderId="5" xfId="2" quotePrefix="1" applyNumberFormat="1" applyFont="1" applyBorder="1" applyAlignment="1">
      <alignment horizontal="right"/>
    </xf>
    <xf numFmtId="0" fontId="63" fillId="0" borderId="4" xfId="0" applyFont="1" applyBorder="1" applyAlignment="1">
      <alignment horizontal="left" indent="1"/>
    </xf>
    <xf numFmtId="0" fontId="63" fillId="12" borderId="3" xfId="0" applyFont="1" applyFill="1" applyBorder="1" applyAlignment="1">
      <alignment horizontal="left" indent="1"/>
    </xf>
    <xf numFmtId="0" fontId="63" fillId="12" borderId="4" xfId="0" applyFont="1" applyFill="1" applyBorder="1" applyAlignment="1">
      <alignment horizontal="left" indent="1"/>
    </xf>
    <xf numFmtId="0" fontId="63" fillId="0" borderId="12" xfId="0" applyFont="1" applyBorder="1" applyAlignment="1">
      <alignment horizontal="left" indent="1"/>
    </xf>
    <xf numFmtId="0" fontId="63" fillId="12" borderId="3" xfId="0" applyFont="1" applyFill="1" applyBorder="1" applyAlignment="1">
      <alignment horizontal="left" indent="2"/>
    </xf>
    <xf numFmtId="165" fontId="65" fillId="12" borderId="30" xfId="1" applyNumberFormat="1" applyFont="1" applyFill="1" applyBorder="1" applyAlignment="1">
      <alignment horizontal="right"/>
    </xf>
    <xf numFmtId="0" fontId="63" fillId="0" borderId="6" xfId="0" applyFont="1" applyBorder="1" applyAlignment="1">
      <alignment horizontal="left" indent="2"/>
    </xf>
    <xf numFmtId="166" fontId="63" fillId="0" borderId="7" xfId="2" applyNumberFormat="1" applyFont="1" applyBorder="1" applyAlignment="1">
      <alignment horizontal="right"/>
    </xf>
    <xf numFmtId="166" fontId="63" fillId="0" borderId="8" xfId="2" applyNumberFormat="1" applyFont="1" applyBorder="1" applyAlignment="1">
      <alignment horizontal="right"/>
    </xf>
    <xf numFmtId="9" fontId="4" fillId="0" borderId="0" xfId="2" applyFont="1" applyAlignment="1">
      <alignment horizontal="left"/>
    </xf>
    <xf numFmtId="164" fontId="63" fillId="12" borderId="0" xfId="1" applyNumberFormat="1" applyFont="1" applyFill="1" applyAlignment="1">
      <alignment horizontal="right"/>
    </xf>
    <xf numFmtId="164" fontId="63" fillId="12" borderId="5" xfId="1" applyNumberFormat="1" applyFont="1" applyFill="1" applyBorder="1" applyAlignment="1">
      <alignment horizontal="right"/>
    </xf>
    <xf numFmtId="0" fontId="58" fillId="0" borderId="4" xfId="0" applyFont="1" applyBorder="1" applyAlignment="1">
      <alignment horizontal="left"/>
    </xf>
    <xf numFmtId="0" fontId="0" fillId="0" borderId="0" xfId="0" applyAlignment="1">
      <alignment horizontal="left" indent="1"/>
    </xf>
    <xf numFmtId="0" fontId="63" fillId="12" borderId="3" xfId="0" applyFont="1" applyFill="1" applyBorder="1" applyAlignment="1">
      <alignment horizontal="left" indent="4"/>
    </xf>
    <xf numFmtId="0" fontId="63" fillId="12" borderId="4" xfId="0" applyFont="1" applyFill="1" applyBorder="1" applyAlignment="1">
      <alignment horizontal="left" indent="4"/>
    </xf>
    <xf numFmtId="43" fontId="63" fillId="12" borderId="0" xfId="1" applyFont="1" applyFill="1" applyAlignment="1">
      <alignment horizontal="right"/>
    </xf>
    <xf numFmtId="0" fontId="4" fillId="0" borderId="10" xfId="0" applyFont="1" applyBorder="1" applyAlignment="1">
      <alignment horizontal="left"/>
    </xf>
    <xf numFmtId="164" fontId="63" fillId="11" borderId="0" xfId="1" applyNumberFormat="1" applyFont="1" applyFill="1" applyAlignment="1">
      <alignment horizontal="right"/>
    </xf>
    <xf numFmtId="165" fontId="63" fillId="11" borderId="0" xfId="1" applyNumberFormat="1" applyFont="1" applyFill="1" applyAlignment="1">
      <alignment horizontal="right"/>
    </xf>
    <xf numFmtId="165" fontId="65" fillId="11" borderId="0" xfId="1" applyNumberFormat="1" applyFont="1" applyFill="1" applyAlignment="1">
      <alignment horizontal="right"/>
    </xf>
    <xf numFmtId="164" fontId="63" fillId="0" borderId="0" xfId="2" applyNumberFormat="1" applyFont="1" applyAlignment="1">
      <alignment horizontal="right"/>
    </xf>
    <xf numFmtId="43" fontId="65" fillId="11" borderId="0" xfId="1" applyFont="1" applyFill="1" applyAlignment="1">
      <alignment horizontal="right"/>
    </xf>
    <xf numFmtId="0" fontId="53" fillId="0" borderId="0" xfId="329" applyAlignment="1">
      <alignment horizontal="left" indent="1"/>
    </xf>
    <xf numFmtId="0" fontId="0" fillId="0" borderId="5" xfId="0" applyBorder="1" applyAlignment="1">
      <alignment horizontal="left" vertical="top" wrapText="1"/>
    </xf>
    <xf numFmtId="0" fontId="80" fillId="0" borderId="5" xfId="0" applyFont="1" applyBorder="1" applyAlignment="1">
      <alignment horizontal="left" vertical="top" wrapText="1"/>
    </xf>
    <xf numFmtId="0" fontId="2" fillId="0" borderId="5" xfId="0" applyFont="1" applyBorder="1" applyAlignment="1">
      <alignment horizontal="left" vertical="top" wrapText="1" indent="2"/>
    </xf>
    <xf numFmtId="0" fontId="0" fillId="0" borderId="5" xfId="0" applyBorder="1" applyAlignment="1">
      <alignment horizontal="left" vertical="top" wrapText="1" indent="3"/>
    </xf>
    <xf numFmtId="0" fontId="0" fillId="0" borderId="5" xfId="0" applyBorder="1" applyAlignment="1">
      <alignment horizontal="left" vertical="top" wrapText="1" indent="2"/>
    </xf>
    <xf numFmtId="0" fontId="0" fillId="0" borderId="31" xfId="0" applyBorder="1" applyAlignment="1">
      <alignment horizontal="left" vertical="top" wrapText="1"/>
    </xf>
    <xf numFmtId="0" fontId="0" fillId="0" borderId="42" xfId="0" applyBorder="1" applyAlignment="1">
      <alignment horizontal="left" vertical="top" wrapText="1"/>
    </xf>
    <xf numFmtId="0" fontId="81" fillId="0" borderId="32" xfId="0" applyFont="1" applyBorder="1" applyAlignment="1">
      <alignment vertical="center"/>
    </xf>
    <xf numFmtId="0" fontId="0" fillId="0" borderId="28" xfId="0" applyBorder="1" applyAlignment="1">
      <alignment horizontal="left" vertical="top" wrapText="1" indent="1"/>
    </xf>
    <xf numFmtId="0" fontId="80" fillId="0" borderId="31" xfId="0" applyFont="1" applyBorder="1" applyAlignment="1">
      <alignment horizontal="left" vertical="top" wrapText="1"/>
    </xf>
    <xf numFmtId="0" fontId="82" fillId="0" borderId="0" xfId="0" applyFont="1"/>
    <xf numFmtId="0" fontId="83" fillId="0" borderId="24" xfId="0" applyFont="1" applyBorder="1" applyAlignment="1">
      <alignment horizontal="left" indent="3"/>
    </xf>
    <xf numFmtId="0" fontId="83" fillId="0" borderId="25" xfId="0" applyFont="1" applyBorder="1"/>
    <xf numFmtId="165" fontId="83" fillId="0" borderId="30" xfId="1" applyNumberFormat="1" applyFont="1" applyBorder="1" applyAlignment="1">
      <alignment horizontal="right"/>
    </xf>
    <xf numFmtId="165" fontId="83" fillId="0" borderId="31" xfId="1" applyNumberFormat="1" applyFont="1" applyBorder="1" applyAlignment="1">
      <alignment horizontal="right"/>
    </xf>
    <xf numFmtId="0" fontId="82" fillId="0" borderId="3" xfId="0" applyFont="1" applyBorder="1" applyAlignment="1">
      <alignment horizontal="left" indent="4"/>
    </xf>
    <xf numFmtId="0" fontId="82" fillId="0" borderId="4" xfId="0" applyFont="1" applyBorder="1"/>
    <xf numFmtId="165" fontId="84" fillId="0" borderId="0" xfId="1" applyNumberFormat="1" applyFont="1" applyAlignment="1">
      <alignment horizontal="right"/>
    </xf>
    <xf numFmtId="165" fontId="84" fillId="0" borderId="5" xfId="1" applyNumberFormat="1" applyFont="1" applyBorder="1" applyAlignment="1">
      <alignment horizontal="right"/>
    </xf>
    <xf numFmtId="0" fontId="83" fillId="0" borderId="12" xfId="0" applyFont="1" applyBorder="1" applyAlignment="1">
      <alignment horizontal="left" indent="5"/>
    </xf>
    <xf numFmtId="0" fontId="83" fillId="0" borderId="13" xfId="0" applyFont="1" applyBorder="1"/>
    <xf numFmtId="165" fontId="83" fillId="0" borderId="29" xfId="1" applyNumberFormat="1" applyFont="1" applyBorder="1" applyAlignment="1">
      <alignment horizontal="right"/>
    </xf>
    <xf numFmtId="165" fontId="83" fillId="0" borderId="28" xfId="1" applyNumberFormat="1" applyFont="1" applyBorder="1" applyAlignment="1">
      <alignment horizontal="right"/>
    </xf>
    <xf numFmtId="0" fontId="83" fillId="0" borderId="6" xfId="0" applyFont="1" applyBorder="1" applyAlignment="1">
      <alignment horizontal="left" indent="1"/>
    </xf>
    <xf numFmtId="0" fontId="83" fillId="0" borderId="10" xfId="0" applyFont="1" applyBorder="1" applyAlignment="1">
      <alignment horizontal="left" indent="1"/>
    </xf>
    <xf numFmtId="43" fontId="83" fillId="0" borderId="7" xfId="1" applyFont="1" applyBorder="1" applyAlignment="1">
      <alignment horizontal="right"/>
    </xf>
    <xf numFmtId="43" fontId="83" fillId="0" borderId="8" xfId="1" applyFont="1" applyBorder="1" applyAlignment="1">
      <alignment horizontal="right"/>
    </xf>
    <xf numFmtId="0" fontId="0" fillId="0" borderId="0" xfId="0" applyBorder="1"/>
    <xf numFmtId="0" fontId="0" fillId="0" borderId="42" xfId="0" applyFill="1" applyBorder="1" applyAlignment="1">
      <alignment horizontal="left" vertical="top" wrapText="1"/>
    </xf>
    <xf numFmtId="0" fontId="53" fillId="0" borderId="5" xfId="329" applyBorder="1" applyAlignment="1">
      <alignment horizontal="left" vertical="top" wrapText="1" indent="4"/>
    </xf>
    <xf numFmtId="0" fontId="0" fillId="0" borderId="2" xfId="0" applyBorder="1" applyAlignment="1">
      <alignment horizontal="left" vertical="top" wrapText="1"/>
    </xf>
    <xf numFmtId="0" fontId="2" fillId="0" borderId="42" xfId="0" applyFont="1" applyFill="1" applyBorder="1" applyAlignment="1">
      <alignment horizontal="left" vertical="top" wrapText="1"/>
    </xf>
    <xf numFmtId="0" fontId="85" fillId="0" borderId="0" xfId="0" applyFont="1"/>
    <xf numFmtId="165" fontId="65" fillId="0" borderId="0" xfId="1" applyNumberFormat="1" applyFont="1" applyFill="1" applyAlignment="1">
      <alignment horizontal="right"/>
    </xf>
    <xf numFmtId="43" fontId="65" fillId="0" borderId="5" xfId="1" applyFont="1" applyFill="1" applyBorder="1" applyAlignment="1">
      <alignment horizontal="right"/>
    </xf>
    <xf numFmtId="165" fontId="63" fillId="0" borderId="5" xfId="1" applyNumberFormat="1" applyFont="1" applyFill="1" applyBorder="1" applyAlignment="1">
      <alignment horizontal="right"/>
    </xf>
    <xf numFmtId="0" fontId="63" fillId="0" borderId="3" xfId="0" applyFont="1" applyBorder="1" applyAlignment="1">
      <alignment horizontal="left"/>
    </xf>
    <xf numFmtId="0" fontId="63" fillId="0" borderId="4" xfId="0" applyFont="1" applyBorder="1" applyAlignment="1">
      <alignment horizontal="left"/>
    </xf>
    <xf numFmtId="0" fontId="63" fillId="0" borderId="3" xfId="0" applyFont="1" applyBorder="1" applyAlignment="1">
      <alignment horizontal="left" indent="1"/>
    </xf>
    <xf numFmtId="165" fontId="63" fillId="0" borderId="0" xfId="1" applyNumberFormat="1" applyFont="1" applyFill="1" applyAlignment="1">
      <alignment horizontal="right"/>
    </xf>
    <xf numFmtId="165" fontId="66" fillId="0" borderId="0" xfId="1" applyNumberFormat="1" applyFont="1" applyFill="1" applyAlignment="1">
      <alignment horizontal="right"/>
    </xf>
    <xf numFmtId="165" fontId="66" fillId="0" borderId="5" xfId="1" applyNumberFormat="1" applyFont="1" applyFill="1" applyBorder="1" applyAlignment="1">
      <alignment horizontal="right"/>
    </xf>
    <xf numFmtId="165" fontId="65" fillId="0" borderId="5" xfId="1" applyNumberFormat="1" applyFont="1" applyFill="1" applyBorder="1" applyAlignment="1">
      <alignment horizontal="right"/>
    </xf>
    <xf numFmtId="165" fontId="4" fillId="0" borderId="0" xfId="1" applyNumberFormat="1" applyFont="1" applyFill="1" applyAlignment="1">
      <alignment horizontal="right"/>
    </xf>
    <xf numFmtId="43" fontId="63" fillId="0" borderId="5" xfId="1" applyFont="1" applyFill="1" applyBorder="1" applyAlignment="1">
      <alignment horizontal="right"/>
    </xf>
    <xf numFmtId="165" fontId="54" fillId="0" borderId="0" xfId="1" applyNumberFormat="1" applyFont="1" applyFill="1" applyAlignment="1">
      <alignment horizontal="right"/>
    </xf>
    <xf numFmtId="165" fontId="54" fillId="0" borderId="5" xfId="1" applyNumberFormat="1" applyFont="1" applyFill="1" applyBorder="1" applyAlignment="1">
      <alignment horizontal="right"/>
    </xf>
    <xf numFmtId="165" fontId="83" fillId="0" borderId="30" xfId="1" applyNumberFormat="1" applyFont="1" applyFill="1" applyBorder="1" applyAlignment="1">
      <alignment horizontal="right"/>
    </xf>
    <xf numFmtId="165" fontId="83" fillId="0" borderId="31" xfId="1" applyNumberFormat="1" applyFont="1" applyFill="1" applyBorder="1" applyAlignment="1">
      <alignment horizontal="right"/>
    </xf>
    <xf numFmtId="165" fontId="84" fillId="0" borderId="0" xfId="1" applyNumberFormat="1" applyFont="1" applyFill="1" applyAlignment="1">
      <alignment horizontal="right"/>
    </xf>
    <xf numFmtId="165" fontId="84" fillId="0" borderId="5" xfId="1" applyNumberFormat="1" applyFont="1" applyFill="1" applyBorder="1" applyAlignment="1">
      <alignment horizontal="right"/>
    </xf>
    <xf numFmtId="165" fontId="83" fillId="0" borderId="29" xfId="1" applyNumberFormat="1" applyFont="1" applyFill="1" applyBorder="1" applyAlignment="1">
      <alignment horizontal="right"/>
    </xf>
    <xf numFmtId="165" fontId="83" fillId="0" borderId="28" xfId="1" applyNumberFormat="1" applyFont="1" applyFill="1" applyBorder="1" applyAlignment="1">
      <alignment horizontal="right"/>
    </xf>
    <xf numFmtId="43" fontId="65" fillId="0" borderId="0" xfId="1" applyFont="1" applyFill="1" applyAlignment="1">
      <alignment horizontal="right"/>
    </xf>
    <xf numFmtId="7" fontId="63" fillId="0" borderId="0" xfId="1" applyNumberFormat="1" applyFont="1" applyFill="1" applyAlignment="1">
      <alignment horizontal="right"/>
    </xf>
    <xf numFmtId="164" fontId="63" fillId="0" borderId="0" xfId="1" applyNumberFormat="1" applyFont="1" applyFill="1" applyAlignment="1">
      <alignment horizontal="right"/>
    </xf>
    <xf numFmtId="166" fontId="63" fillId="11" borderId="0" xfId="2" applyNumberFormat="1" applyFont="1" applyFill="1" applyAlignment="1">
      <alignment horizontal="right"/>
    </xf>
    <xf numFmtId="9" fontId="63" fillId="0" borderId="0" xfId="2" applyFont="1" applyFill="1" applyAlignment="1">
      <alignment horizontal="right"/>
    </xf>
    <xf numFmtId="43" fontId="63" fillId="0" borderId="0" xfId="1" applyFont="1" applyFill="1" applyAlignment="1">
      <alignment horizontal="right"/>
    </xf>
    <xf numFmtId="165" fontId="63" fillId="0" borderId="30" xfId="1" applyNumberFormat="1" applyFont="1" applyFill="1" applyBorder="1" applyAlignment="1">
      <alignment horizontal="right"/>
    </xf>
    <xf numFmtId="166" fontId="65" fillId="11" borderId="0" xfId="2" applyNumberFormat="1" applyFont="1" applyFill="1" applyAlignment="1">
      <alignment horizontal="right"/>
    </xf>
    <xf numFmtId="164" fontId="65" fillId="11" borderId="0" xfId="1" applyNumberFormat="1" applyFont="1" applyFill="1" applyAlignment="1">
      <alignment horizontal="right"/>
    </xf>
    <xf numFmtId="166" fontId="63" fillId="0" borderId="5" xfId="2" quotePrefix="1" applyNumberFormat="1" applyFont="1" applyFill="1" applyBorder="1" applyAlignment="1">
      <alignment horizontal="right"/>
    </xf>
    <xf numFmtId="43" fontId="63" fillId="0" borderId="0" xfId="1" applyFont="1" applyFill="1" applyAlignment="1">
      <alignment horizontal="right" wrapText="1"/>
    </xf>
    <xf numFmtId="9" fontId="4" fillId="0" borderId="0" xfId="1" applyNumberFormat="1" applyFont="1" applyFill="1"/>
    <xf numFmtId="0" fontId="2" fillId="0" borderId="0" xfId="0" applyFont="1" applyFill="1"/>
    <xf numFmtId="43" fontId="83" fillId="0" borderId="7" xfId="1" applyFont="1" applyFill="1" applyBorder="1" applyAlignment="1">
      <alignment horizontal="right"/>
    </xf>
    <xf numFmtId="166" fontId="65" fillId="0" borderId="0" xfId="2" applyNumberFormat="1" applyFont="1" applyFill="1" applyAlignment="1">
      <alignment horizontal="right"/>
    </xf>
    <xf numFmtId="164" fontId="65" fillId="0" borderId="0" xfId="1" applyNumberFormat="1" applyFont="1" applyFill="1" applyAlignment="1">
      <alignment horizontal="right"/>
    </xf>
    <xf numFmtId="166" fontId="63" fillId="0" borderId="0" xfId="2" applyNumberFormat="1" applyFont="1" applyFill="1" applyAlignment="1">
      <alignment horizontal="right"/>
    </xf>
    <xf numFmtId="43" fontId="63" fillId="0" borderId="0" xfId="1" applyNumberFormat="1" applyFont="1" applyAlignment="1">
      <alignment horizontal="right"/>
    </xf>
    <xf numFmtId="0" fontId="63" fillId="0" borderId="0" xfId="0" applyFont="1" applyFill="1"/>
    <xf numFmtId="0" fontId="4" fillId="0" borderId="0" xfId="0" applyFont="1" applyFill="1"/>
    <xf numFmtId="0" fontId="82" fillId="0" borderId="0" xfId="0" applyFont="1" applyFill="1"/>
    <xf numFmtId="165" fontId="65" fillId="0" borderId="5" xfId="1" quotePrefix="1" applyNumberFormat="1" applyFont="1" applyBorder="1" applyAlignment="1">
      <alignment horizontal="right"/>
    </xf>
    <xf numFmtId="7" fontId="65" fillId="0" borderId="5" xfId="1" applyNumberFormat="1" applyFont="1" applyFill="1" applyBorder="1" applyAlignment="1">
      <alignment horizontal="right"/>
    </xf>
    <xf numFmtId="164" fontId="65" fillId="0" borderId="5" xfId="1" quotePrefix="1" applyNumberFormat="1" applyFont="1" applyBorder="1" applyAlignment="1">
      <alignment horizontal="right"/>
    </xf>
    <xf numFmtId="0" fontId="86" fillId="0" borderId="0" xfId="0" applyFont="1" applyFill="1"/>
    <xf numFmtId="0" fontId="64" fillId="0" borderId="43" xfId="0" applyFont="1" applyFill="1" applyBorder="1" applyAlignment="1">
      <alignment horizontal="left" indent="2"/>
    </xf>
    <xf numFmtId="0" fontId="64" fillId="0" borderId="44" xfId="0" applyFont="1" applyFill="1" applyBorder="1"/>
    <xf numFmtId="165" fontId="64" fillId="0" borderId="45" xfId="1" applyNumberFormat="1" applyFont="1" applyFill="1" applyBorder="1" applyAlignment="1">
      <alignment horizontal="right"/>
    </xf>
    <xf numFmtId="7" fontId="64" fillId="0" borderId="45" xfId="1" applyNumberFormat="1" applyFont="1" applyFill="1" applyBorder="1" applyAlignment="1">
      <alignment horizontal="right"/>
    </xf>
    <xf numFmtId="7" fontId="87" fillId="0" borderId="42" xfId="1" applyNumberFormat="1" applyFont="1" applyFill="1" applyBorder="1" applyAlignment="1">
      <alignment horizontal="right"/>
    </xf>
    <xf numFmtId="0" fontId="67" fillId="0" borderId="24" xfId="0" applyFont="1" applyBorder="1" applyAlignment="1"/>
    <xf numFmtId="0" fontId="65" fillId="0" borderId="0" xfId="0" applyFont="1" applyFill="1"/>
    <xf numFmtId="0" fontId="63" fillId="0" borderId="3" xfId="0" applyFont="1" applyBorder="1" applyAlignment="1">
      <alignment horizontal="left"/>
    </xf>
    <xf numFmtId="0" fontId="63" fillId="0" borderId="1" xfId="0" applyFont="1" applyBorder="1" applyAlignment="1">
      <alignment horizontal="left"/>
    </xf>
    <xf numFmtId="43" fontId="65" fillId="0" borderId="0" xfId="1" applyNumberFormat="1" applyFont="1" applyFill="1" applyAlignment="1">
      <alignment horizontal="right"/>
    </xf>
    <xf numFmtId="164" fontId="66" fillId="0" borderId="0" xfId="1" applyNumberFormat="1" applyFont="1" applyFill="1" applyAlignment="1">
      <alignment horizontal="right"/>
    </xf>
    <xf numFmtId="166" fontId="63" fillId="0" borderId="5" xfId="2" applyNumberFormat="1" applyFont="1" applyFill="1" applyBorder="1" applyAlignment="1">
      <alignment horizontal="right"/>
    </xf>
    <xf numFmtId="0" fontId="63" fillId="0" borderId="23" xfId="0" applyFont="1" applyFill="1" applyBorder="1" applyAlignment="1">
      <alignment horizontal="left"/>
    </xf>
    <xf numFmtId="9" fontId="63" fillId="0" borderId="0" xfId="1" applyNumberFormat="1" applyFont="1" applyFill="1" applyAlignment="1">
      <alignment horizontal="right"/>
    </xf>
    <xf numFmtId="43" fontId="4" fillId="0" borderId="0" xfId="1" applyNumberFormat="1" applyFont="1" applyAlignment="1">
      <alignment horizontal="right"/>
    </xf>
    <xf numFmtId="10" fontId="0" fillId="0" borderId="0" xfId="2" applyNumberFormat="1" applyFont="1" applyBorder="1"/>
    <xf numFmtId="10" fontId="0" fillId="0" borderId="0" xfId="0" applyNumberFormat="1" applyBorder="1"/>
    <xf numFmtId="0" fontId="62" fillId="0" borderId="4" xfId="0" applyFont="1" applyBorder="1" applyAlignment="1">
      <alignment horizontal="center" wrapText="1"/>
    </xf>
    <xf numFmtId="0" fontId="61" fillId="2" borderId="1" xfId="0" applyFont="1" applyFill="1" applyBorder="1" applyAlignment="1">
      <alignment horizontal="left"/>
    </xf>
    <xf numFmtId="0" fontId="61" fillId="2" borderId="11" xfId="0" applyFont="1" applyFill="1" applyBorder="1" applyAlignment="1">
      <alignment horizontal="left"/>
    </xf>
    <xf numFmtId="0" fontId="67" fillId="12" borderId="24" xfId="0" applyFont="1" applyFill="1" applyBorder="1" applyAlignment="1">
      <alignment horizontal="left"/>
    </xf>
    <xf numFmtId="0" fontId="67" fillId="12" borderId="25"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7" fillId="0" borderId="3" xfId="0" applyFont="1" applyBorder="1" applyAlignment="1">
      <alignment horizontal="left"/>
    </xf>
    <xf numFmtId="0" fontId="67" fillId="0" borderId="4" xfId="0" applyFont="1" applyBorder="1" applyAlignment="1">
      <alignment horizontal="left"/>
    </xf>
    <xf numFmtId="0" fontId="62" fillId="2" borderId="3" xfId="0" applyFont="1" applyFill="1" applyBorder="1" applyAlignment="1">
      <alignment horizontal="left"/>
    </xf>
    <xf numFmtId="0" fontId="62" fillId="2" borderId="4" xfId="0" applyFont="1" applyFill="1" applyBorder="1" applyAlignment="1">
      <alignment horizontal="left"/>
    </xf>
    <xf numFmtId="0" fontId="65" fillId="0" borderId="6" xfId="0" applyFont="1" applyBorder="1" applyAlignment="1">
      <alignment horizontal="left" indent="2"/>
    </xf>
    <xf numFmtId="0" fontId="65" fillId="0" borderId="10" xfId="0" applyFont="1" applyBorder="1" applyAlignment="1">
      <alignment horizontal="left" indent="2"/>
    </xf>
    <xf numFmtId="0" fontId="63" fillId="0" borderId="3" xfId="0" applyFont="1" applyBorder="1" applyAlignment="1">
      <alignment horizontal="left"/>
    </xf>
    <xf numFmtId="0" fontId="63" fillId="0" borderId="4" xfId="0" applyFont="1" applyBorder="1" applyAlignment="1">
      <alignment horizontal="left"/>
    </xf>
    <xf numFmtId="0" fontId="63" fillId="12" borderId="3" xfId="0" applyFont="1" applyFill="1" applyBorder="1" applyAlignment="1">
      <alignment horizontal="left"/>
    </xf>
    <xf numFmtId="0" fontId="63" fillId="12" borderId="4" xfId="0" applyFont="1" applyFill="1" applyBorder="1" applyAlignment="1">
      <alignment horizontal="left"/>
    </xf>
    <xf numFmtId="0" fontId="61" fillId="2" borderId="2" xfId="0" applyFont="1" applyFill="1" applyBorder="1" applyAlignment="1">
      <alignment horizontal="left"/>
    </xf>
    <xf numFmtId="0" fontId="63" fillId="0" borderId="26" xfId="0" applyFont="1" applyBorder="1" applyAlignment="1">
      <alignment horizontal="left" vertical="top" wrapText="1"/>
    </xf>
    <xf numFmtId="0" fontId="63" fillId="0" borderId="27" xfId="0" applyFont="1" applyBorder="1" applyAlignment="1">
      <alignment horizontal="left" vertical="top" wrapText="1"/>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3" fillId="12" borderId="3" xfId="0" applyFont="1" applyFill="1" applyBorder="1" applyAlignment="1">
      <alignment horizontal="left" indent="1"/>
    </xf>
    <xf numFmtId="0" fontId="63" fillId="12" borderId="4" xfId="0" applyFont="1" applyFill="1" applyBorder="1" applyAlignment="1">
      <alignment horizontal="left" indent="1"/>
    </xf>
    <xf numFmtId="0" fontId="63" fillId="12" borderId="6" xfId="0" applyFont="1" applyFill="1" applyBorder="1" applyAlignment="1">
      <alignment horizontal="left"/>
    </xf>
    <xf numFmtId="0" fontId="63" fillId="12" borderId="10" xfId="0" applyFont="1" applyFill="1" applyBorder="1" applyAlignment="1">
      <alignment horizontal="left"/>
    </xf>
    <xf numFmtId="0" fontId="4" fillId="0" borderId="2" xfId="0" applyFont="1" applyBorder="1" applyAlignment="1">
      <alignment horizontal="left"/>
    </xf>
    <xf numFmtId="0" fontId="63" fillId="12" borderId="12" xfId="0" applyFont="1" applyFill="1" applyBorder="1" applyAlignment="1">
      <alignment horizontal="left"/>
    </xf>
    <xf numFmtId="0" fontId="63" fillId="12" borderId="13" xfId="0" applyFont="1" applyFill="1" applyBorder="1" applyAlignment="1">
      <alignment horizontal="left"/>
    </xf>
    <xf numFmtId="0" fontId="65" fillId="12" borderId="3" xfId="0" applyFont="1" applyFill="1" applyBorder="1" applyAlignment="1">
      <alignment horizontal="left"/>
    </xf>
    <xf numFmtId="0" fontId="65" fillId="12" borderId="4" xfId="0" applyFont="1" applyFill="1" applyBorder="1" applyAlignment="1">
      <alignment horizontal="left"/>
    </xf>
    <xf numFmtId="0" fontId="63" fillId="0" borderId="6" xfId="0" applyFont="1" applyBorder="1" applyAlignment="1">
      <alignment horizontal="left"/>
    </xf>
    <xf numFmtId="0" fontId="63" fillId="0" borderId="10"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5" fillId="0" borderId="3" xfId="0" applyFont="1" applyBorder="1" applyAlignment="1">
      <alignment horizontal="left" indent="5"/>
    </xf>
    <xf numFmtId="0" fontId="65" fillId="0" borderId="4" xfId="0" applyFont="1" applyBorder="1" applyAlignment="1">
      <alignment horizontal="left" indent="5"/>
    </xf>
    <xf numFmtId="0" fontId="65" fillId="0" borderId="3" xfId="0" applyFont="1" applyBorder="1" applyAlignment="1">
      <alignment horizontal="left" indent="1"/>
    </xf>
    <xf numFmtId="0" fontId="65" fillId="0" borderId="4" xfId="0" applyFont="1" applyBorder="1" applyAlignment="1">
      <alignment horizontal="left" indent="1"/>
    </xf>
    <xf numFmtId="0" fontId="65" fillId="0" borderId="3" xfId="0" applyFont="1" applyBorder="1" applyAlignment="1">
      <alignment horizontal="left" indent="6"/>
    </xf>
    <xf numFmtId="0" fontId="65" fillId="0" borderId="4" xfId="0" applyFont="1" applyBorder="1" applyAlignment="1">
      <alignment horizontal="left" indent="6"/>
    </xf>
    <xf numFmtId="0" fontId="63" fillId="10" borderId="1" xfId="0" applyFont="1" applyFill="1" applyBorder="1" applyAlignment="1">
      <alignment horizontal="left"/>
    </xf>
    <xf numFmtId="0" fontId="63" fillId="10" borderId="11" xfId="0" applyFont="1" applyFill="1" applyBorder="1" applyAlignment="1">
      <alignment horizontal="left"/>
    </xf>
    <xf numFmtId="0" fontId="63" fillId="11" borderId="3" xfId="0" applyFont="1" applyFill="1" applyBorder="1" applyAlignment="1">
      <alignment horizontal="left"/>
    </xf>
    <xf numFmtId="0" fontId="63" fillId="11" borderId="4" xfId="0" applyFont="1" applyFill="1" applyBorder="1" applyAlignment="1">
      <alignment horizontal="left"/>
    </xf>
    <xf numFmtId="0" fontId="63" fillId="9" borderId="6" xfId="0" applyFont="1" applyFill="1" applyBorder="1" applyAlignment="1">
      <alignment horizontal="left"/>
    </xf>
    <xf numFmtId="0" fontId="63" fillId="9" borderId="10" xfId="0" applyFont="1" applyFill="1" applyBorder="1" applyAlignment="1">
      <alignment horizontal="left"/>
    </xf>
    <xf numFmtId="0" fontId="67" fillId="0" borderId="24" xfId="0" applyFont="1" applyBorder="1" applyAlignment="1">
      <alignment horizontal="left"/>
    </xf>
    <xf numFmtId="0" fontId="67" fillId="0" borderId="25" xfId="0" applyFont="1" applyBorder="1" applyAlignment="1">
      <alignment horizontal="left"/>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3" fillId="12" borderId="3" xfId="0" applyFont="1" applyFill="1" applyBorder="1" applyAlignment="1">
      <alignment horizontal="left" indent="4"/>
    </xf>
    <xf numFmtId="0" fontId="63" fillId="12" borderId="4" xfId="0" applyFont="1" applyFill="1" applyBorder="1" applyAlignment="1">
      <alignment horizontal="left" indent="4"/>
    </xf>
    <xf numFmtId="0" fontId="79" fillId="12" borderId="24" xfId="0" applyFont="1" applyFill="1" applyBorder="1" applyAlignment="1">
      <alignment horizontal="left" indent="3"/>
    </xf>
    <xf numFmtId="0" fontId="79" fillId="12" borderId="25" xfId="0" applyFont="1" applyFill="1" applyBorder="1" applyAlignment="1">
      <alignment horizontal="left" indent="3"/>
    </xf>
    <xf numFmtId="0" fontId="79" fillId="12" borderId="24" xfId="0" applyFont="1" applyFill="1" applyBorder="1" applyAlignment="1">
      <alignment horizontal="left"/>
    </xf>
    <xf numFmtId="0" fontId="79" fillId="12" borderId="25" xfId="0" applyFont="1" applyFill="1" applyBorder="1" applyAlignment="1">
      <alignment horizontal="left"/>
    </xf>
    <xf numFmtId="0" fontId="63" fillId="0" borderId="3" xfId="3" applyFont="1" applyBorder="1" applyAlignment="1">
      <alignment horizontal="left" vertical="top"/>
    </xf>
    <xf numFmtId="0" fontId="63" fillId="0" borderId="4" xfId="3" applyFont="1" applyBorder="1" applyAlignment="1">
      <alignment horizontal="left" vertical="top"/>
    </xf>
    <xf numFmtId="0" fontId="65" fillId="12" borderId="3" xfId="0" applyFont="1" applyFill="1" applyBorder="1" applyAlignment="1">
      <alignment horizontal="left" indent="1"/>
    </xf>
    <xf numFmtId="0" fontId="65" fillId="12" borderId="4" xfId="0" applyFont="1" applyFill="1" applyBorder="1" applyAlignment="1">
      <alignment horizontal="left" indent="1"/>
    </xf>
    <xf numFmtId="0" fontId="2" fillId="0" borderId="0" xfId="0" applyFont="1" applyAlignment="1">
      <alignment horizontal="center" vertical="top" wrapText="1"/>
    </xf>
    <xf numFmtId="5" fontId="87" fillId="14" borderId="11" xfId="1" applyNumberFormat="1" applyFont="1" applyFill="1" applyBorder="1" applyAlignment="1">
      <alignment horizontal="center" vertical="center" wrapText="1"/>
    </xf>
    <xf numFmtId="5" fontId="87" fillId="14" borderId="4" xfId="1" applyNumberFormat="1" applyFont="1" applyFill="1" applyBorder="1" applyAlignment="1">
      <alignment horizontal="center" vertical="center" wrapText="1"/>
    </xf>
    <xf numFmtId="5" fontId="87" fillId="14" borderId="10" xfId="1" applyNumberFormat="1" applyFont="1" applyFill="1" applyBorder="1" applyAlignment="1">
      <alignment horizontal="center" vertical="center" wrapText="1"/>
    </xf>
    <xf numFmtId="5" fontId="87" fillId="14" borderId="46" xfId="1" applyNumberFormat="1" applyFont="1" applyFill="1" applyBorder="1" applyAlignment="1">
      <alignment horizontal="center" vertical="center" wrapText="1"/>
    </xf>
    <xf numFmtId="5" fontId="87" fillId="14" borderId="30" xfId="1" applyNumberFormat="1" applyFont="1" applyFill="1" applyBorder="1" applyAlignment="1">
      <alignment horizontal="center" vertical="center" wrapText="1"/>
    </xf>
    <xf numFmtId="5" fontId="87" fillId="14" borderId="47" xfId="1" applyNumberFormat="1" applyFont="1" applyFill="1" applyBorder="1" applyAlignment="1">
      <alignment horizontal="center" vertical="center" wrapText="1"/>
    </xf>
    <xf numFmtId="5" fontId="87" fillId="14" borderId="48" xfId="1" applyNumberFormat="1" applyFont="1" applyFill="1" applyBorder="1" applyAlignment="1">
      <alignment horizontal="center" vertical="center" wrapText="1"/>
    </xf>
    <xf numFmtId="5" fontId="87" fillId="14" borderId="0" xfId="1" applyNumberFormat="1" applyFont="1" applyFill="1" applyAlignment="1">
      <alignment horizontal="center" vertical="center" wrapText="1"/>
    </xf>
    <xf numFmtId="5" fontId="87" fillId="14" borderId="49" xfId="1" applyNumberFormat="1" applyFont="1" applyFill="1" applyBorder="1" applyAlignment="1">
      <alignment horizontal="center" vertical="center" wrapText="1"/>
    </xf>
    <xf numFmtId="5" fontId="53" fillId="14" borderId="48" xfId="329" applyNumberFormat="1" applyFill="1" applyBorder="1" applyAlignment="1">
      <alignment horizontal="center" vertical="center" wrapText="1"/>
    </xf>
    <xf numFmtId="5" fontId="53" fillId="14" borderId="0" xfId="329" applyNumberFormat="1" applyFill="1" applyAlignment="1">
      <alignment horizontal="center" vertical="center" wrapText="1"/>
    </xf>
    <xf numFmtId="5" fontId="53" fillId="14" borderId="49" xfId="329" applyNumberFormat="1" applyFill="1" applyBorder="1" applyAlignment="1">
      <alignment horizontal="center" vertical="center" wrapText="1"/>
    </xf>
    <xf numFmtId="5" fontId="87" fillId="14" borderId="50" xfId="1" applyNumberFormat="1" applyFont="1" applyFill="1" applyBorder="1" applyAlignment="1">
      <alignment vertical="center" wrapText="1"/>
    </xf>
    <xf numFmtId="5" fontId="87" fillId="14" borderId="29" xfId="1" applyNumberFormat="1" applyFont="1" applyFill="1" applyBorder="1" applyAlignment="1">
      <alignment vertical="center" wrapText="1"/>
    </xf>
    <xf numFmtId="5" fontId="87" fillId="14" borderId="51" xfId="1" applyNumberFormat="1" applyFont="1" applyFill="1" applyBorder="1" applyAlignment="1">
      <alignment vertical="center" wrapText="1"/>
    </xf>
    <xf numFmtId="165" fontId="63" fillId="0" borderId="3" xfId="1" applyNumberFormat="1" applyFont="1" applyFill="1" applyBorder="1" applyAlignment="1">
      <alignment horizontal="right"/>
    </xf>
    <xf numFmtId="165" fontId="63" fillId="0" borderId="0" xfId="1" applyNumberFormat="1" applyFont="1" applyFill="1" applyBorder="1" applyAlignment="1">
      <alignment horizontal="right"/>
    </xf>
    <xf numFmtId="165" fontId="63" fillId="0" borderId="0" xfId="1" applyNumberFormat="1" applyFont="1" applyBorder="1" applyAlignment="1">
      <alignment horizontal="right"/>
    </xf>
    <xf numFmtId="165" fontId="66" fillId="0" borderId="3" xfId="1" applyNumberFormat="1" applyFont="1" applyFill="1" applyBorder="1" applyAlignment="1">
      <alignment horizontal="right"/>
    </xf>
    <xf numFmtId="165" fontId="66" fillId="0" borderId="0" xfId="1" applyNumberFormat="1" applyFont="1" applyFill="1" applyBorder="1" applyAlignment="1">
      <alignment horizontal="right"/>
    </xf>
    <xf numFmtId="165" fontId="66" fillId="0" borderId="0" xfId="1" applyNumberFormat="1" applyFont="1" applyBorder="1" applyAlignment="1">
      <alignment horizontal="right"/>
    </xf>
    <xf numFmtId="165" fontId="65" fillId="0" borderId="3" xfId="1" applyNumberFormat="1" applyFont="1" applyFill="1" applyBorder="1" applyAlignment="1">
      <alignment horizontal="right"/>
    </xf>
    <xf numFmtId="165" fontId="65" fillId="0" borderId="0" xfId="1" applyNumberFormat="1" applyFont="1" applyFill="1" applyBorder="1" applyAlignment="1">
      <alignment horizontal="right"/>
    </xf>
    <xf numFmtId="165" fontId="65" fillId="0" borderId="0" xfId="1" applyNumberFormat="1" applyFont="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0" xfId="1" applyNumberFormat="1" applyFont="1" applyBorder="1" applyAlignment="1">
      <alignment horizontal="right"/>
    </xf>
    <xf numFmtId="165" fontId="54" fillId="0" borderId="3" xfId="1" applyNumberFormat="1" applyFont="1" applyFill="1" applyBorder="1" applyAlignment="1">
      <alignment horizontal="right"/>
    </xf>
    <xf numFmtId="165" fontId="54" fillId="0" borderId="0" xfId="1" applyNumberFormat="1" applyFont="1" applyFill="1" applyBorder="1" applyAlignment="1">
      <alignment horizontal="right"/>
    </xf>
    <xf numFmtId="165" fontId="54" fillId="0" borderId="0" xfId="1" applyNumberFormat="1" applyFont="1" applyBorder="1" applyAlignment="1">
      <alignment horizontal="right"/>
    </xf>
    <xf numFmtId="165" fontId="83" fillId="0" borderId="3" xfId="1" applyNumberFormat="1" applyFont="1" applyFill="1" applyBorder="1" applyAlignment="1">
      <alignment horizontal="right"/>
    </xf>
    <xf numFmtId="165" fontId="83" fillId="0" borderId="0" xfId="1" applyNumberFormat="1" applyFont="1" applyFill="1" applyBorder="1" applyAlignment="1">
      <alignment horizontal="right"/>
    </xf>
    <xf numFmtId="165" fontId="83" fillId="0" borderId="5" xfId="1" applyNumberFormat="1" applyFont="1" applyFill="1" applyBorder="1" applyAlignment="1">
      <alignment horizontal="right"/>
    </xf>
    <xf numFmtId="165" fontId="83" fillId="0" borderId="0" xfId="1" applyNumberFormat="1" applyFont="1" applyBorder="1" applyAlignment="1">
      <alignment horizontal="right"/>
    </xf>
    <xf numFmtId="165" fontId="83" fillId="0" borderId="5" xfId="1" applyNumberFormat="1" applyFont="1" applyBorder="1" applyAlignment="1">
      <alignment horizontal="right"/>
    </xf>
    <xf numFmtId="165" fontId="84" fillId="0" borderId="3" xfId="1" applyNumberFormat="1" applyFont="1" applyFill="1" applyBorder="1" applyAlignment="1">
      <alignment horizontal="right"/>
    </xf>
    <xf numFmtId="165" fontId="84" fillId="0" borderId="0" xfId="1" applyNumberFormat="1" applyFont="1" applyFill="1" applyBorder="1" applyAlignment="1">
      <alignment horizontal="right"/>
    </xf>
    <xf numFmtId="165" fontId="84" fillId="0" borderId="0" xfId="1" applyNumberFormat="1" applyFont="1" applyBorder="1" applyAlignment="1">
      <alignment horizontal="right"/>
    </xf>
    <xf numFmtId="43" fontId="65" fillId="0" borderId="3" xfId="1" applyFont="1" applyFill="1" applyBorder="1" applyAlignment="1">
      <alignment horizontal="right"/>
    </xf>
    <xf numFmtId="43" fontId="65" fillId="0" borderId="0" xfId="1" applyFont="1" applyFill="1" applyBorder="1" applyAlignment="1">
      <alignment horizontal="right"/>
    </xf>
    <xf numFmtId="43" fontId="65" fillId="0" borderId="0" xfId="1" applyFont="1" applyBorder="1" applyAlignment="1">
      <alignment horizontal="right"/>
    </xf>
    <xf numFmtId="43" fontId="83" fillId="0" borderId="6" xfId="1" applyFont="1" applyBorder="1" applyAlignment="1">
      <alignment horizontal="right"/>
    </xf>
    <xf numFmtId="5" fontId="87" fillId="14" borderId="50" xfId="1" applyNumberFormat="1" applyFont="1" applyFill="1" applyBorder="1" applyAlignment="1">
      <alignment horizontal="center" vertical="center" wrapText="1"/>
    </xf>
    <xf numFmtId="5" fontId="87" fillId="14" borderId="51" xfId="1" applyNumberFormat="1" applyFont="1" applyFill="1" applyBorder="1" applyAlignment="1">
      <alignment horizontal="center" vertical="center" wrapText="1"/>
    </xf>
    <xf numFmtId="164" fontId="65" fillId="0" borderId="5" xfId="1" quotePrefix="1" applyNumberFormat="1" applyFont="1" applyFill="1" applyBorder="1" applyAlignment="1">
      <alignment horizontal="right"/>
    </xf>
    <xf numFmtId="165" fontId="4" fillId="0" borderId="5" xfId="1" quotePrefix="1" applyNumberFormat="1" applyFont="1" applyFill="1" applyBorder="1" applyAlignment="1">
      <alignment horizontal="right"/>
    </xf>
    <xf numFmtId="165" fontId="55" fillId="0" borderId="5" xfId="1" quotePrefix="1" applyNumberFormat="1" applyFont="1" applyFill="1" applyBorder="1" applyAlignment="1">
      <alignment horizontal="right"/>
    </xf>
    <xf numFmtId="165" fontId="63" fillId="0" borderId="0" xfId="2" applyNumberFormat="1" applyFont="1" applyFill="1" applyAlignment="1">
      <alignment horizontal="right"/>
    </xf>
    <xf numFmtId="165" fontId="65" fillId="0" borderId="5" xfId="1" quotePrefix="1" applyNumberFormat="1" applyFont="1" applyFill="1" applyBorder="1" applyAlignment="1">
      <alignment horizontal="right"/>
    </xf>
    <xf numFmtId="9" fontId="4" fillId="0" borderId="5" xfId="2" quotePrefix="1" applyFont="1" applyFill="1" applyBorder="1" applyAlignment="1">
      <alignment horizontal="right"/>
    </xf>
    <xf numFmtId="9" fontId="55" fillId="0" borderId="5" xfId="2" quotePrefix="1" applyFont="1" applyFill="1" applyBorder="1" applyAlignment="1">
      <alignment horizontal="right"/>
    </xf>
    <xf numFmtId="164" fontId="65" fillId="0" borderId="3" xfId="1" applyNumberFormat="1" applyFont="1" applyFill="1" applyBorder="1" applyAlignment="1">
      <alignment horizontal="right"/>
    </xf>
    <xf numFmtId="164" fontId="65" fillId="0" borderId="0" xfId="1" applyNumberFormat="1" applyFont="1" applyFill="1" applyBorder="1" applyAlignment="1">
      <alignment horizontal="right"/>
    </xf>
    <xf numFmtId="164" fontId="63" fillId="0" borderId="3" xfId="1" applyNumberFormat="1" applyFont="1" applyFill="1" applyBorder="1" applyAlignment="1">
      <alignment horizontal="right"/>
    </xf>
    <xf numFmtId="164" fontId="63" fillId="0" borderId="0" xfId="1" applyNumberFormat="1" applyFont="1" applyFill="1" applyBorder="1" applyAlignment="1">
      <alignment horizontal="right"/>
    </xf>
    <xf numFmtId="164" fontId="66" fillId="0" borderId="3" xfId="1" applyNumberFormat="1" applyFont="1" applyFill="1" applyBorder="1" applyAlignment="1">
      <alignment horizontal="right"/>
    </xf>
    <xf numFmtId="164" fontId="66" fillId="0" borderId="0" xfId="1" applyNumberFormat="1" applyFont="1" applyFill="1" applyBorder="1" applyAlignment="1">
      <alignment horizontal="right"/>
    </xf>
    <xf numFmtId="166" fontId="65" fillId="0" borderId="3" xfId="2" applyNumberFormat="1" applyFont="1" applyFill="1" applyBorder="1" applyAlignment="1">
      <alignment horizontal="right"/>
    </xf>
    <xf numFmtId="166" fontId="65" fillId="0" borderId="0" xfId="2" applyNumberFormat="1" applyFont="1" applyFill="1" applyBorder="1" applyAlignment="1">
      <alignment horizontal="right"/>
    </xf>
    <xf numFmtId="165" fontId="63" fillId="0" borderId="3" xfId="2" applyNumberFormat="1" applyFont="1" applyFill="1" applyBorder="1" applyAlignment="1">
      <alignment horizontal="right"/>
    </xf>
    <xf numFmtId="7" fontId="63" fillId="0" borderId="3" xfId="1" applyNumberFormat="1" applyFont="1" applyFill="1" applyBorder="1" applyAlignment="1">
      <alignment horizontal="right"/>
    </xf>
    <xf numFmtId="7" fontId="63" fillId="0" borderId="0" xfId="1" applyNumberFormat="1" applyFont="1" applyFill="1" applyBorder="1" applyAlignment="1">
      <alignment horizontal="right"/>
    </xf>
    <xf numFmtId="7" fontId="64" fillId="0" borderId="3" xfId="1" applyNumberFormat="1" applyFont="1" applyFill="1" applyBorder="1" applyAlignment="1">
      <alignment horizontal="right"/>
    </xf>
    <xf numFmtId="7" fontId="64" fillId="0" borderId="0" xfId="1" applyNumberFormat="1" applyFont="1" applyFill="1" applyBorder="1" applyAlignment="1">
      <alignment horizontal="right"/>
    </xf>
    <xf numFmtId="7" fontId="87" fillId="0" borderId="5" xfId="1" applyNumberFormat="1" applyFont="1" applyFill="1" applyBorder="1" applyAlignment="1">
      <alignment horizontal="right"/>
    </xf>
    <xf numFmtId="9" fontId="63" fillId="0" borderId="5" xfId="2" applyFont="1" applyFill="1" applyBorder="1" applyAlignment="1">
      <alignment horizontal="right"/>
    </xf>
    <xf numFmtId="9" fontId="4" fillId="0" borderId="5" xfId="2" applyFont="1" applyFill="1" applyBorder="1" applyAlignment="1">
      <alignment horizontal="right"/>
    </xf>
    <xf numFmtId="7" fontId="4" fillId="0" borderId="5" xfId="1" applyNumberFormat="1" applyFont="1" applyFill="1" applyBorder="1" applyAlignment="1">
      <alignment horizontal="right"/>
    </xf>
    <xf numFmtId="166" fontId="63" fillId="0" borderId="7" xfId="2" applyNumberFormat="1" applyFont="1" applyFill="1" applyBorder="1" applyAlignment="1">
      <alignment horizontal="right"/>
    </xf>
    <xf numFmtId="165" fontId="63" fillId="0" borderId="8" xfId="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165" fontId="55" fillId="0" borderId="9" xfId="1" applyNumberFormat="1" applyFont="1" applyFill="1" applyBorder="1" applyAlignment="1">
      <alignment horizontal="right"/>
    </xf>
    <xf numFmtId="165" fontId="63" fillId="0" borderId="0" xfId="1" quotePrefix="1" applyNumberFormat="1" applyFont="1" applyFill="1" applyAlignment="1">
      <alignment horizontal="right"/>
    </xf>
    <xf numFmtId="165" fontId="63" fillId="0" borderId="5" xfId="1" quotePrefix="1" applyNumberFormat="1" applyFont="1" applyFill="1" applyBorder="1" applyAlignment="1">
      <alignment horizontal="right"/>
    </xf>
    <xf numFmtId="9" fontId="63" fillId="0" borderId="0" xfId="2" quotePrefix="1" applyFont="1" applyFill="1" applyAlignment="1">
      <alignment horizontal="right"/>
    </xf>
    <xf numFmtId="164" fontId="63" fillId="0" borderId="5" xfId="1" quotePrefix="1" applyNumberFormat="1" applyFont="1" applyFill="1" applyBorder="1" applyAlignment="1">
      <alignment horizontal="right"/>
    </xf>
    <xf numFmtId="166" fontId="63" fillId="0" borderId="0" xfId="2" applyNumberFormat="1" applyFont="1" applyFill="1" applyBorder="1" applyAlignment="1">
      <alignment horizontal="right"/>
    </xf>
    <xf numFmtId="166" fontId="63" fillId="0" borderId="0" xfId="2" quotePrefix="1" applyNumberFormat="1" applyFont="1" applyFill="1" applyBorder="1" applyAlignment="1">
      <alignment horizontal="right"/>
    </xf>
    <xf numFmtId="166" fontId="63" fillId="0" borderId="4" xfId="2" applyNumberFormat="1" applyFont="1" applyFill="1" applyBorder="1" applyAlignment="1">
      <alignment horizontal="right"/>
    </xf>
    <xf numFmtId="164" fontId="63" fillId="0" borderId="0" xfId="1" quotePrefix="1" applyNumberFormat="1" applyFont="1" applyFill="1" applyAlignment="1">
      <alignment horizontal="right"/>
    </xf>
    <xf numFmtId="43" fontId="63" fillId="0" borderId="5" xfId="1" quotePrefix="1" applyFont="1" applyFill="1" applyBorder="1" applyAlignment="1">
      <alignment horizontal="right"/>
    </xf>
    <xf numFmtId="164" fontId="63" fillId="0" borderId="0" xfId="2" applyNumberFormat="1" applyFont="1" applyFill="1" applyAlignment="1">
      <alignment horizontal="right"/>
    </xf>
    <xf numFmtId="166" fontId="63" fillId="0" borderId="8" xfId="2" quotePrefix="1" applyNumberFormat="1" applyFont="1" applyFill="1" applyBorder="1" applyAlignment="1">
      <alignment horizontal="right"/>
    </xf>
    <xf numFmtId="166" fontId="63" fillId="0" borderId="7" xfId="2" quotePrefix="1" applyNumberFormat="1" applyFont="1" applyFill="1" applyBorder="1" applyAlignment="1">
      <alignment horizontal="right"/>
    </xf>
    <xf numFmtId="166" fontId="4" fillId="0" borderId="8" xfId="2" quotePrefix="1" applyNumberFormat="1" applyFont="1" applyFill="1" applyBorder="1" applyAlignment="1">
      <alignment horizontal="right"/>
    </xf>
    <xf numFmtId="43" fontId="63" fillId="0" borderId="7" xfId="1" applyFont="1" applyFill="1" applyBorder="1" applyAlignment="1">
      <alignment horizontal="right"/>
    </xf>
    <xf numFmtId="43" fontId="63" fillId="0" borderId="8" xfId="1" applyFont="1" applyFill="1" applyBorder="1" applyAlignment="1">
      <alignment horizontal="right"/>
    </xf>
    <xf numFmtId="43" fontId="63" fillId="0" borderId="0" xfId="1" applyFont="1" applyFill="1" applyBorder="1" applyAlignment="1">
      <alignment horizontal="right"/>
    </xf>
    <xf numFmtId="165" fontId="4" fillId="0" borderId="5" xfId="1" applyNumberFormat="1" applyFont="1" applyFill="1" applyBorder="1" applyAlignment="1">
      <alignment horizontal="right"/>
    </xf>
    <xf numFmtId="165" fontId="4" fillId="0" borderId="7" xfId="1" applyNumberFormat="1" applyFont="1" applyFill="1" applyBorder="1" applyAlignment="1">
      <alignment horizontal="right"/>
    </xf>
    <xf numFmtId="164" fontId="4" fillId="0" borderId="5" xfId="1" quotePrefix="1" applyNumberFormat="1" applyFont="1" applyFill="1" applyBorder="1" applyAlignment="1">
      <alignment horizontal="right"/>
    </xf>
    <xf numFmtId="9" fontId="63" fillId="0" borderId="8" xfId="2" quotePrefix="1" applyFont="1" applyFill="1" applyBorder="1" applyAlignment="1">
      <alignment horizontal="right"/>
    </xf>
    <xf numFmtId="226" fontId="87" fillId="14" borderId="4" xfId="1" applyNumberFormat="1" applyFont="1" applyFill="1" applyBorder="1" applyAlignment="1">
      <alignment horizontal="center" vertical="center" wrapText="1"/>
    </xf>
    <xf numFmtId="226" fontId="87" fillId="14" borderId="10" xfId="1" applyNumberFormat="1" applyFont="1" applyFill="1" applyBorder="1" applyAlignment="1">
      <alignment horizontal="center" vertical="center" wrapText="1"/>
    </xf>
    <xf numFmtId="5" fontId="88" fillId="14" borderId="4" xfId="1" applyNumberFormat="1" applyFont="1" applyFill="1" applyBorder="1" applyAlignment="1">
      <alignment horizontal="center" vertical="center" wrapText="1"/>
    </xf>
    <xf numFmtId="5" fontId="88" fillId="14" borderId="10" xfId="1" applyNumberFormat="1" applyFont="1" applyFill="1" applyBorder="1" applyAlignment="1">
      <alignment horizontal="center" vertical="center" wrapText="1"/>
    </xf>
    <xf numFmtId="10" fontId="87" fillId="14" borderId="11" xfId="1" applyNumberFormat="1" applyFont="1" applyFill="1" applyBorder="1" applyAlignment="1">
      <alignment horizontal="center" vertical="center" wrapText="1"/>
    </xf>
    <xf numFmtId="10" fontId="87" fillId="14" borderId="4" xfId="1" applyNumberFormat="1" applyFont="1" applyFill="1" applyBorder="1" applyAlignment="1">
      <alignment horizontal="center" vertical="center" wrapText="1"/>
    </xf>
    <xf numFmtId="10" fontId="87" fillId="14" borderId="10" xfId="1" applyNumberFormat="1" applyFont="1" applyFill="1" applyBorder="1" applyAlignment="1">
      <alignment horizontal="center" vertical="center"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U.S. Streaming Projections</a:t>
            </a:r>
          </a:p>
        </c:rich>
      </c:tx>
      <c:layout>
        <c:manualLayout>
          <c:xMode val="edge"/>
          <c:yMode val="edge"/>
          <c:x val="0.29657388701299009"/>
          <c:y val="6.0115903233614789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Model'!$B$40</c:f>
              <c:strCache>
                <c:ptCount val="1"/>
                <c:pt idx="0">
                  <c:v>U.S. Streaming paid members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Model'!$Q$38,'Earnings Model'!$S$38,'Earnings Model'!$T$38,'Earnings Model'!$U$38,'Earnings Model'!$V$38,'Earnings Model'!$X$38,'Earnings Model'!$Y$38,'Earnings Model'!$Z$38)</c:f>
              <c:strCache>
                <c:ptCount val="7"/>
                <c:pt idx="0">
                  <c:v> 1Q19 </c:v>
                </c:pt>
                <c:pt idx="1">
                  <c:v> 2Q19 </c:v>
                </c:pt>
                <c:pt idx="2">
                  <c:v> 3Q19 </c:v>
                </c:pt>
                <c:pt idx="3">
                  <c:v> 4Q19E </c:v>
                </c:pt>
                <c:pt idx="4">
                  <c:v> 1Q20E </c:v>
                </c:pt>
                <c:pt idx="5">
                  <c:v> 2Q20E </c:v>
                </c:pt>
                <c:pt idx="6">
                  <c:v> 3Q20E </c:v>
                </c:pt>
              </c:strCache>
            </c:strRef>
          </c:cat>
          <c:val>
            <c:numRef>
              <c:f>('Earnings Model'!$Q$40,'Earnings Model'!$S$40,'Earnings Model'!$T$40,'Earnings Model'!$U$40,'Earnings Model'!$V$40,'Earnings Model'!$X$40,'Earnings Model'!$Y$40,'Earnings Model'!$Z$40)</c:f>
              <c:numCache>
                <c:formatCode>_(* #,##0.0_);_(* \(#,##0.0\);_(* "-"??_);_(@_)</c:formatCode>
                <c:ptCount val="7"/>
                <c:pt idx="0">
                  <c:v>60.228999999999999</c:v>
                </c:pt>
                <c:pt idx="1">
                  <c:v>60.103000000000002</c:v>
                </c:pt>
                <c:pt idx="2">
                  <c:v>60.62</c:v>
                </c:pt>
                <c:pt idx="3">
                  <c:v>61.22</c:v>
                </c:pt>
                <c:pt idx="4">
                  <c:v>63.391022499999998</c:v>
                </c:pt>
                <c:pt idx="5">
                  <c:v>63.258407500000004</c:v>
                </c:pt>
                <c:pt idx="6">
                  <c:v>63.802549999999997</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Model'!$B$53</c:f>
              <c:strCache>
                <c:ptCount val="1"/>
                <c:pt idx="0">
                  <c:v>U.S. Streaming Contribution profit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Model'!$Q$13,'Earnings Model'!$S$13,'Earnings Model'!$T$13,'Earnings Model'!$U$13,'Earnings Model'!$V$13,'Earnings Model'!$X$13,'Earnings Model'!$Y$13,'Earnings Model'!$Z$13)</c:f>
              <c:strCache>
                <c:ptCount val="7"/>
                <c:pt idx="0">
                  <c:v> 1Q19 </c:v>
                </c:pt>
                <c:pt idx="1">
                  <c:v> 2Q19 </c:v>
                </c:pt>
                <c:pt idx="2">
                  <c:v> 3Q19 </c:v>
                </c:pt>
                <c:pt idx="3">
                  <c:v> 4Q19E </c:v>
                </c:pt>
                <c:pt idx="4">
                  <c:v> 1Q20E </c:v>
                </c:pt>
                <c:pt idx="5">
                  <c:v> 2Q20E </c:v>
                </c:pt>
                <c:pt idx="6">
                  <c:v> 3Q20E </c:v>
                </c:pt>
              </c:strCache>
            </c:strRef>
          </c:cat>
          <c:val>
            <c:numRef>
              <c:f>('Earnings Model'!$Q$53,'Earnings Model'!$S$53,'Earnings Model'!$T$53,'Earnings Model'!$U$53,'Earnings Model'!$V$53,'Earnings Model'!$X$53,'Earnings Model'!$Y$53,'Earnings Model'!$Z$53)</c:f>
              <c:numCache>
                <c:formatCode>0.0%</c:formatCode>
                <c:ptCount val="7"/>
                <c:pt idx="0">
                  <c:v>0.34384137387240743</c:v>
                </c:pt>
                <c:pt idx="1">
                  <c:v>0.37063634177094612</c:v>
                </c:pt>
                <c:pt idx="2">
                  <c:v>0.4106361689763483</c:v>
                </c:pt>
                <c:pt idx="3">
                  <c:v>0.31654154786150712</c:v>
                </c:pt>
                <c:pt idx="4">
                  <c:v>0.40086741016109045</c:v>
                </c:pt>
                <c:pt idx="5">
                  <c:v>0.40373456790123452</c:v>
                </c:pt>
                <c:pt idx="6">
                  <c:v>0.41047546012269931</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International</a:t>
            </a:r>
            <a:r>
              <a:rPr lang="en-US" sz="1200" b="0" baseline="0"/>
              <a:t> </a:t>
            </a:r>
            <a:r>
              <a:rPr lang="en-US" sz="1200" b="0"/>
              <a:t>Streaming Projections</a:t>
            </a:r>
          </a:p>
        </c:rich>
      </c:tx>
      <c:layout>
        <c:manualLayout>
          <c:xMode val="edge"/>
          <c:yMode val="edge"/>
          <c:x val="0.23920129031490114"/>
          <c:y val="6.0112080584521534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Model'!$B$55</c:f>
              <c:strCache>
                <c:ptCount val="1"/>
                <c:pt idx="0">
                  <c:v>International Streaming paid members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C98-4588-A481-1DA40876FC5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C98-4588-A481-1DA40876FC5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C98-4588-A481-1DA40876FC5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C98-4588-A481-1DA40876FC52}"/>
              </c:ext>
            </c:extLst>
          </c:dPt>
          <c:dPt>
            <c:idx val="9"/>
            <c:invertIfNegative val="0"/>
            <c:bubble3D val="0"/>
            <c:extLst>
              <c:ext xmlns:c16="http://schemas.microsoft.com/office/drawing/2014/chart" uri="{C3380CC4-5D6E-409C-BE32-E72D297353CC}">
                <c16:uniqueId val="{00000008-2C98-4588-A481-1DA40876FC52}"/>
              </c:ext>
            </c:extLst>
          </c:dPt>
          <c:cat>
            <c:strRef>
              <c:f>('Earnings Model'!$Q$38,'Earnings Model'!$S$38,'Earnings Model'!$T$38,'Earnings Model'!$U$38,'Earnings Model'!$V$38,'Earnings Model'!$X$38,'Earnings Model'!$Y$38,'Earnings Model'!$Z$38)</c:f>
              <c:strCache>
                <c:ptCount val="7"/>
                <c:pt idx="0">
                  <c:v> 1Q19 </c:v>
                </c:pt>
                <c:pt idx="1">
                  <c:v> 2Q19 </c:v>
                </c:pt>
                <c:pt idx="2">
                  <c:v> 3Q19 </c:v>
                </c:pt>
                <c:pt idx="3">
                  <c:v> 4Q19E </c:v>
                </c:pt>
                <c:pt idx="4">
                  <c:v> 1Q20E </c:v>
                </c:pt>
                <c:pt idx="5">
                  <c:v> 2Q20E </c:v>
                </c:pt>
                <c:pt idx="6">
                  <c:v> 3Q20E </c:v>
                </c:pt>
              </c:strCache>
            </c:strRef>
          </c:cat>
          <c:val>
            <c:numRef>
              <c:f>('Earnings Model'!$Q$55,'Earnings Model'!$S$55,'Earnings Model'!$T$55,'Earnings Model'!$U$55,'Earnings Model'!$V$55,'Earnings Model'!$X$55,'Earnings Model'!$Y$55,'Earnings Model'!$Z$55)</c:f>
              <c:numCache>
                <c:formatCode>_(* #,##0.0_);_(* \(#,##0.0\);_(* "-"??_);_(@_)</c:formatCode>
                <c:ptCount val="7"/>
                <c:pt idx="0">
                  <c:v>88.634</c:v>
                </c:pt>
                <c:pt idx="1">
                  <c:v>91.459000000000003</c:v>
                </c:pt>
                <c:pt idx="2" formatCode="_(* #,##0.00_);_(* \(#,##0.00\);_(* &quot;-&quot;??_);_(@_)">
                  <c:v>97.713999999999999</c:v>
                </c:pt>
                <c:pt idx="3">
                  <c:v>104.71000000000002</c:v>
                </c:pt>
                <c:pt idx="4">
                  <c:v>114.33786000000001</c:v>
                </c:pt>
                <c:pt idx="5">
                  <c:v>117.06752</c:v>
                </c:pt>
                <c:pt idx="6">
                  <c:v>121.16535999999999</c:v>
                </c:pt>
              </c:numCache>
            </c:numRef>
          </c:val>
          <c:extLst>
            <c:ext xmlns:c16="http://schemas.microsoft.com/office/drawing/2014/chart" uri="{C3380CC4-5D6E-409C-BE32-E72D297353CC}">
              <c16:uniqueId val="{00000009-2C98-4588-A481-1DA40876FC5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Model'!$B$68</c:f>
              <c:strCache>
                <c:ptCount val="1"/>
                <c:pt idx="0">
                  <c:v>International Streaming Contribution profit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C98-4588-A481-1DA40876FC5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C98-4588-A481-1DA40876FC5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C98-4588-A481-1DA40876FC5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C98-4588-A481-1DA40876FC52}"/>
              </c:ext>
            </c:extLst>
          </c:dPt>
          <c:cat>
            <c:strRef>
              <c:f>('Earnings Model'!$Q$13,'Earnings Model'!$S$13,'Earnings Model'!$T$13,'Earnings Model'!$U$13,'Earnings Model'!$V$13,'Earnings Model'!$X$13,'Earnings Model'!$Y$13,'Earnings Model'!$Z$13)</c:f>
              <c:strCache>
                <c:ptCount val="7"/>
                <c:pt idx="0">
                  <c:v> 1Q19 </c:v>
                </c:pt>
                <c:pt idx="1">
                  <c:v> 2Q19 </c:v>
                </c:pt>
                <c:pt idx="2">
                  <c:v> 3Q19 </c:v>
                </c:pt>
                <c:pt idx="3">
                  <c:v> 4Q19E </c:v>
                </c:pt>
                <c:pt idx="4">
                  <c:v> 1Q20E </c:v>
                </c:pt>
                <c:pt idx="5">
                  <c:v> 2Q20E </c:v>
                </c:pt>
                <c:pt idx="6">
                  <c:v> 3Q20E </c:v>
                </c:pt>
              </c:strCache>
            </c:strRef>
          </c:cat>
          <c:val>
            <c:numRef>
              <c:f>('Earnings Model'!$Q$68,'Earnings Model'!$S$68,'Earnings Model'!$T$68,'Earnings Model'!$U$68,'Earnings Model'!$V$68,'Earnings Model'!$X$68,'Earnings Model'!$Y$68,'Earnings Model'!$Z$68)</c:f>
              <c:numCache>
                <c:formatCode>0.0%</c:formatCode>
                <c:ptCount val="7"/>
                <c:pt idx="0">
                  <c:v>0.1158111823433747</c:v>
                </c:pt>
                <c:pt idx="1">
                  <c:v>0.16339780518085328</c:v>
                </c:pt>
                <c:pt idx="2">
                  <c:v>0.20228913611285193</c:v>
                </c:pt>
                <c:pt idx="3">
                  <c:v>0.10577580534612752</c:v>
                </c:pt>
                <c:pt idx="4">
                  <c:v>0.1696428571428571</c:v>
                </c:pt>
                <c:pt idx="5">
                  <c:v>0.18276859504132226</c:v>
                </c:pt>
                <c:pt idx="6">
                  <c:v>0.19804878048780497</c:v>
                </c:pt>
              </c:numCache>
            </c:numRef>
          </c:val>
          <c:smooth val="0"/>
          <c:extLst>
            <c:ext xmlns:c16="http://schemas.microsoft.com/office/drawing/2014/chart" uri="{C3380CC4-5D6E-409C-BE32-E72D297353CC}">
              <c16:uniqueId val="{00000012-2C98-4588-A481-1DA40876FC5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U.S. Streaming Projections</a:t>
            </a:r>
          </a:p>
        </c:rich>
      </c:tx>
      <c:layout>
        <c:manualLayout>
          <c:xMode val="edge"/>
          <c:yMode val="edge"/>
          <c:x val="0.29657388701299009"/>
          <c:y val="6.0115903233614789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Model'!$B$47</c:f>
              <c:strCache>
                <c:ptCount val="1"/>
                <c:pt idx="0">
                  <c:v>Average Revenue Per User (ARPU, Monthly)</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C67F-4FD0-B4FA-D3262A4B0A93}"/>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C67F-4FD0-B4FA-D3262A4B0A93}"/>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C67F-4FD0-B4FA-D3262A4B0A93}"/>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C67F-4FD0-B4FA-D3262A4B0A93}"/>
              </c:ext>
            </c:extLst>
          </c:dPt>
          <c:dPt>
            <c:idx val="9"/>
            <c:invertIfNegative val="0"/>
            <c:bubble3D val="0"/>
            <c:extLst>
              <c:ext xmlns:c16="http://schemas.microsoft.com/office/drawing/2014/chart" uri="{C3380CC4-5D6E-409C-BE32-E72D297353CC}">
                <c16:uniqueId val="{00000008-C67F-4FD0-B4FA-D3262A4B0A93}"/>
              </c:ext>
            </c:extLst>
          </c:dPt>
          <c:cat>
            <c:strRef>
              <c:f>('Earnings Model'!$Q$38,'Earnings Model'!$S$38,'Earnings Model'!$T$38,'Earnings Model'!$U$38,'Earnings Model'!$V$38,'Earnings Model'!$X$38,'Earnings Model'!$Y$38,'Earnings Model'!$Z$38)</c:f>
              <c:strCache>
                <c:ptCount val="7"/>
                <c:pt idx="0">
                  <c:v> 1Q19 </c:v>
                </c:pt>
                <c:pt idx="1">
                  <c:v> 2Q19 </c:v>
                </c:pt>
                <c:pt idx="2">
                  <c:v> 3Q19 </c:v>
                </c:pt>
                <c:pt idx="3">
                  <c:v> 4Q19E </c:v>
                </c:pt>
                <c:pt idx="4">
                  <c:v> 1Q20E </c:v>
                </c:pt>
                <c:pt idx="5">
                  <c:v> 2Q20E </c:v>
                </c:pt>
                <c:pt idx="6">
                  <c:v> 3Q20E </c:v>
                </c:pt>
              </c:strCache>
            </c:strRef>
          </c:cat>
          <c:val>
            <c:numRef>
              <c:f>('Earnings Model'!$Q$47,'Earnings Model'!$S$47,'Earnings Model'!$T$47,'Earnings Model'!$U$47,'Earnings Model'!$V$47,'Earnings Model'!$X$47,'Earnings Model'!$Y$47,'Earnings Model'!$Z$47)</c:f>
              <c:numCache>
                <c:formatCode>"$"#,##0.00_);\("$"#,##0.00\)</c:formatCode>
                <c:ptCount val="7"/>
                <c:pt idx="0">
                  <c:v>11.644442572547696</c:v>
                </c:pt>
                <c:pt idx="1">
                  <c:v>12.738030338286295</c:v>
                </c:pt>
                <c:pt idx="2">
                  <c:v>13.323050840905765</c:v>
                </c:pt>
                <c:pt idx="3">
                  <c:v>13.432917487415189</c:v>
                </c:pt>
                <c:pt idx="4">
                  <c:v>13.450000000000001</c:v>
                </c:pt>
                <c:pt idx="5">
                  <c:v>13.5</c:v>
                </c:pt>
                <c:pt idx="6">
                  <c:v>13.583333333333334</c:v>
                </c:pt>
              </c:numCache>
            </c:numRef>
          </c:val>
          <c:extLst>
            <c:ext xmlns:c16="http://schemas.microsoft.com/office/drawing/2014/chart" uri="{C3380CC4-5D6E-409C-BE32-E72D297353CC}">
              <c16:uniqueId val="{00000009-C67F-4FD0-B4FA-D3262A4B0A93}"/>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Model'!$B$51</c:f>
              <c:strCache>
                <c:ptCount val="1"/>
                <c:pt idx="0">
                  <c:v>Marketing expense per average paid member ($M)</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C67F-4FD0-B4FA-D3262A4B0A93}"/>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C67F-4FD0-B4FA-D3262A4B0A93}"/>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C67F-4FD0-B4FA-D3262A4B0A93}"/>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C67F-4FD0-B4FA-D3262A4B0A93}"/>
              </c:ext>
            </c:extLst>
          </c:dPt>
          <c:cat>
            <c:strRef>
              <c:f>('Earnings Model'!$Q$13,'Earnings Model'!$S$13,'Earnings Model'!$T$13,'Earnings Model'!$U$13,'Earnings Model'!$V$13,'Earnings Model'!$X$13,'Earnings Model'!$Y$13,'Earnings Model'!$Z$13)</c:f>
              <c:strCache>
                <c:ptCount val="7"/>
                <c:pt idx="0">
                  <c:v> 1Q19 </c:v>
                </c:pt>
                <c:pt idx="1">
                  <c:v> 2Q19 </c:v>
                </c:pt>
                <c:pt idx="2">
                  <c:v> 3Q19 </c:v>
                </c:pt>
                <c:pt idx="3">
                  <c:v> 4Q19E </c:v>
                </c:pt>
                <c:pt idx="4">
                  <c:v> 1Q20E </c:v>
                </c:pt>
                <c:pt idx="5">
                  <c:v> 2Q20E </c:v>
                </c:pt>
                <c:pt idx="6">
                  <c:v> 3Q20E </c:v>
                </c:pt>
              </c:strCache>
            </c:strRef>
          </c:cat>
          <c:val>
            <c:numRef>
              <c:f>('Earnings Model'!$Q$51,'Earnings Model'!$S$51,'Earnings Model'!$T$51,'Earnings Model'!$U$51,'Earnings Model'!$V$51,'Earnings Model'!$X$51,'Earnings Model'!$Y$51,'Earnings Model'!$Z$51)</c:f>
              <c:numCache>
                <c:formatCode>"$"#,##0.00_);\("$"#,##0.00\)</c:formatCode>
                <c:ptCount val="7"/>
                <c:pt idx="0">
                  <c:v>3.723977593395948</c:v>
                </c:pt>
                <c:pt idx="1">
                  <c:v>4.1652428281753817</c:v>
                </c:pt>
                <c:pt idx="2">
                  <c:v>3.5087431558195208</c:v>
                </c:pt>
                <c:pt idx="3">
                  <c:v>5.35</c:v>
                </c:pt>
                <c:pt idx="4">
                  <c:v>4</c:v>
                </c:pt>
                <c:pt idx="5">
                  <c:v>4</c:v>
                </c:pt>
                <c:pt idx="6">
                  <c:v>3.75</c:v>
                </c:pt>
              </c:numCache>
            </c:numRef>
          </c:val>
          <c:smooth val="0"/>
          <c:extLst>
            <c:ext xmlns:c16="http://schemas.microsoft.com/office/drawing/2014/chart" uri="{C3380CC4-5D6E-409C-BE32-E72D297353CC}">
              <c16:uniqueId val="{00000012-C67F-4FD0-B4FA-D3262A4B0A93}"/>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00_);\(&quot;$&quot;#,##0.0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0_);\(&quot;$&quot;#,##0.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105</xdr:row>
      <xdr:rowOff>0</xdr:rowOff>
    </xdr:from>
    <xdr:to>
      <xdr:col>6</xdr:col>
      <xdr:colOff>718343</xdr:colOff>
      <xdr:row>105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147</xdr:row>
      <xdr:rowOff>0</xdr:rowOff>
    </xdr:from>
    <xdr:to>
      <xdr:col>6</xdr:col>
      <xdr:colOff>718343</xdr:colOff>
      <xdr:row>147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202</xdr:row>
      <xdr:rowOff>0</xdr:rowOff>
    </xdr:from>
    <xdr:to>
      <xdr:col>6</xdr:col>
      <xdr:colOff>718343</xdr:colOff>
      <xdr:row>202</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37</xdr:row>
      <xdr:rowOff>0</xdr:rowOff>
    </xdr:from>
    <xdr:to>
      <xdr:col>6</xdr:col>
      <xdr:colOff>718343</xdr:colOff>
      <xdr:row>37</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134</xdr:row>
      <xdr:rowOff>0</xdr:rowOff>
    </xdr:from>
    <xdr:to>
      <xdr:col>6</xdr:col>
      <xdr:colOff>718343</xdr:colOff>
      <xdr:row>134</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561975</xdr:colOff>
      <xdr:row>3</xdr:row>
      <xdr:rowOff>133350</xdr:rowOff>
    </xdr:from>
    <xdr:to>
      <xdr:col>11</xdr:col>
      <xdr:colOff>447675</xdr:colOff>
      <xdr:row>12</xdr:row>
      <xdr:rowOff>34290</xdr:rowOff>
    </xdr:to>
    <xdr:graphicFrame macro="">
      <xdr:nvGraphicFramePr>
        <xdr:cNvPr id="5" name="Chart 4">
          <a:extLst>
            <a:ext uri="{FF2B5EF4-FFF2-40B4-BE49-F238E27FC236}">
              <a16:creationId xmlns:a16="http://schemas.microsoft.com/office/drawing/2014/main" id="{1E31DAA4-2352-4616-A644-80BE631E3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0</xdr:rowOff>
    </xdr:from>
    <xdr:to>
      <xdr:col>5</xdr:col>
      <xdr:colOff>100965</xdr:colOff>
      <xdr:row>22</xdr:row>
      <xdr:rowOff>169545</xdr:rowOff>
    </xdr:to>
    <xdr:graphicFrame macro="">
      <xdr:nvGraphicFramePr>
        <xdr:cNvPr id="4" name="Chart 3">
          <a:extLst>
            <a:ext uri="{FF2B5EF4-FFF2-40B4-BE49-F238E27FC236}">
              <a16:creationId xmlns:a16="http://schemas.microsoft.com/office/drawing/2014/main" id="{4F50851A-4FDE-41F2-8523-C2F0D84BD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utenbergresearch.com/store/p53/NFLX-Premium-Earnings-Model.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2C1B-3647-447E-9FB7-D7F3F93CBF0E}">
  <dimension ref="B1:C26"/>
  <sheetViews>
    <sheetView showGridLines="0" workbookViewId="0">
      <selection activeCell="B36" sqref="B36"/>
    </sheetView>
  </sheetViews>
  <sheetFormatPr defaultRowHeight="15" x14ac:dyDescent="0.25"/>
  <cols>
    <col min="1" max="1" width="1.140625" customWidth="1"/>
    <col min="2" max="2" width="152" customWidth="1"/>
  </cols>
  <sheetData>
    <row r="1" spans="2:2" ht="28.9" customHeight="1" x14ac:dyDescent="0.25">
      <c r="B1" s="243" t="s">
        <v>269</v>
      </c>
    </row>
    <row r="2" spans="2:2" ht="159" customHeight="1" x14ac:dyDescent="0.25">
      <c r="B2" s="236" t="s">
        <v>308</v>
      </c>
    </row>
    <row r="3" spans="2:2" s="263" customFormat="1" ht="48" customHeight="1" x14ac:dyDescent="0.25">
      <c r="B3" s="242" t="s">
        <v>309</v>
      </c>
    </row>
    <row r="4" spans="2:2" s="263" customFormat="1" ht="54" customHeight="1" x14ac:dyDescent="0.25">
      <c r="B4" s="264" t="s">
        <v>310</v>
      </c>
    </row>
    <row r="5" spans="2:2" ht="45" x14ac:dyDescent="0.25">
      <c r="B5" s="242" t="s">
        <v>301</v>
      </c>
    </row>
    <row r="6" spans="2:2" ht="30" x14ac:dyDescent="0.25">
      <c r="B6" s="236" t="s">
        <v>307</v>
      </c>
    </row>
    <row r="7" spans="2:2" ht="45" x14ac:dyDescent="0.25">
      <c r="B7" s="244" t="s">
        <v>302</v>
      </c>
    </row>
    <row r="8" spans="2:2" x14ac:dyDescent="0.25">
      <c r="B8" s="237" t="s">
        <v>278</v>
      </c>
    </row>
    <row r="9" spans="2:2" ht="61.15" customHeight="1" x14ac:dyDescent="0.25">
      <c r="B9" s="238" t="s">
        <v>303</v>
      </c>
    </row>
    <row r="10" spans="2:2" ht="215.25" customHeight="1" x14ac:dyDescent="0.25">
      <c r="B10" s="239" t="s">
        <v>277</v>
      </c>
    </row>
    <row r="11" spans="2:2" ht="17.45" customHeight="1" x14ac:dyDescent="0.25">
      <c r="B11" s="240" t="s">
        <v>281</v>
      </c>
    </row>
    <row r="12" spans="2:2" ht="75" x14ac:dyDescent="0.25">
      <c r="B12" s="240" t="s">
        <v>311</v>
      </c>
    </row>
    <row r="13" spans="2:2" x14ac:dyDescent="0.25">
      <c r="B13" s="240" t="s">
        <v>273</v>
      </c>
    </row>
    <row r="14" spans="2:2" x14ac:dyDescent="0.25">
      <c r="B14" s="238" t="s">
        <v>274</v>
      </c>
    </row>
    <row r="15" spans="2:2" ht="30" x14ac:dyDescent="0.25">
      <c r="B15" s="240" t="s">
        <v>275</v>
      </c>
    </row>
    <row r="16" spans="2:2" ht="45.6" customHeight="1" x14ac:dyDescent="0.25">
      <c r="B16" s="240" t="s">
        <v>304</v>
      </c>
    </row>
    <row r="17" spans="2:3" ht="18" customHeight="1" x14ac:dyDescent="0.25">
      <c r="B17" s="240" t="s">
        <v>276</v>
      </c>
    </row>
    <row r="18" spans="2:3" ht="60" x14ac:dyDescent="0.25">
      <c r="B18" s="240" t="s">
        <v>305</v>
      </c>
    </row>
    <row r="19" spans="2:3" x14ac:dyDescent="0.25">
      <c r="B19" s="245" t="s">
        <v>312</v>
      </c>
    </row>
    <row r="20" spans="2:3" s="225" customFormat="1" ht="30" x14ac:dyDescent="0.25">
      <c r="B20" s="238" t="s">
        <v>279</v>
      </c>
    </row>
    <row r="21" spans="2:3" s="225" customFormat="1" x14ac:dyDescent="0.25">
      <c r="B21" s="238" t="s">
        <v>306</v>
      </c>
    </row>
    <row r="22" spans="2:3" s="225" customFormat="1" x14ac:dyDescent="0.25">
      <c r="B22" s="238" t="s">
        <v>280</v>
      </c>
    </row>
    <row r="23" spans="2:3" s="225" customFormat="1" ht="195" x14ac:dyDescent="0.25">
      <c r="B23" s="267" t="s">
        <v>313</v>
      </c>
    </row>
    <row r="24" spans="2:3" s="225" customFormat="1" x14ac:dyDescent="0.25">
      <c r="B24" s="241" t="s">
        <v>300</v>
      </c>
      <c r="C24" s="235"/>
    </row>
    <row r="25" spans="2:3" s="225" customFormat="1" ht="20.45" customHeight="1" x14ac:dyDescent="0.25">
      <c r="B25" s="265" t="s">
        <v>299</v>
      </c>
    </row>
    <row r="26" spans="2:3" x14ac:dyDescent="0.25">
      <c r="B26" s="266"/>
    </row>
  </sheetData>
  <hyperlinks>
    <hyperlink ref="B25" r:id="rId1" xr:uid="{79821F92-0F33-4569-BB38-13D93E27487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X251"/>
  <sheetViews>
    <sheetView showGridLines="0" tabSelected="1" zoomScaleNormal="100" workbookViewId="0">
      <selection activeCell="B3" sqref="B3:C3"/>
    </sheetView>
  </sheetViews>
  <sheetFormatPr defaultColWidth="8.85546875" defaultRowHeight="15" outlineLevelRow="1" outlineLevelCol="1" x14ac:dyDescent="0.25"/>
  <cols>
    <col min="1" max="1" width="1.7109375" style="4" customWidth="1"/>
    <col min="2" max="2" width="38.7109375" style="4" customWidth="1"/>
    <col min="3" max="3" width="16.28515625" style="4" customWidth="1"/>
    <col min="4" max="5" width="11.5703125" style="3" hidden="1" customWidth="1" outlineLevel="1"/>
    <col min="6" max="7" width="11.5703125" style="12" hidden="1" customWidth="1" outlineLevel="1"/>
    <col min="8" max="8" width="11.5703125" style="12" customWidth="1" collapsed="1"/>
    <col min="9" max="10" width="11.5703125" style="3" hidden="1" customWidth="1" outlineLevel="1"/>
    <col min="11" max="12" width="11.5703125" style="12" hidden="1" customWidth="1" outlineLevel="1"/>
    <col min="13" max="13" width="11.5703125" style="12" customWidth="1" collapsed="1"/>
    <col min="14" max="15" width="11.5703125" style="3" hidden="1" customWidth="1" outlineLevel="1"/>
    <col min="16" max="17" width="11.5703125" style="12" hidden="1" customWidth="1" outlineLevel="1"/>
    <col min="18" max="18" width="11.5703125" style="12" customWidth="1" collapsed="1"/>
    <col min="19" max="20" width="11.5703125" style="3" customWidth="1" outlineLevel="1"/>
    <col min="21" max="22" width="11.5703125" style="12" customWidth="1" outlineLevel="1"/>
    <col min="23" max="23" width="11.5703125" style="12" customWidth="1"/>
    <col min="24" max="25" width="11.5703125" style="3" customWidth="1" outlineLevel="1"/>
    <col min="26" max="27" width="11.5703125" style="12" customWidth="1" outlineLevel="1"/>
    <col min="28" max="28" width="11.5703125" style="12" customWidth="1"/>
    <col min="29" max="30" width="11.5703125" style="3" customWidth="1" outlineLevel="1"/>
    <col min="31" max="32" width="11.5703125" style="12" customWidth="1" outlineLevel="1"/>
    <col min="33" max="33" width="11.5703125" style="12" customWidth="1"/>
    <col min="34" max="35" width="11.5703125" style="3" customWidth="1" outlineLevel="1"/>
    <col min="36" max="37" width="11.5703125" style="12" customWidth="1" outlineLevel="1"/>
    <col min="38" max="38" width="11.5703125" style="12" customWidth="1"/>
    <col min="39" max="40" width="11.5703125" style="3" customWidth="1" outlineLevel="1"/>
    <col min="41" max="42" width="11.5703125" style="12" customWidth="1" outlineLevel="1"/>
    <col min="43" max="43" width="11.5703125" style="12" customWidth="1"/>
    <col min="44" max="45" width="11.5703125" style="3" customWidth="1" outlineLevel="1"/>
    <col min="46" max="47" width="11.5703125" style="12" customWidth="1" outlineLevel="1"/>
    <col min="48" max="48" width="11.5703125" style="12" customWidth="1"/>
    <col min="49" max="50" width="11.5703125" style="3" customWidth="1" outlineLevel="1"/>
    <col min="51" max="52" width="11.5703125" style="12" customWidth="1" outlineLevel="1"/>
    <col min="53" max="53" width="11.5703125" style="12" customWidth="1"/>
    <col min="54" max="16384" width="8.85546875" style="4"/>
  </cols>
  <sheetData>
    <row r="1" spans="1:76" ht="9" customHeight="1" x14ac:dyDescent="0.25">
      <c r="B1" s="268" t="s">
        <v>57</v>
      </c>
    </row>
    <row r="2" spans="1:76" ht="45" customHeight="1" x14ac:dyDescent="0.25">
      <c r="B2" s="349" t="s">
        <v>56</v>
      </c>
      <c r="C2" s="350"/>
      <c r="K2" s="13"/>
      <c r="S2" s="398" t="s">
        <v>345</v>
      </c>
      <c r="T2" s="399"/>
      <c r="U2" s="399"/>
      <c r="V2" s="400"/>
    </row>
    <row r="3" spans="1:76" x14ac:dyDescent="0.25">
      <c r="B3" s="374" t="s">
        <v>329</v>
      </c>
      <c r="C3" s="375"/>
      <c r="D3" s="14"/>
      <c r="G3" s="15"/>
      <c r="H3" s="15"/>
      <c r="S3" s="401"/>
      <c r="T3" s="402"/>
      <c r="U3" s="402"/>
      <c r="V3" s="403"/>
    </row>
    <row r="4" spans="1:76" x14ac:dyDescent="0.25">
      <c r="B4" s="376" t="s">
        <v>330</v>
      </c>
      <c r="C4" s="377"/>
      <c r="D4" s="14"/>
      <c r="G4" s="15"/>
      <c r="H4" s="15"/>
      <c r="S4" s="401"/>
      <c r="T4" s="402"/>
      <c r="U4" s="402"/>
      <c r="V4" s="403"/>
      <c r="BX4" s="4" t="s">
        <v>57</v>
      </c>
    </row>
    <row r="5" spans="1:76" x14ac:dyDescent="0.25">
      <c r="B5" s="378" t="s">
        <v>331</v>
      </c>
      <c r="C5" s="379"/>
      <c r="D5" s="16"/>
      <c r="E5" s="14"/>
      <c r="F5" s="14"/>
      <c r="G5" s="15"/>
      <c r="H5" s="15"/>
      <c r="I5" s="15"/>
      <c r="J5" s="15"/>
      <c r="K5" s="15"/>
      <c r="L5" s="15"/>
      <c r="M5" s="14"/>
      <c r="N5" s="14"/>
      <c r="O5" s="14"/>
      <c r="P5" s="14"/>
      <c r="Q5" s="14"/>
      <c r="R5" s="14"/>
      <c r="S5" s="401"/>
      <c r="T5" s="402"/>
      <c r="U5" s="402"/>
      <c r="V5" s="403"/>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row>
    <row r="6" spans="1:76" ht="14.45" customHeight="1" x14ac:dyDescent="0.25">
      <c r="B6" s="322" t="s">
        <v>298</v>
      </c>
      <c r="C6" s="395" t="s">
        <v>344</v>
      </c>
      <c r="D6" s="14"/>
      <c r="E6" s="14"/>
      <c r="F6" s="14"/>
      <c r="G6" s="15"/>
      <c r="H6" s="15"/>
      <c r="I6" s="14"/>
      <c r="J6" s="14"/>
      <c r="K6" s="14"/>
      <c r="L6" s="14"/>
      <c r="M6" s="17"/>
      <c r="N6" s="14"/>
      <c r="O6" s="14"/>
      <c r="P6" s="14"/>
      <c r="Q6" s="14"/>
      <c r="R6" s="14"/>
      <c r="S6" s="401"/>
      <c r="T6" s="402"/>
      <c r="U6" s="402"/>
      <c r="V6" s="403"/>
      <c r="W6" s="145"/>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76" ht="14.45" customHeight="1" x14ac:dyDescent="0.25">
      <c r="B7" s="321" t="s">
        <v>52</v>
      </c>
      <c r="C7" s="396"/>
      <c r="D7" s="14"/>
      <c r="E7" s="14"/>
      <c r="F7" s="14"/>
      <c r="G7" s="14"/>
      <c r="H7" s="62"/>
      <c r="I7" s="62"/>
      <c r="J7" s="62"/>
      <c r="K7" s="62"/>
      <c r="L7" s="62"/>
      <c r="M7" s="62"/>
      <c r="N7" s="62"/>
      <c r="O7" s="62"/>
      <c r="P7" s="62"/>
      <c r="Q7" s="62"/>
      <c r="R7" s="62"/>
      <c r="S7" s="401"/>
      <c r="T7" s="402"/>
      <c r="U7" s="402"/>
      <c r="V7" s="403"/>
      <c r="W7" s="145"/>
      <c r="X7" s="62"/>
      <c r="Y7" s="62"/>
      <c r="Z7" s="62"/>
      <c r="AA7" s="62"/>
      <c r="AB7" s="62"/>
      <c r="AC7" s="62"/>
      <c r="AD7" s="62"/>
      <c r="AE7" s="62"/>
      <c r="AF7" s="62"/>
      <c r="AG7" s="62"/>
      <c r="AH7" s="62"/>
      <c r="AI7" s="62"/>
      <c r="AJ7" s="62"/>
      <c r="AK7" s="62"/>
      <c r="AL7" s="62"/>
      <c r="AM7" s="62"/>
      <c r="AN7" s="62"/>
      <c r="AO7" s="62"/>
      <c r="AP7" s="62"/>
      <c r="AQ7" s="74"/>
      <c r="AR7" s="62"/>
      <c r="AS7" s="62"/>
      <c r="AT7" s="62"/>
      <c r="AU7" s="62"/>
      <c r="AV7" s="74"/>
      <c r="AW7" s="62"/>
      <c r="AX7" s="62"/>
      <c r="AY7" s="62"/>
      <c r="AZ7" s="62"/>
      <c r="BA7" s="74"/>
    </row>
    <row r="8" spans="1:76" ht="14.45" customHeight="1" x14ac:dyDescent="0.25">
      <c r="B8" s="321" t="s">
        <v>69</v>
      </c>
      <c r="C8" s="396"/>
      <c r="D8" s="14"/>
      <c r="E8" s="14"/>
      <c r="F8" s="18"/>
      <c r="G8" s="14"/>
      <c r="H8" s="62"/>
      <c r="I8" s="62"/>
      <c r="J8" s="62"/>
      <c r="K8" s="62"/>
      <c r="L8" s="62"/>
      <c r="M8" s="62"/>
      <c r="N8" s="62"/>
      <c r="O8" s="142"/>
      <c r="P8" s="62"/>
      <c r="Q8" s="62"/>
      <c r="R8" s="62"/>
      <c r="S8" s="404" t="s">
        <v>346</v>
      </c>
      <c r="T8" s="405"/>
      <c r="U8" s="405"/>
      <c r="V8" s="406"/>
      <c r="W8" s="46"/>
      <c r="X8" s="167"/>
      <c r="Y8" s="167"/>
      <c r="Z8" s="74"/>
      <c r="AA8" s="46"/>
      <c r="AB8" s="46"/>
      <c r="AC8" s="46"/>
      <c r="AD8" s="46"/>
      <c r="AE8" s="46"/>
      <c r="AF8" s="74"/>
      <c r="AG8" s="46"/>
      <c r="AH8" s="46"/>
      <c r="AI8" s="46"/>
      <c r="AJ8" s="46"/>
      <c r="AK8" s="46"/>
      <c r="AL8" s="46"/>
      <c r="AM8" s="46"/>
      <c r="AN8" s="46"/>
      <c r="AO8" s="46"/>
      <c r="AP8" s="46"/>
      <c r="AQ8" s="143"/>
      <c r="AR8" s="46"/>
      <c r="AS8" s="46"/>
      <c r="AT8" s="46"/>
      <c r="AU8" s="46"/>
      <c r="AV8" s="143"/>
      <c r="AW8" s="46"/>
      <c r="AX8" s="46"/>
      <c r="AY8" s="46"/>
      <c r="AZ8" s="46"/>
      <c r="BA8" s="143"/>
    </row>
    <row r="9" spans="1:76" ht="14.45" customHeight="1" x14ac:dyDescent="0.25">
      <c r="B9" s="104" t="s">
        <v>70</v>
      </c>
      <c r="C9" s="396"/>
      <c r="D9" s="14"/>
      <c r="E9" s="14"/>
      <c r="F9" s="18"/>
      <c r="G9" s="14"/>
      <c r="H9" s="74"/>
      <c r="I9" s="74"/>
      <c r="J9" s="74"/>
      <c r="K9" s="74"/>
      <c r="L9" s="74"/>
      <c r="M9" s="74"/>
      <c r="N9" s="74"/>
      <c r="O9" s="74"/>
      <c r="P9" s="306"/>
      <c r="Q9" s="74"/>
      <c r="R9" s="74"/>
      <c r="S9" s="407"/>
      <c r="T9" s="408"/>
      <c r="U9" s="408"/>
      <c r="V9" s="409"/>
      <c r="W9" s="62"/>
      <c r="X9" s="327"/>
      <c r="Y9" s="62"/>
      <c r="Z9" s="62"/>
      <c r="AA9" s="62"/>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0" spans="1:76" ht="14.45" customHeight="1" x14ac:dyDescent="0.25">
      <c r="B10" s="326" t="s">
        <v>333</v>
      </c>
      <c r="C10" s="397"/>
      <c r="D10" s="14"/>
      <c r="E10" s="14"/>
      <c r="F10" s="18"/>
      <c r="G10" s="14"/>
      <c r="H10" s="74"/>
      <c r="I10" s="74"/>
      <c r="J10" s="74"/>
      <c r="K10" s="74"/>
      <c r="L10" s="74"/>
      <c r="M10" s="74"/>
      <c r="N10" s="74"/>
      <c r="O10" s="74"/>
      <c r="P10" s="306"/>
      <c r="Q10" s="74"/>
      <c r="R10" s="74"/>
      <c r="S10" s="299"/>
      <c r="T10" s="306"/>
      <c r="U10" s="168"/>
      <c r="V10" s="169"/>
      <c r="W10" s="62"/>
      <c r="X10" s="146"/>
      <c r="Y10" s="62"/>
      <c r="Z10" s="62"/>
      <c r="AA10" s="62"/>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row>
    <row r="11" spans="1:76" ht="8.25" customHeight="1" x14ac:dyDescent="0.25">
      <c r="B11" s="268" t="s">
        <v>57</v>
      </c>
      <c r="D11" s="20"/>
      <c r="E11" s="20"/>
      <c r="F11" s="20"/>
      <c r="G11" s="20"/>
      <c r="H11" s="21"/>
      <c r="I11" s="20"/>
      <c r="J11" s="20"/>
      <c r="K11" s="20"/>
      <c r="L11" s="20"/>
      <c r="M11" s="20"/>
      <c r="N11" s="20"/>
      <c r="O11" s="20"/>
      <c r="P11" s="20"/>
      <c r="Q11" s="20"/>
      <c r="R11" s="20"/>
      <c r="S11" s="300"/>
      <c r="T11" s="20"/>
      <c r="U11" s="189"/>
      <c r="V11" s="189"/>
      <c r="W11" s="141"/>
      <c r="X11" s="189"/>
      <c r="Y11" s="20"/>
      <c r="Z11" s="20"/>
      <c r="AA11" s="190"/>
      <c r="AB11" s="14"/>
      <c r="AC11" s="189"/>
      <c r="AD11" s="189"/>
      <c r="AE11" s="189"/>
      <c r="AF11" s="190"/>
      <c r="AG11" s="14"/>
      <c r="AH11" s="189"/>
      <c r="AI11" s="20"/>
      <c r="AJ11" s="20"/>
      <c r="AK11" s="190"/>
      <c r="AL11" s="14"/>
      <c r="AM11" s="20"/>
      <c r="AN11" s="20"/>
      <c r="AO11" s="20"/>
      <c r="AP11" s="14"/>
      <c r="AQ11" s="268" t="s">
        <v>57</v>
      </c>
      <c r="AR11" s="20"/>
      <c r="AS11" s="20"/>
      <c r="AT11" s="20"/>
      <c r="AU11" s="14"/>
      <c r="AV11" s="268" t="s">
        <v>57</v>
      </c>
      <c r="AW11" s="20"/>
      <c r="AX11" s="20"/>
      <c r="AY11" s="20"/>
      <c r="AZ11" s="14"/>
      <c r="BA11" s="268" t="s">
        <v>57</v>
      </c>
    </row>
    <row r="12" spans="1:76" ht="15.75" x14ac:dyDescent="0.25">
      <c r="A12" s="331"/>
      <c r="B12" s="332" t="s">
        <v>203</v>
      </c>
      <c r="C12" s="333"/>
      <c r="D12" s="43" t="s">
        <v>135</v>
      </c>
      <c r="E12" s="43" t="s">
        <v>136</v>
      </c>
      <c r="F12" s="43" t="s">
        <v>137</v>
      </c>
      <c r="G12" s="43" t="s">
        <v>138</v>
      </c>
      <c r="H12" s="128" t="s">
        <v>138</v>
      </c>
      <c r="I12" s="43" t="s">
        <v>122</v>
      </c>
      <c r="J12" s="43" t="s">
        <v>127</v>
      </c>
      <c r="K12" s="43" t="s">
        <v>128</v>
      </c>
      <c r="L12" s="43" t="s">
        <v>129</v>
      </c>
      <c r="M12" s="128" t="s">
        <v>129</v>
      </c>
      <c r="N12" s="43" t="s">
        <v>124</v>
      </c>
      <c r="O12" s="43" t="s">
        <v>123</v>
      </c>
      <c r="P12" s="43" t="s">
        <v>125</v>
      </c>
      <c r="Q12" s="43" t="s">
        <v>126</v>
      </c>
      <c r="R12" s="128" t="s">
        <v>126</v>
      </c>
      <c r="S12" s="43" t="s">
        <v>144</v>
      </c>
      <c r="T12" s="43" t="s">
        <v>145</v>
      </c>
      <c r="U12" s="43" t="s">
        <v>146</v>
      </c>
      <c r="V12" s="45" t="s">
        <v>147</v>
      </c>
      <c r="W12" s="130" t="s">
        <v>147</v>
      </c>
      <c r="X12" s="45" t="s">
        <v>148</v>
      </c>
      <c r="Y12" s="45" t="s">
        <v>149</v>
      </c>
      <c r="Z12" s="45" t="s">
        <v>150</v>
      </c>
      <c r="AA12" s="45" t="s">
        <v>151</v>
      </c>
      <c r="AB12" s="130" t="s">
        <v>151</v>
      </c>
      <c r="AC12" s="45" t="s">
        <v>152</v>
      </c>
      <c r="AD12" s="45" t="s">
        <v>153</v>
      </c>
      <c r="AE12" s="45" t="s">
        <v>154</v>
      </c>
      <c r="AF12" s="45" t="s">
        <v>155</v>
      </c>
      <c r="AG12" s="130" t="s">
        <v>155</v>
      </c>
      <c r="AH12" s="45" t="s">
        <v>156</v>
      </c>
      <c r="AI12" s="45" t="s">
        <v>157</v>
      </c>
      <c r="AJ12" s="45" t="s">
        <v>158</v>
      </c>
      <c r="AK12" s="45" t="s">
        <v>159</v>
      </c>
      <c r="AL12" s="130" t="s">
        <v>159</v>
      </c>
      <c r="AM12" s="45" t="s">
        <v>160</v>
      </c>
      <c r="AN12" s="45" t="s">
        <v>161</v>
      </c>
      <c r="AO12" s="45" t="s">
        <v>162</v>
      </c>
      <c r="AP12" s="45" t="s">
        <v>163</v>
      </c>
      <c r="AQ12" s="130" t="s">
        <v>163</v>
      </c>
      <c r="AR12" s="45" t="s">
        <v>320</v>
      </c>
      <c r="AS12" s="45" t="s">
        <v>321</v>
      </c>
      <c r="AT12" s="45" t="s">
        <v>322</v>
      </c>
      <c r="AU12" s="45" t="s">
        <v>323</v>
      </c>
      <c r="AV12" s="130" t="s">
        <v>323</v>
      </c>
      <c r="AW12" s="45" t="s">
        <v>335</v>
      </c>
      <c r="AX12" s="45" t="s">
        <v>336</v>
      </c>
      <c r="AY12" s="45" t="s">
        <v>337</v>
      </c>
      <c r="AZ12" s="45" t="s">
        <v>338</v>
      </c>
      <c r="BA12" s="130" t="s">
        <v>338</v>
      </c>
    </row>
    <row r="13" spans="1:76" ht="17.45" customHeight="1" x14ac:dyDescent="0.4">
      <c r="A13" s="331"/>
      <c r="B13" s="340" t="s">
        <v>3</v>
      </c>
      <c r="C13" s="341"/>
      <c r="D13" s="44" t="s">
        <v>139</v>
      </c>
      <c r="E13" s="44" t="s">
        <v>140</v>
      </c>
      <c r="F13" s="44" t="s">
        <v>141</v>
      </c>
      <c r="G13" s="44" t="s">
        <v>142</v>
      </c>
      <c r="H13" s="129" t="s">
        <v>143</v>
      </c>
      <c r="I13" s="44" t="s">
        <v>130</v>
      </c>
      <c r="J13" s="44" t="s">
        <v>131</v>
      </c>
      <c r="K13" s="44" t="s">
        <v>132</v>
      </c>
      <c r="L13" s="44" t="s">
        <v>133</v>
      </c>
      <c r="M13" s="129" t="s">
        <v>134</v>
      </c>
      <c r="N13" s="44" t="s">
        <v>121</v>
      </c>
      <c r="O13" s="44" t="s">
        <v>120</v>
      </c>
      <c r="P13" s="44" t="s">
        <v>119</v>
      </c>
      <c r="Q13" s="44" t="s">
        <v>118</v>
      </c>
      <c r="R13" s="129" t="s">
        <v>117</v>
      </c>
      <c r="S13" s="44" t="s">
        <v>314</v>
      </c>
      <c r="T13" s="44" t="s">
        <v>317</v>
      </c>
      <c r="U13" s="44" t="s">
        <v>332</v>
      </c>
      <c r="V13" s="42" t="s">
        <v>181</v>
      </c>
      <c r="W13" s="131" t="s">
        <v>182</v>
      </c>
      <c r="X13" s="42" t="s">
        <v>183</v>
      </c>
      <c r="Y13" s="42" t="s">
        <v>184</v>
      </c>
      <c r="Z13" s="42" t="s">
        <v>185</v>
      </c>
      <c r="AA13" s="42" t="s">
        <v>186</v>
      </c>
      <c r="AB13" s="131" t="s">
        <v>187</v>
      </c>
      <c r="AC13" s="42" t="s">
        <v>188</v>
      </c>
      <c r="AD13" s="42" t="s">
        <v>189</v>
      </c>
      <c r="AE13" s="42" t="s">
        <v>190</v>
      </c>
      <c r="AF13" s="42" t="s">
        <v>191</v>
      </c>
      <c r="AG13" s="131" t="s">
        <v>192</v>
      </c>
      <c r="AH13" s="42" t="s">
        <v>193</v>
      </c>
      <c r="AI13" s="42" t="s">
        <v>194</v>
      </c>
      <c r="AJ13" s="42" t="s">
        <v>195</v>
      </c>
      <c r="AK13" s="42" t="s">
        <v>196</v>
      </c>
      <c r="AL13" s="131" t="s">
        <v>197</v>
      </c>
      <c r="AM13" s="42" t="s">
        <v>198</v>
      </c>
      <c r="AN13" s="42" t="s">
        <v>199</v>
      </c>
      <c r="AO13" s="42" t="s">
        <v>200</v>
      </c>
      <c r="AP13" s="42" t="s">
        <v>201</v>
      </c>
      <c r="AQ13" s="131" t="s">
        <v>202</v>
      </c>
      <c r="AR13" s="42" t="s">
        <v>324</v>
      </c>
      <c r="AS13" s="42" t="s">
        <v>325</v>
      </c>
      <c r="AT13" s="42" t="s">
        <v>326</v>
      </c>
      <c r="AU13" s="42" t="s">
        <v>327</v>
      </c>
      <c r="AV13" s="131" t="s">
        <v>328</v>
      </c>
      <c r="AW13" s="42" t="s">
        <v>339</v>
      </c>
      <c r="AX13" s="42" t="s">
        <v>340</v>
      </c>
      <c r="AY13" s="42" t="s">
        <v>341</v>
      </c>
      <c r="AZ13" s="42" t="s">
        <v>342</v>
      </c>
      <c r="BA13" s="131" t="s">
        <v>343</v>
      </c>
    </row>
    <row r="14" spans="1:76" x14ac:dyDescent="0.25">
      <c r="B14" s="344" t="s">
        <v>63</v>
      </c>
      <c r="C14" s="345"/>
      <c r="D14" s="46">
        <v>1957.7360000000001</v>
      </c>
      <c r="E14" s="46">
        <v>2105.2040000000002</v>
      </c>
      <c r="F14" s="46">
        <v>2290.1880000000001</v>
      </c>
      <c r="G14" s="46">
        <v>2477.5410000000002</v>
      </c>
      <c r="H14" s="47">
        <f>SUM(D14:G14)</f>
        <v>8830.6690000000017</v>
      </c>
      <c r="I14" s="46">
        <v>2636.6350000000002</v>
      </c>
      <c r="J14" s="46">
        <v>2785.4639999999999</v>
      </c>
      <c r="K14" s="46">
        <v>2984.8589999999999</v>
      </c>
      <c r="L14" s="46">
        <v>3285.7550000000001</v>
      </c>
      <c r="M14" s="47">
        <f>SUM(I14:L14)</f>
        <v>11692.713</v>
      </c>
      <c r="N14" s="46">
        <v>3700.8560000000002</v>
      </c>
      <c r="O14" s="46">
        <v>3907.27</v>
      </c>
      <c r="P14" s="46">
        <v>3999.3739999999998</v>
      </c>
      <c r="Q14" s="46">
        <v>4186.8410000000003</v>
      </c>
      <c r="R14" s="47">
        <f>SUM(N14:Q14)</f>
        <v>15794.341</v>
      </c>
      <c r="S14" s="275">
        <v>4520.9920000000002</v>
      </c>
      <c r="T14" s="275">
        <v>4923.116</v>
      </c>
      <c r="U14" s="275">
        <v>5244.9049999999997</v>
      </c>
      <c r="V14" s="231">
        <f t="shared" ref="V14" si="0">+V45+V60+V74</f>
        <v>5441.5652669999999</v>
      </c>
      <c r="W14" s="271">
        <f>SUM(S14:V14)</f>
        <v>20130.578266999997</v>
      </c>
      <c r="X14" s="275">
        <f>+X45+X60+X74</f>
        <v>5837.7659293304159</v>
      </c>
      <c r="Y14" s="275">
        <f t="shared" ref="Y14:AA14" si="1">+Y45+Y60+Y74</f>
        <v>6126.240817564073</v>
      </c>
      <c r="Z14" s="275">
        <f t="shared" si="1"/>
        <v>6309.6507338957599</v>
      </c>
      <c r="AA14" s="275">
        <f t="shared" si="1"/>
        <v>6562.7021284312932</v>
      </c>
      <c r="AB14" s="271">
        <f>SUM(X14:AA14)</f>
        <v>24836.359609221545</v>
      </c>
      <c r="AC14" s="410"/>
      <c r="AD14" s="411"/>
      <c r="AE14" s="411"/>
      <c r="AF14" s="411"/>
      <c r="AG14" s="271"/>
      <c r="AH14" s="411"/>
      <c r="AI14" s="412"/>
      <c r="AJ14" s="412"/>
      <c r="AK14" s="412"/>
      <c r="AL14" s="271"/>
      <c r="AM14" s="412"/>
      <c r="AN14" s="412"/>
      <c r="AO14" s="412"/>
      <c r="AP14" s="412"/>
      <c r="AQ14" s="47"/>
      <c r="AR14" s="412"/>
      <c r="AS14" s="412"/>
      <c r="AT14" s="412"/>
      <c r="AU14" s="412"/>
      <c r="AV14" s="47"/>
      <c r="AW14" s="412"/>
      <c r="AX14" s="412"/>
      <c r="AY14" s="412"/>
      <c r="AZ14" s="412"/>
      <c r="BA14" s="47"/>
    </row>
    <row r="15" spans="1:76" ht="17.25" x14ac:dyDescent="0.4">
      <c r="B15" s="99" t="s">
        <v>165</v>
      </c>
      <c r="C15" s="100"/>
      <c r="D15" s="51">
        <v>1418.5809999999999</v>
      </c>
      <c r="E15" s="51">
        <v>1525.3969999999999</v>
      </c>
      <c r="F15" s="51">
        <v>1593.768</v>
      </c>
      <c r="G15" s="51">
        <v>1719.7159999999999</v>
      </c>
      <c r="H15" s="52">
        <f>SUM(D15:G15)</f>
        <v>6257.4619999999995</v>
      </c>
      <c r="I15" s="51">
        <v>1740.731</v>
      </c>
      <c r="J15" s="51">
        <v>1991.6959999999999</v>
      </c>
      <c r="K15" s="51">
        <v>2086.239</v>
      </c>
      <c r="L15" s="51">
        <v>2214.3339999999998</v>
      </c>
      <c r="M15" s="52">
        <f>SUM(I15:L15)</f>
        <v>8032.9999999999991</v>
      </c>
      <c r="N15" s="51">
        <v>2300.5790000000002</v>
      </c>
      <c r="O15" s="51">
        <v>2402.431</v>
      </c>
      <c r="P15" s="51">
        <v>2531.1280000000002</v>
      </c>
      <c r="Q15" s="51">
        <v>2733.4</v>
      </c>
      <c r="R15" s="52">
        <f>SUM(N15:Q15)</f>
        <v>9967.5380000000005</v>
      </c>
      <c r="S15" s="276">
        <v>2870.614</v>
      </c>
      <c r="T15" s="276">
        <v>3005.6570000000002</v>
      </c>
      <c r="U15" s="276">
        <v>3097.9189999999999</v>
      </c>
      <c r="V15" s="276">
        <f t="shared" ref="V15" si="2">+V48+V63+V76</f>
        <v>3497.725476266</v>
      </c>
      <c r="W15" s="277">
        <f>SUM(S15:V15)</f>
        <v>12471.915476266</v>
      </c>
      <c r="X15" s="276">
        <f t="shared" ref="X15:AA15" si="3">+X48+X63+X76</f>
        <v>3523.2809734071661</v>
      </c>
      <c r="Y15" s="276">
        <f t="shared" si="3"/>
        <v>3698.0516115443793</v>
      </c>
      <c r="Z15" s="276">
        <f t="shared" si="3"/>
        <v>3801.8673753418975</v>
      </c>
      <c r="AA15" s="276">
        <f t="shared" si="3"/>
        <v>3933.784551712517</v>
      </c>
      <c r="AB15" s="277">
        <f>SUM(X15:AA15)</f>
        <v>14956.98451200596</v>
      </c>
      <c r="AC15" s="413"/>
      <c r="AD15" s="414"/>
      <c r="AE15" s="414"/>
      <c r="AF15" s="414"/>
      <c r="AG15" s="277"/>
      <c r="AH15" s="414"/>
      <c r="AI15" s="415"/>
      <c r="AJ15" s="415"/>
      <c r="AK15" s="415"/>
      <c r="AL15" s="277"/>
      <c r="AM15" s="415"/>
      <c r="AN15" s="415"/>
      <c r="AO15" s="415"/>
      <c r="AP15" s="415"/>
      <c r="AQ15" s="52"/>
      <c r="AR15" s="415"/>
      <c r="AS15" s="415"/>
      <c r="AT15" s="415"/>
      <c r="AU15" s="415"/>
      <c r="AV15" s="52"/>
      <c r="AW15" s="415"/>
      <c r="AX15" s="415"/>
      <c r="AY15" s="415"/>
      <c r="AZ15" s="415"/>
      <c r="BA15" s="52"/>
    </row>
    <row r="16" spans="1:76" s="28" customFormat="1" x14ac:dyDescent="0.25">
      <c r="B16" s="106" t="s">
        <v>164</v>
      </c>
      <c r="C16" s="107"/>
      <c r="D16" s="57">
        <f>+D14-D15</f>
        <v>539.1550000000002</v>
      </c>
      <c r="E16" s="57">
        <f t="shared" ref="E16:G16" si="4">+E14-E15</f>
        <v>579.80700000000024</v>
      </c>
      <c r="F16" s="57">
        <f t="shared" si="4"/>
        <v>696.42000000000007</v>
      </c>
      <c r="G16" s="57">
        <f t="shared" si="4"/>
        <v>757.82500000000027</v>
      </c>
      <c r="H16" s="58">
        <f>+H14-H15</f>
        <v>2573.2070000000022</v>
      </c>
      <c r="I16" s="57">
        <f>+I14-I15</f>
        <v>895.90400000000022</v>
      </c>
      <c r="J16" s="57">
        <f t="shared" ref="J16" si="5">+J14-J15</f>
        <v>793.76800000000003</v>
      </c>
      <c r="K16" s="57">
        <f t="shared" ref="K16" si="6">+K14-K15</f>
        <v>898.61999999999989</v>
      </c>
      <c r="L16" s="57">
        <f t="shared" ref="L16" si="7">+L14-L15</f>
        <v>1071.4210000000003</v>
      </c>
      <c r="M16" s="58">
        <f>+M14-M15</f>
        <v>3659.7130000000006</v>
      </c>
      <c r="N16" s="57">
        <f>+N14-N15</f>
        <v>1400.277</v>
      </c>
      <c r="O16" s="57">
        <f t="shared" ref="O16" si="8">+O14-O15</f>
        <v>1504.8389999999999</v>
      </c>
      <c r="P16" s="57">
        <f t="shared" ref="P16" si="9">+P14-P15</f>
        <v>1468.2459999999996</v>
      </c>
      <c r="Q16" s="57">
        <f t="shared" ref="Q16" si="10">+Q14-Q15</f>
        <v>1453.4410000000003</v>
      </c>
      <c r="R16" s="58">
        <f>+R14-R15</f>
        <v>5826.8029999999999</v>
      </c>
      <c r="S16" s="269">
        <f>+S14-S15</f>
        <v>1650.3780000000002</v>
      </c>
      <c r="T16" s="269">
        <f t="shared" ref="T16" si="11">+T14-T15</f>
        <v>1917.4589999999998</v>
      </c>
      <c r="U16" s="269">
        <f t="shared" ref="U16" si="12">+U14-U15</f>
        <v>2146.9859999999999</v>
      </c>
      <c r="V16" s="269">
        <f t="shared" ref="V16" si="13">+V14-V15</f>
        <v>1943.839790734</v>
      </c>
      <c r="W16" s="278">
        <f>+W14-W15</f>
        <v>7658.6627907339971</v>
      </c>
      <c r="X16" s="269">
        <f>+X14-X15</f>
        <v>2314.4849559232498</v>
      </c>
      <c r="Y16" s="269">
        <f t="shared" ref="Y16" si="14">+Y14-Y15</f>
        <v>2428.1892060196938</v>
      </c>
      <c r="Z16" s="269">
        <f t="shared" ref="Z16" si="15">+Z14-Z15</f>
        <v>2507.7833585538624</v>
      </c>
      <c r="AA16" s="269">
        <f t="shared" ref="AA16" si="16">+AA14-AA15</f>
        <v>2628.9175767187762</v>
      </c>
      <c r="AB16" s="278">
        <f>+AB14-AB15</f>
        <v>9879.3750972155849</v>
      </c>
      <c r="AC16" s="416"/>
      <c r="AD16" s="417"/>
      <c r="AE16" s="417"/>
      <c r="AF16" s="417"/>
      <c r="AG16" s="278"/>
      <c r="AH16" s="417"/>
      <c r="AI16" s="418"/>
      <c r="AJ16" s="418"/>
      <c r="AK16" s="418"/>
      <c r="AL16" s="278"/>
      <c r="AM16" s="418"/>
      <c r="AN16" s="418"/>
      <c r="AO16" s="418"/>
      <c r="AP16" s="418"/>
      <c r="AQ16" s="58"/>
      <c r="AR16" s="418"/>
      <c r="AS16" s="418"/>
      <c r="AT16" s="418"/>
      <c r="AU16" s="418"/>
      <c r="AV16" s="58"/>
      <c r="AW16" s="418"/>
      <c r="AX16" s="418"/>
      <c r="AY16" s="418"/>
      <c r="AZ16" s="418"/>
      <c r="BA16" s="58"/>
    </row>
    <row r="17" spans="1:53" x14ac:dyDescent="0.25">
      <c r="B17" s="48" t="s">
        <v>71</v>
      </c>
      <c r="C17" s="100"/>
      <c r="D17" s="15"/>
      <c r="E17" s="15"/>
      <c r="F17" s="15"/>
      <c r="G17" s="15"/>
      <c r="H17" s="47"/>
      <c r="I17" s="15"/>
      <c r="J17" s="15"/>
      <c r="K17" s="15"/>
      <c r="L17" s="15"/>
      <c r="M17" s="47"/>
      <c r="N17" s="15"/>
      <c r="O17" s="15"/>
      <c r="P17" s="15"/>
      <c r="Q17" s="15"/>
      <c r="R17" s="47"/>
      <c r="S17" s="279"/>
      <c r="T17" s="279"/>
      <c r="U17" s="279"/>
      <c r="V17" s="279"/>
      <c r="W17" s="271"/>
      <c r="X17" s="279"/>
      <c r="Y17" s="279"/>
      <c r="Z17" s="279"/>
      <c r="AA17" s="279"/>
      <c r="AB17" s="280"/>
      <c r="AC17" s="419"/>
      <c r="AD17" s="420"/>
      <c r="AE17" s="420"/>
      <c r="AF17" s="420"/>
      <c r="AG17" s="271"/>
      <c r="AH17" s="420"/>
      <c r="AI17" s="421"/>
      <c r="AJ17" s="421"/>
      <c r="AK17" s="421"/>
      <c r="AL17" s="271"/>
      <c r="AM17" s="421"/>
      <c r="AN17" s="421"/>
      <c r="AO17" s="421"/>
      <c r="AP17" s="421"/>
      <c r="AQ17" s="47"/>
      <c r="AR17" s="421"/>
      <c r="AS17" s="421"/>
      <c r="AT17" s="421"/>
      <c r="AU17" s="421"/>
      <c r="AV17" s="47"/>
      <c r="AW17" s="421"/>
      <c r="AX17" s="421"/>
      <c r="AY17" s="421"/>
      <c r="AZ17" s="421"/>
      <c r="BA17" s="47"/>
    </row>
    <row r="18" spans="1:53" x14ac:dyDescent="0.25">
      <c r="B18" s="108" t="s">
        <v>206</v>
      </c>
      <c r="C18" s="49"/>
      <c r="D18" s="46">
        <v>231.465</v>
      </c>
      <c r="E18" s="46">
        <v>240.59</v>
      </c>
      <c r="F18" s="46">
        <v>311.017</v>
      </c>
      <c r="G18" s="46">
        <v>314.447</v>
      </c>
      <c r="H18" s="47">
        <f t="shared" ref="H18:H20" si="17">SUM(D18:G18)</f>
        <v>1097.519</v>
      </c>
      <c r="I18" s="46">
        <v>306.14800000000002</v>
      </c>
      <c r="J18" s="46">
        <v>311.16000000000003</v>
      </c>
      <c r="K18" s="46">
        <v>352.44600000000003</v>
      </c>
      <c r="L18" s="46">
        <v>466.52699999999999</v>
      </c>
      <c r="M18" s="47">
        <f t="shared" ref="M18:M20" si="18">SUM(I18:L18)</f>
        <v>1436.2809999999999</v>
      </c>
      <c r="N18" s="46">
        <v>536.77700000000004</v>
      </c>
      <c r="O18" s="46">
        <v>592.00699999999995</v>
      </c>
      <c r="P18" s="46">
        <v>510.33</v>
      </c>
      <c r="Q18" s="46">
        <v>730.35500000000002</v>
      </c>
      <c r="R18" s="47">
        <f t="shared" ref="R18:R20" si="19">SUM(N18:Q18)</f>
        <v>2369.4690000000001</v>
      </c>
      <c r="S18" s="275">
        <v>616.57799999999997</v>
      </c>
      <c r="T18" s="275">
        <v>603.15</v>
      </c>
      <c r="U18" s="275">
        <v>553.79700000000003</v>
      </c>
      <c r="V18" s="275">
        <f t="shared" ref="V18" si="20">+V50+V65</f>
        <v>816.80020000000002</v>
      </c>
      <c r="W18" s="271">
        <f t="shared" ref="W18:W20" si="21">SUM(S18:V18)</f>
        <v>2590.3252000000002</v>
      </c>
      <c r="X18" s="275">
        <f>+X50+X65</f>
        <v>714.69874750000008</v>
      </c>
      <c r="Y18" s="275">
        <f t="shared" ref="Y18:AA18" si="22">+Y50+Y65</f>
        <v>716.10961999999995</v>
      </c>
      <c r="Z18" s="275">
        <f t="shared" si="22"/>
        <v>684.92594531249995</v>
      </c>
      <c r="AA18" s="275">
        <f t="shared" si="22"/>
        <v>703.22617500000001</v>
      </c>
      <c r="AB18" s="271">
        <f t="shared" ref="AB18:AB20" si="23">SUM(X18:AA18)</f>
        <v>2818.9604878125001</v>
      </c>
      <c r="AC18" s="410"/>
      <c r="AD18" s="411"/>
      <c r="AE18" s="411"/>
      <c r="AF18" s="411"/>
      <c r="AG18" s="271"/>
      <c r="AH18" s="411"/>
      <c r="AI18" s="412"/>
      <c r="AJ18" s="412"/>
      <c r="AK18" s="412"/>
      <c r="AL18" s="271"/>
      <c r="AM18" s="412"/>
      <c r="AN18" s="412"/>
      <c r="AO18" s="412"/>
      <c r="AP18" s="412"/>
      <c r="AQ18" s="47"/>
      <c r="AR18" s="412"/>
      <c r="AS18" s="412"/>
      <c r="AT18" s="412"/>
      <c r="AU18" s="412"/>
      <c r="AV18" s="47"/>
      <c r="AW18" s="412"/>
      <c r="AX18" s="412"/>
      <c r="AY18" s="412"/>
      <c r="AZ18" s="412"/>
      <c r="BA18" s="47"/>
    </row>
    <row r="19" spans="1:53" x14ac:dyDescent="0.25">
      <c r="B19" s="108" t="s">
        <v>207</v>
      </c>
      <c r="C19" s="49"/>
      <c r="D19" s="46">
        <v>186.61</v>
      </c>
      <c r="E19" s="46">
        <v>190.20400000000001</v>
      </c>
      <c r="F19" s="46">
        <v>197.506</v>
      </c>
      <c r="G19" s="46">
        <v>205.91200000000001</v>
      </c>
      <c r="H19" s="47">
        <f t="shared" si="17"/>
        <v>780.23200000000008</v>
      </c>
      <c r="I19" s="46">
        <v>233.87100000000001</v>
      </c>
      <c r="J19" s="46">
        <v>242.48400000000001</v>
      </c>
      <c r="K19" s="46">
        <v>230.22300000000001</v>
      </c>
      <c r="L19" s="46">
        <v>247.13200000000001</v>
      </c>
      <c r="M19" s="47">
        <f t="shared" si="18"/>
        <v>953.71</v>
      </c>
      <c r="N19" s="46">
        <v>282.31</v>
      </c>
      <c r="O19" s="46">
        <v>299.09500000000003</v>
      </c>
      <c r="P19" s="46">
        <v>308.62</v>
      </c>
      <c r="Q19" s="46">
        <v>331.78899999999999</v>
      </c>
      <c r="R19" s="47">
        <f t="shared" si="19"/>
        <v>1221.8139999999999</v>
      </c>
      <c r="S19" s="275">
        <v>372.76400000000001</v>
      </c>
      <c r="T19" s="275">
        <v>383.233</v>
      </c>
      <c r="U19" s="275">
        <v>379.77600000000001</v>
      </c>
      <c r="V19" s="275">
        <f>+V14*V89</f>
        <v>407.16915371900001</v>
      </c>
      <c r="W19" s="271">
        <f t="shared" si="21"/>
        <v>1542.9421537190001</v>
      </c>
      <c r="X19" s="275">
        <f>+X14*X89</f>
        <v>448.82159932760652</v>
      </c>
      <c r="Y19" s="275">
        <f t="shared" ref="Y19:Z19" si="24">+Y14*Y89</f>
        <v>462.47039025208807</v>
      </c>
      <c r="Z19" s="275">
        <f t="shared" si="24"/>
        <v>472.60356498164185</v>
      </c>
      <c r="AA19" s="275">
        <f>+AA14*AA89</f>
        <v>495.64798374927398</v>
      </c>
      <c r="AB19" s="271">
        <f t="shared" si="23"/>
        <v>1879.5435383106105</v>
      </c>
      <c r="AC19" s="410"/>
      <c r="AD19" s="411"/>
      <c r="AE19" s="411"/>
      <c r="AF19" s="411"/>
      <c r="AG19" s="271"/>
      <c r="AH19" s="411"/>
      <c r="AI19" s="412"/>
      <c r="AJ19" s="412"/>
      <c r="AK19" s="412"/>
      <c r="AL19" s="271"/>
      <c r="AM19" s="412"/>
      <c r="AN19" s="412"/>
      <c r="AO19" s="412"/>
      <c r="AP19" s="412"/>
      <c r="AQ19" s="47"/>
      <c r="AR19" s="412"/>
      <c r="AS19" s="412"/>
      <c r="AT19" s="412"/>
      <c r="AU19" s="412"/>
      <c r="AV19" s="47"/>
      <c r="AW19" s="412"/>
      <c r="AX19" s="412"/>
      <c r="AY19" s="412"/>
      <c r="AZ19" s="412"/>
      <c r="BA19" s="47"/>
    </row>
    <row r="20" spans="1:53" ht="17.25" customHeight="1" x14ac:dyDescent="0.4">
      <c r="B20" s="108" t="s">
        <v>166</v>
      </c>
      <c r="C20" s="49"/>
      <c r="D20" s="51">
        <v>71.626999999999995</v>
      </c>
      <c r="E20" s="51">
        <v>78.643000000000001</v>
      </c>
      <c r="F20" s="51">
        <v>81.861000000000004</v>
      </c>
      <c r="G20" s="51">
        <v>83.531999999999996</v>
      </c>
      <c r="H20" s="52">
        <f t="shared" si="17"/>
        <v>315.66299999999995</v>
      </c>
      <c r="I20" s="51">
        <v>98.942999999999998</v>
      </c>
      <c r="J20" s="51">
        <v>112.31699999999999</v>
      </c>
      <c r="K20" s="51">
        <v>107.324</v>
      </c>
      <c r="L20" s="51">
        <v>112.459</v>
      </c>
      <c r="M20" s="52">
        <f t="shared" si="18"/>
        <v>431.04300000000001</v>
      </c>
      <c r="N20" s="51">
        <v>134.61199999999999</v>
      </c>
      <c r="O20" s="51">
        <v>151.524</v>
      </c>
      <c r="P20" s="51">
        <v>168.62799999999999</v>
      </c>
      <c r="Q20" s="51">
        <v>175.53</v>
      </c>
      <c r="R20" s="52">
        <f t="shared" si="19"/>
        <v>630.29399999999998</v>
      </c>
      <c r="S20" s="276">
        <v>201.952</v>
      </c>
      <c r="T20" s="276">
        <v>224.65700000000001</v>
      </c>
      <c r="U20" s="276">
        <v>233.17400000000001</v>
      </c>
      <c r="V20" s="276">
        <f>+V14*V90</f>
        <v>244.87043701499999</v>
      </c>
      <c r="W20" s="277">
        <f t="shared" si="21"/>
        <v>904.65343701500001</v>
      </c>
      <c r="X20" s="276">
        <f>+X14*X90</f>
        <v>262.34945366004115</v>
      </c>
      <c r="Y20" s="276">
        <f t="shared" ref="Y20:Z20" si="25">+Y14*Y90</f>
        <v>275.72735662490078</v>
      </c>
      <c r="Z20" s="276">
        <f t="shared" si="25"/>
        <v>282.99552809595235</v>
      </c>
      <c r="AA20" s="276">
        <f>+AA14*AA90</f>
        <v>294.99158379439143</v>
      </c>
      <c r="AB20" s="277">
        <f t="shared" si="23"/>
        <v>1116.0639221752858</v>
      </c>
      <c r="AC20" s="413"/>
      <c r="AD20" s="414"/>
      <c r="AE20" s="414"/>
      <c r="AF20" s="414"/>
      <c r="AG20" s="277"/>
      <c r="AH20" s="414"/>
      <c r="AI20" s="415"/>
      <c r="AJ20" s="415"/>
      <c r="AK20" s="415"/>
      <c r="AL20" s="277"/>
      <c r="AM20" s="415"/>
      <c r="AN20" s="415"/>
      <c r="AO20" s="415"/>
      <c r="AP20" s="415"/>
      <c r="AQ20" s="52"/>
      <c r="AR20" s="415"/>
      <c r="AS20" s="415"/>
      <c r="AT20" s="415"/>
      <c r="AU20" s="415"/>
      <c r="AV20" s="52"/>
      <c r="AW20" s="415"/>
      <c r="AX20" s="415"/>
      <c r="AY20" s="415"/>
      <c r="AZ20" s="415"/>
      <c r="BA20" s="52"/>
    </row>
    <row r="21" spans="1:53" s="56" customFormat="1" ht="17.25" customHeight="1" x14ac:dyDescent="0.4">
      <c r="B21" s="178" t="s">
        <v>53</v>
      </c>
      <c r="C21" s="53"/>
      <c r="D21" s="54">
        <f t="shared" ref="D21:AQ21" si="26">SUM(D18:D20)</f>
        <v>489.70200000000006</v>
      </c>
      <c r="E21" s="54">
        <f t="shared" si="26"/>
        <v>509.43700000000001</v>
      </c>
      <c r="F21" s="54">
        <f t="shared" si="26"/>
        <v>590.38400000000001</v>
      </c>
      <c r="G21" s="54">
        <f t="shared" si="26"/>
        <v>603.89100000000008</v>
      </c>
      <c r="H21" s="55">
        <f t="shared" si="26"/>
        <v>2193.4140000000002</v>
      </c>
      <c r="I21" s="54">
        <f t="shared" si="26"/>
        <v>638.96199999999999</v>
      </c>
      <c r="J21" s="54">
        <f t="shared" si="26"/>
        <v>665.96100000000001</v>
      </c>
      <c r="K21" s="54">
        <f t="shared" si="26"/>
        <v>689.99300000000005</v>
      </c>
      <c r="L21" s="54">
        <f t="shared" si="26"/>
        <v>826.11799999999994</v>
      </c>
      <c r="M21" s="55">
        <f t="shared" si="26"/>
        <v>2821.0340000000001</v>
      </c>
      <c r="N21" s="54">
        <f t="shared" si="26"/>
        <v>953.69899999999996</v>
      </c>
      <c r="O21" s="54">
        <f t="shared" si="26"/>
        <v>1042.626</v>
      </c>
      <c r="P21" s="54">
        <f t="shared" si="26"/>
        <v>987.57799999999997</v>
      </c>
      <c r="Q21" s="54">
        <f t="shared" si="26"/>
        <v>1237.674</v>
      </c>
      <c r="R21" s="55">
        <f t="shared" si="26"/>
        <v>4221.5770000000002</v>
      </c>
      <c r="S21" s="281">
        <f t="shared" si="26"/>
        <v>1191.2939999999999</v>
      </c>
      <c r="T21" s="281">
        <f>SUM(T18:T20)</f>
        <v>1211.04</v>
      </c>
      <c r="U21" s="281">
        <f t="shared" si="26"/>
        <v>1166.7470000000001</v>
      </c>
      <c r="V21" s="281">
        <f t="shared" si="26"/>
        <v>1468.839790734</v>
      </c>
      <c r="W21" s="282">
        <f t="shared" si="26"/>
        <v>5037.9207907340005</v>
      </c>
      <c r="X21" s="281">
        <f t="shared" si="26"/>
        <v>1425.8698004876478</v>
      </c>
      <c r="Y21" s="281">
        <f t="shared" si="26"/>
        <v>1454.3073668769887</v>
      </c>
      <c r="Z21" s="281">
        <f t="shared" si="26"/>
        <v>1440.5250383900941</v>
      </c>
      <c r="AA21" s="281">
        <f t="shared" si="26"/>
        <v>1493.8657425436654</v>
      </c>
      <c r="AB21" s="282">
        <f t="shared" si="26"/>
        <v>5814.567948298396</v>
      </c>
      <c r="AC21" s="422"/>
      <c r="AD21" s="398" t="s">
        <v>344</v>
      </c>
      <c r="AE21" s="400"/>
      <c r="AF21" s="423"/>
      <c r="AG21" s="282"/>
      <c r="AH21" s="423"/>
      <c r="AI21" s="398" t="s">
        <v>344</v>
      </c>
      <c r="AJ21" s="400"/>
      <c r="AK21" s="424"/>
      <c r="AL21" s="282"/>
      <c r="AM21" s="424"/>
      <c r="AN21" s="398" t="s">
        <v>344</v>
      </c>
      <c r="AO21" s="400"/>
      <c r="AP21" s="424"/>
      <c r="AQ21" s="55"/>
      <c r="AR21" s="424"/>
      <c r="AS21" s="398" t="s">
        <v>344</v>
      </c>
      <c r="AT21" s="400"/>
      <c r="AU21" s="424"/>
      <c r="AV21" s="55"/>
      <c r="AW21" s="424"/>
      <c r="AX21" s="398" t="s">
        <v>344</v>
      </c>
      <c r="AY21" s="400"/>
      <c r="AZ21" s="424"/>
      <c r="BA21" s="55"/>
    </row>
    <row r="22" spans="1:53" x14ac:dyDescent="0.25">
      <c r="B22" s="178" t="s">
        <v>72</v>
      </c>
      <c r="C22" s="50"/>
      <c r="D22" s="57">
        <f>D16-D21</f>
        <v>49.453000000000145</v>
      </c>
      <c r="E22" s="57">
        <f t="shared" ref="E22:F22" si="27">E16-E21</f>
        <v>70.370000000000232</v>
      </c>
      <c r="F22" s="57">
        <f t="shared" si="27"/>
        <v>106.03600000000006</v>
      </c>
      <c r="G22" s="57">
        <f>G16-G21</f>
        <v>153.9340000000002</v>
      </c>
      <c r="H22" s="58">
        <f>H16-H21</f>
        <v>379.79300000000194</v>
      </c>
      <c r="I22" s="57">
        <f>I16-I21</f>
        <v>256.94200000000023</v>
      </c>
      <c r="J22" s="57">
        <f t="shared" ref="J22" si="28">J16-J21</f>
        <v>127.80700000000002</v>
      </c>
      <c r="K22" s="57">
        <f t="shared" ref="K22" si="29">K16-K21</f>
        <v>208.62699999999984</v>
      </c>
      <c r="L22" s="57">
        <f>L16-L21</f>
        <v>245.30300000000034</v>
      </c>
      <c r="M22" s="58">
        <f>M16-M21</f>
        <v>838.67900000000054</v>
      </c>
      <c r="N22" s="57">
        <f>N16-N21</f>
        <v>446.57800000000009</v>
      </c>
      <c r="O22" s="57">
        <f t="shared" ref="O22" si="30">O16-O21</f>
        <v>462.21299999999997</v>
      </c>
      <c r="P22" s="57">
        <f t="shared" ref="P22" si="31">P16-P21</f>
        <v>480.66799999999967</v>
      </c>
      <c r="Q22" s="57">
        <f>Q16-Q21</f>
        <v>215.76700000000028</v>
      </c>
      <c r="R22" s="58">
        <f>R16-R21</f>
        <v>1605.2259999999997</v>
      </c>
      <c r="S22" s="269">
        <f>S16-S21</f>
        <v>459.08400000000029</v>
      </c>
      <c r="T22" s="269">
        <f>T16-T21</f>
        <v>706.41899999999987</v>
      </c>
      <c r="U22" s="269">
        <f t="shared" ref="U22" si="32">U16-U21</f>
        <v>980.23899999999981</v>
      </c>
      <c r="V22" s="232">
        <f>V16-V21</f>
        <v>475</v>
      </c>
      <c r="W22" s="278">
        <f>W16-W21</f>
        <v>2620.7419999999966</v>
      </c>
      <c r="X22" s="269">
        <f>X16-X21</f>
        <v>888.61515543560199</v>
      </c>
      <c r="Y22" s="269">
        <f t="shared" ref="Y22" si="33">Y16-Y21</f>
        <v>973.88183914270508</v>
      </c>
      <c r="Z22" s="269">
        <f t="shared" ref="Z22" si="34">Z16-Z21</f>
        <v>1067.2583201637683</v>
      </c>
      <c r="AA22" s="269">
        <f>AA16-AA21</f>
        <v>1135.0518341751108</v>
      </c>
      <c r="AB22" s="278">
        <f>AB16-AB21</f>
        <v>4064.8071489171889</v>
      </c>
      <c r="AC22" s="416"/>
      <c r="AD22" s="401"/>
      <c r="AE22" s="403"/>
      <c r="AF22" s="417"/>
      <c r="AG22" s="278"/>
      <c r="AH22" s="417"/>
      <c r="AI22" s="401"/>
      <c r="AJ22" s="403"/>
      <c r="AK22" s="418"/>
      <c r="AL22" s="278"/>
      <c r="AM22" s="418"/>
      <c r="AN22" s="401"/>
      <c r="AO22" s="403"/>
      <c r="AP22" s="418"/>
      <c r="AQ22" s="58"/>
      <c r="AR22" s="418"/>
      <c r="AS22" s="401"/>
      <c r="AT22" s="403"/>
      <c r="AU22" s="418"/>
      <c r="AV22" s="58"/>
      <c r="AW22" s="418"/>
      <c r="AX22" s="401"/>
      <c r="AY22" s="403"/>
      <c r="AZ22" s="418"/>
      <c r="BA22" s="58"/>
    </row>
    <row r="23" spans="1:53" s="246" customFormat="1" x14ac:dyDescent="0.25">
      <c r="A23" s="309"/>
      <c r="B23" s="247" t="s">
        <v>227</v>
      </c>
      <c r="C23" s="248"/>
      <c r="D23" s="249">
        <f t="shared" ref="D23:AQ23" si="35">+D22+D155</f>
        <v>64.251000000000147</v>
      </c>
      <c r="E23" s="249">
        <f t="shared" si="35"/>
        <v>84.501000000000232</v>
      </c>
      <c r="F23" s="249">
        <f t="shared" si="35"/>
        <v>120.44600000000005</v>
      </c>
      <c r="G23" s="249">
        <f t="shared" si="35"/>
        <v>168.12300000000019</v>
      </c>
      <c r="H23" s="250">
        <f t="shared" si="35"/>
        <v>437.32100000000196</v>
      </c>
      <c r="I23" s="249">
        <f t="shared" si="35"/>
        <v>271.99100000000021</v>
      </c>
      <c r="J23" s="249">
        <f t="shared" si="35"/>
        <v>146.358</v>
      </c>
      <c r="K23" s="249">
        <f t="shared" si="35"/>
        <v>227.86499999999984</v>
      </c>
      <c r="L23" s="249">
        <f t="shared" si="35"/>
        <v>264.37600000000032</v>
      </c>
      <c r="M23" s="250">
        <f t="shared" si="35"/>
        <v>910.5900000000006</v>
      </c>
      <c r="N23" s="249">
        <f t="shared" si="35"/>
        <v>465.61900000000009</v>
      </c>
      <c r="O23" s="249">
        <f t="shared" si="35"/>
        <v>481.94899999999996</v>
      </c>
      <c r="P23" s="249">
        <f t="shared" si="35"/>
        <v>501.82899999999967</v>
      </c>
      <c r="Q23" s="249">
        <f t="shared" si="35"/>
        <v>238.98600000000027</v>
      </c>
      <c r="R23" s="250">
        <f t="shared" si="35"/>
        <v>1688.3829999999996</v>
      </c>
      <c r="S23" s="283">
        <f t="shared" si="35"/>
        <v>482.64500000000027</v>
      </c>
      <c r="T23" s="283">
        <f t="shared" si="35"/>
        <v>731.91499999999985</v>
      </c>
      <c r="U23" s="283">
        <f t="shared" si="35"/>
        <v>1006.9429999999998</v>
      </c>
      <c r="V23" s="283">
        <f t="shared" si="35"/>
        <v>475</v>
      </c>
      <c r="W23" s="284">
        <f t="shared" si="35"/>
        <v>2620.7419999999966</v>
      </c>
      <c r="X23" s="283">
        <f t="shared" si="35"/>
        <v>888.61515543560199</v>
      </c>
      <c r="Y23" s="283">
        <f t="shared" si="35"/>
        <v>973.88183914270508</v>
      </c>
      <c r="Z23" s="283">
        <f t="shared" si="35"/>
        <v>1067.2583201637683</v>
      </c>
      <c r="AA23" s="283">
        <f t="shared" si="35"/>
        <v>1135.0518341751108</v>
      </c>
      <c r="AB23" s="284">
        <f t="shared" si="35"/>
        <v>4064.8071489171889</v>
      </c>
      <c r="AC23" s="425"/>
      <c r="AD23" s="401"/>
      <c r="AE23" s="403"/>
      <c r="AF23" s="426"/>
      <c r="AG23" s="427"/>
      <c r="AH23" s="426"/>
      <c r="AI23" s="401"/>
      <c r="AJ23" s="403"/>
      <c r="AK23" s="428"/>
      <c r="AL23" s="427"/>
      <c r="AM23" s="428"/>
      <c r="AN23" s="401"/>
      <c r="AO23" s="403"/>
      <c r="AP23" s="428"/>
      <c r="AQ23" s="429"/>
      <c r="AR23" s="428"/>
      <c r="AS23" s="401"/>
      <c r="AT23" s="403"/>
      <c r="AU23" s="428"/>
      <c r="AV23" s="429"/>
      <c r="AW23" s="428"/>
      <c r="AX23" s="401"/>
      <c r="AY23" s="403"/>
      <c r="AZ23" s="428"/>
      <c r="BA23" s="429"/>
    </row>
    <row r="24" spans="1:53" s="246" customFormat="1" ht="17.25" x14ac:dyDescent="0.4">
      <c r="A24" s="309"/>
      <c r="B24" s="251" t="s">
        <v>261</v>
      </c>
      <c r="C24" s="252"/>
      <c r="D24" s="253">
        <f>+D102</f>
        <v>42.421999999999997</v>
      </c>
      <c r="E24" s="253">
        <f>+E102</f>
        <v>44.112000000000002</v>
      </c>
      <c r="F24" s="253">
        <f>+F102</f>
        <v>43.494999999999997</v>
      </c>
      <c r="G24" s="253">
        <f>+G102</f>
        <v>43.646000000000001</v>
      </c>
      <c r="H24" s="254">
        <f>SUM(D24:G24)</f>
        <v>173.67500000000001</v>
      </c>
      <c r="I24" s="253">
        <f>+I102</f>
        <v>44.887999999999998</v>
      </c>
      <c r="J24" s="253">
        <f>+J102</f>
        <v>44.027999999999999</v>
      </c>
      <c r="K24" s="253">
        <f>+K102</f>
        <v>44.762999999999998</v>
      </c>
      <c r="L24" s="253">
        <f>+L102</f>
        <v>48.53</v>
      </c>
      <c r="M24" s="254">
        <f>SUM(I24:L24)</f>
        <v>182.209</v>
      </c>
      <c r="N24" s="253">
        <f>+N102</f>
        <v>68.394999999999996</v>
      </c>
      <c r="O24" s="253">
        <f>+O102</f>
        <v>81.231999999999999</v>
      </c>
      <c r="P24" s="253">
        <f>+P102</f>
        <v>82.316000000000003</v>
      </c>
      <c r="Q24" s="253">
        <f>+Q102</f>
        <v>88.713999999999999</v>
      </c>
      <c r="R24" s="254">
        <f>SUM(N24:Q24)</f>
        <v>320.65700000000004</v>
      </c>
      <c r="S24" s="285">
        <f>+S102</f>
        <v>101.2</v>
      </c>
      <c r="T24" s="285">
        <f>+T102</f>
        <v>103.848</v>
      </c>
      <c r="U24" s="285">
        <f>+U102</f>
        <v>100.262</v>
      </c>
      <c r="V24" s="285">
        <f>+V102</f>
        <v>113.97803066321467</v>
      </c>
      <c r="W24" s="286">
        <f>SUM(S24:V24)</f>
        <v>419.28803066321467</v>
      </c>
      <c r="X24" s="285">
        <f>+X102</f>
        <v>121.92220550305157</v>
      </c>
      <c r="Y24" s="285">
        <f>+Y102</f>
        <v>125.6506229644678</v>
      </c>
      <c r="Z24" s="285">
        <f>+Z102</f>
        <v>128.49162750789216</v>
      </c>
      <c r="AA24" s="285">
        <f>+AA102</f>
        <v>135.69277552929492</v>
      </c>
      <c r="AB24" s="286">
        <f>SUM(X24:AA24)</f>
        <v>511.75723150470645</v>
      </c>
      <c r="AC24" s="430"/>
      <c r="AD24" s="437"/>
      <c r="AE24" s="438"/>
      <c r="AF24" s="431"/>
      <c r="AG24" s="286"/>
      <c r="AH24" s="431"/>
      <c r="AI24" s="437"/>
      <c r="AJ24" s="438"/>
      <c r="AK24" s="432"/>
      <c r="AL24" s="286"/>
      <c r="AM24" s="432"/>
      <c r="AN24" s="437"/>
      <c r="AO24" s="438"/>
      <c r="AP24" s="432"/>
      <c r="AQ24" s="254"/>
      <c r="AR24" s="432"/>
      <c r="AS24" s="437"/>
      <c r="AT24" s="438"/>
      <c r="AU24" s="432"/>
      <c r="AV24" s="254"/>
      <c r="AW24" s="432"/>
      <c r="AX24" s="437"/>
      <c r="AY24" s="438"/>
      <c r="AZ24" s="432"/>
      <c r="BA24" s="254"/>
    </row>
    <row r="25" spans="1:53" s="246" customFormat="1" x14ac:dyDescent="0.25">
      <c r="A25" s="309"/>
      <c r="B25" s="255" t="s">
        <v>228</v>
      </c>
      <c r="C25" s="256"/>
      <c r="D25" s="257">
        <f t="shared" ref="D25:P25" si="36">+D23+D24</f>
        <v>106.67300000000014</v>
      </c>
      <c r="E25" s="257">
        <f t="shared" si="36"/>
        <v>128.61300000000023</v>
      </c>
      <c r="F25" s="257">
        <f t="shared" si="36"/>
        <v>163.94100000000006</v>
      </c>
      <c r="G25" s="257">
        <f t="shared" si="36"/>
        <v>211.76900000000018</v>
      </c>
      <c r="H25" s="258">
        <f t="shared" si="36"/>
        <v>610.99600000000191</v>
      </c>
      <c r="I25" s="257">
        <f t="shared" si="36"/>
        <v>316.87900000000019</v>
      </c>
      <c r="J25" s="257">
        <f t="shared" si="36"/>
        <v>190.386</v>
      </c>
      <c r="K25" s="257">
        <f t="shared" si="36"/>
        <v>272.62799999999982</v>
      </c>
      <c r="L25" s="257">
        <f t="shared" si="36"/>
        <v>312.90600000000029</v>
      </c>
      <c r="M25" s="258">
        <f t="shared" si="36"/>
        <v>1092.7990000000007</v>
      </c>
      <c r="N25" s="257">
        <f t="shared" si="36"/>
        <v>534.01400000000012</v>
      </c>
      <c r="O25" s="257">
        <f t="shared" si="36"/>
        <v>563.18099999999993</v>
      </c>
      <c r="P25" s="257">
        <f t="shared" si="36"/>
        <v>584.14499999999964</v>
      </c>
      <c r="Q25" s="257">
        <f>+Q23+Q24</f>
        <v>327.70000000000027</v>
      </c>
      <c r="R25" s="258">
        <f t="shared" ref="R25:AQ25" si="37">+R23+R24</f>
        <v>2009.0399999999995</v>
      </c>
      <c r="S25" s="287">
        <f t="shared" si="37"/>
        <v>583.84500000000025</v>
      </c>
      <c r="T25" s="287">
        <f t="shared" si="37"/>
        <v>835.76299999999981</v>
      </c>
      <c r="U25" s="287">
        <f t="shared" si="37"/>
        <v>1107.2049999999997</v>
      </c>
      <c r="V25" s="287">
        <f t="shared" si="37"/>
        <v>588.97803066321467</v>
      </c>
      <c r="W25" s="288">
        <f t="shared" si="37"/>
        <v>3040.0300306632112</v>
      </c>
      <c r="X25" s="287">
        <f t="shared" si="37"/>
        <v>1010.5373609386536</v>
      </c>
      <c r="Y25" s="287">
        <f t="shared" si="37"/>
        <v>1099.5324621071729</v>
      </c>
      <c r="Z25" s="287">
        <f t="shared" si="37"/>
        <v>1195.7499476716605</v>
      </c>
      <c r="AA25" s="287">
        <f t="shared" si="37"/>
        <v>1270.7446097044058</v>
      </c>
      <c r="AB25" s="288">
        <f t="shared" si="37"/>
        <v>4576.5643804218953</v>
      </c>
      <c r="AC25" s="425"/>
      <c r="AD25" s="426"/>
      <c r="AE25" s="426"/>
      <c r="AF25" s="426"/>
      <c r="AG25" s="427"/>
      <c r="AH25" s="426"/>
      <c r="AI25" s="428"/>
      <c r="AJ25" s="428"/>
      <c r="AK25" s="428"/>
      <c r="AL25" s="427"/>
      <c r="AM25" s="428"/>
      <c r="AN25" s="428"/>
      <c r="AO25" s="428"/>
      <c r="AP25" s="428"/>
      <c r="AQ25" s="429"/>
      <c r="AR25" s="428"/>
      <c r="AS25" s="428"/>
      <c r="AT25" s="428"/>
      <c r="AU25" s="428"/>
      <c r="AV25" s="429"/>
      <c r="AW25" s="428"/>
      <c r="AX25" s="428"/>
      <c r="AY25" s="428"/>
      <c r="AZ25" s="428"/>
      <c r="BA25" s="429"/>
    </row>
    <row r="26" spans="1:53" x14ac:dyDescent="0.25">
      <c r="B26" s="198" t="s">
        <v>208</v>
      </c>
      <c r="C26" s="49"/>
      <c r="D26" s="46">
        <v>-35.536999999999999</v>
      </c>
      <c r="E26" s="46">
        <v>-35.454999999999998</v>
      </c>
      <c r="F26" s="46">
        <v>-35.536000000000001</v>
      </c>
      <c r="G26" s="46">
        <v>-43.585999999999999</v>
      </c>
      <c r="H26" s="47">
        <f t="shared" ref="H26:H27" si="38">SUM(D26:G26)</f>
        <v>-150.11399999999998</v>
      </c>
      <c r="I26" s="46">
        <v>-46.741999999999997</v>
      </c>
      <c r="J26" s="46">
        <v>-55.481999999999999</v>
      </c>
      <c r="K26" s="46">
        <v>-60.688000000000002</v>
      </c>
      <c r="L26" s="46">
        <v>-75.292000000000002</v>
      </c>
      <c r="M26" s="47">
        <f t="shared" ref="M26" si="39">SUM(I26:L26)</f>
        <v>-238.20399999999998</v>
      </c>
      <c r="N26" s="46">
        <v>-81.218999999999994</v>
      </c>
      <c r="O26" s="46">
        <v>-101.605</v>
      </c>
      <c r="P26" s="46">
        <v>-108.86199999999999</v>
      </c>
      <c r="Q26" s="46">
        <v>-128.80699999999999</v>
      </c>
      <c r="R26" s="47">
        <f t="shared" ref="R26" si="40">SUM(N26:Q26)</f>
        <v>-420.49300000000005</v>
      </c>
      <c r="S26" s="275">
        <v>-135.529</v>
      </c>
      <c r="T26" s="275">
        <v>-152.03299999999999</v>
      </c>
      <c r="U26" s="275">
        <v>-160.66</v>
      </c>
      <c r="V26" s="84">
        <v>-164.6920960333282</v>
      </c>
      <c r="W26" s="271">
        <f t="shared" ref="W26" si="41">SUM(S26:V26)</f>
        <v>-612.91409603332818</v>
      </c>
      <c r="X26" s="84">
        <v>-171.60871759265012</v>
      </c>
      <c r="Y26" s="84">
        <v>-178.90329317239681</v>
      </c>
      <c r="Z26" s="84">
        <v>-196.17242110642169</v>
      </c>
      <c r="AA26" s="84">
        <v>-204.30521935194278</v>
      </c>
      <c r="AB26" s="271">
        <f t="shared" ref="AB26" si="42">SUM(X26:AA26)</f>
        <v>-750.98965122341144</v>
      </c>
      <c r="AC26" s="410"/>
      <c r="AD26" s="411"/>
      <c r="AE26" s="411"/>
      <c r="AF26" s="411"/>
      <c r="AG26" s="271"/>
      <c r="AH26" s="411"/>
      <c r="AI26" s="412"/>
      <c r="AJ26" s="412"/>
      <c r="AK26" s="412"/>
      <c r="AL26" s="271"/>
      <c r="AM26" s="412"/>
      <c r="AN26" s="412"/>
      <c r="AO26" s="412"/>
      <c r="AP26" s="412"/>
      <c r="AQ26" s="47"/>
      <c r="AR26" s="412"/>
      <c r="AS26" s="412"/>
      <c r="AT26" s="412"/>
      <c r="AU26" s="412"/>
      <c r="AV26" s="47"/>
      <c r="AW26" s="412"/>
      <c r="AX26" s="412"/>
      <c r="AY26" s="412"/>
      <c r="AZ26" s="412"/>
      <c r="BA26" s="47"/>
    </row>
    <row r="27" spans="1:53" ht="17.25" x14ac:dyDescent="0.4">
      <c r="B27" s="198" t="s">
        <v>167</v>
      </c>
      <c r="C27" s="98"/>
      <c r="D27" s="51">
        <v>25.963000000000001</v>
      </c>
      <c r="E27" s="51">
        <v>16.317</v>
      </c>
      <c r="F27" s="51">
        <v>8.6270000000000007</v>
      </c>
      <c r="G27" s="51">
        <v>-20.079000000000001</v>
      </c>
      <c r="H27" s="52">
        <f t="shared" si="38"/>
        <v>30.828000000000003</v>
      </c>
      <c r="I27" s="51">
        <v>13.592000000000001</v>
      </c>
      <c r="J27" s="51">
        <v>-58.363</v>
      </c>
      <c r="K27" s="51">
        <v>-31.702000000000002</v>
      </c>
      <c r="L27" s="51">
        <v>-38.680999999999997</v>
      </c>
      <c r="M27" s="52">
        <f t="shared" ref="M27" si="43">SUM(I27:L27)</f>
        <v>-115.154</v>
      </c>
      <c r="N27" s="51">
        <v>-65.742999999999995</v>
      </c>
      <c r="O27" s="51">
        <v>68.028000000000006</v>
      </c>
      <c r="P27" s="51">
        <v>7.0039999999999996</v>
      </c>
      <c r="Q27" s="51">
        <v>32.436</v>
      </c>
      <c r="R27" s="52">
        <f t="shared" ref="R27" si="44">SUM(N27:Q27)</f>
        <v>41.725000000000009</v>
      </c>
      <c r="S27" s="276">
        <v>76.103999999999999</v>
      </c>
      <c r="T27" s="276">
        <v>-53.47</v>
      </c>
      <c r="U27" s="276">
        <v>192.744</v>
      </c>
      <c r="V27" s="82">
        <v>99.300713718749691</v>
      </c>
      <c r="W27" s="277">
        <f t="shared" ref="W27" si="45">SUM(S27:V27)</f>
        <v>314.67871371874969</v>
      </c>
      <c r="X27" s="82">
        <v>74.54416713024608</v>
      </c>
      <c r="Y27" s="82">
        <v>54.455683416418672</v>
      </c>
      <c r="Z27" s="82">
        <v>91.20688281972761</v>
      </c>
      <c r="AA27" s="82">
        <v>77.443540918621466</v>
      </c>
      <c r="AB27" s="277">
        <f t="shared" ref="AB27" si="46">SUM(X27:AA27)</f>
        <v>297.65027428501384</v>
      </c>
      <c r="AC27" s="413"/>
      <c r="AD27" s="414"/>
      <c r="AE27" s="414"/>
      <c r="AF27" s="414"/>
      <c r="AG27" s="277"/>
      <c r="AH27" s="414"/>
      <c r="AI27" s="415"/>
      <c r="AJ27" s="415"/>
      <c r="AK27" s="415"/>
      <c r="AL27" s="277"/>
      <c r="AM27" s="415"/>
      <c r="AN27" s="415"/>
      <c r="AO27" s="415"/>
      <c r="AP27" s="415"/>
      <c r="AQ27" s="52"/>
      <c r="AR27" s="415"/>
      <c r="AS27" s="415"/>
      <c r="AT27" s="415"/>
      <c r="AU27" s="415"/>
      <c r="AV27" s="52"/>
      <c r="AW27" s="415"/>
      <c r="AX27" s="415"/>
      <c r="AY27" s="415"/>
      <c r="AZ27" s="415"/>
      <c r="BA27" s="52"/>
    </row>
    <row r="28" spans="1:53" x14ac:dyDescent="0.25">
      <c r="B28" s="368" t="s">
        <v>73</v>
      </c>
      <c r="C28" s="369"/>
      <c r="D28" s="57">
        <f>+D22+SUM(D26:D27)</f>
        <v>39.879000000000147</v>
      </c>
      <c r="E28" s="57">
        <f t="shared" ref="E28:AQ28" si="47">+E22+SUM(E26:E27)</f>
        <v>51.232000000000234</v>
      </c>
      <c r="F28" s="57">
        <f t="shared" si="47"/>
        <v>79.127000000000066</v>
      </c>
      <c r="G28" s="57">
        <f t="shared" si="47"/>
        <v>90.269000000000204</v>
      </c>
      <c r="H28" s="58">
        <f t="shared" si="47"/>
        <v>260.50700000000199</v>
      </c>
      <c r="I28" s="57">
        <f t="shared" si="47"/>
        <v>223.79200000000023</v>
      </c>
      <c r="J28" s="57">
        <f t="shared" si="47"/>
        <v>13.962000000000018</v>
      </c>
      <c r="K28" s="57">
        <f t="shared" si="47"/>
        <v>116.23699999999984</v>
      </c>
      <c r="L28" s="57">
        <f t="shared" si="47"/>
        <v>131.33000000000033</v>
      </c>
      <c r="M28" s="58">
        <f t="shared" si="47"/>
        <v>485.32100000000059</v>
      </c>
      <c r="N28" s="57">
        <f t="shared" si="47"/>
        <v>299.6160000000001</v>
      </c>
      <c r="O28" s="57">
        <f t="shared" si="47"/>
        <v>428.63599999999997</v>
      </c>
      <c r="P28" s="57">
        <f t="shared" si="47"/>
        <v>378.80999999999966</v>
      </c>
      <c r="Q28" s="57">
        <f t="shared" si="47"/>
        <v>119.3960000000003</v>
      </c>
      <c r="R28" s="58">
        <f t="shared" si="47"/>
        <v>1226.4579999999996</v>
      </c>
      <c r="S28" s="269">
        <f t="shared" si="47"/>
        <v>399.65900000000028</v>
      </c>
      <c r="T28" s="269">
        <f>+T22+SUM(T26:T27)</f>
        <v>500.91599999999988</v>
      </c>
      <c r="U28" s="269">
        <f t="shared" si="47"/>
        <v>1012.3229999999999</v>
      </c>
      <c r="V28" s="269">
        <f t="shared" si="47"/>
        <v>409.60861768542151</v>
      </c>
      <c r="W28" s="278">
        <f t="shared" si="47"/>
        <v>2322.506617685418</v>
      </c>
      <c r="X28" s="269">
        <f t="shared" si="47"/>
        <v>791.55060497319801</v>
      </c>
      <c r="Y28" s="269">
        <f t="shared" si="47"/>
        <v>849.43422938672688</v>
      </c>
      <c r="Z28" s="269">
        <f t="shared" si="47"/>
        <v>962.29278187707428</v>
      </c>
      <c r="AA28" s="269">
        <f t="shared" si="47"/>
        <v>1008.1901557417895</v>
      </c>
      <c r="AB28" s="278">
        <f t="shared" si="47"/>
        <v>3611.4677719787915</v>
      </c>
      <c r="AC28" s="416"/>
      <c r="AD28" s="417"/>
      <c r="AE28" s="417"/>
      <c r="AF28" s="417"/>
      <c r="AG28" s="278"/>
      <c r="AH28" s="417"/>
      <c r="AI28" s="418"/>
      <c r="AJ28" s="418"/>
      <c r="AK28" s="418"/>
      <c r="AL28" s="278"/>
      <c r="AM28" s="418"/>
      <c r="AN28" s="418"/>
      <c r="AO28" s="418"/>
      <c r="AP28" s="418"/>
      <c r="AQ28" s="58"/>
      <c r="AR28" s="418"/>
      <c r="AS28" s="418"/>
      <c r="AT28" s="418"/>
      <c r="AU28" s="418"/>
      <c r="AV28" s="58"/>
      <c r="AW28" s="418"/>
      <c r="AX28" s="418"/>
      <c r="AY28" s="418"/>
      <c r="AZ28" s="418"/>
      <c r="BA28" s="58"/>
    </row>
    <row r="29" spans="1:53" ht="17.25" x14ac:dyDescent="0.4">
      <c r="B29" s="344" t="s">
        <v>37</v>
      </c>
      <c r="C29" s="345"/>
      <c r="D29" s="51">
        <v>12.221</v>
      </c>
      <c r="E29" s="51">
        <v>10.477</v>
      </c>
      <c r="F29" s="51">
        <v>27.61</v>
      </c>
      <c r="G29" s="51">
        <v>23.521000000000001</v>
      </c>
      <c r="H29" s="52">
        <f>SUM(D29:G29)</f>
        <v>73.829000000000008</v>
      </c>
      <c r="I29" s="51">
        <v>45.57</v>
      </c>
      <c r="J29" s="51">
        <v>-51.637999999999998</v>
      </c>
      <c r="K29" s="51">
        <v>-13.353</v>
      </c>
      <c r="L29" s="51">
        <v>-54.186999999999998</v>
      </c>
      <c r="M29" s="52">
        <f>SUM(I29:L29)</f>
        <v>-73.608000000000004</v>
      </c>
      <c r="N29" s="51">
        <v>9.4920000000000009</v>
      </c>
      <c r="O29" s="51">
        <v>44.286999999999999</v>
      </c>
      <c r="P29" s="51">
        <v>-24.024999999999999</v>
      </c>
      <c r="Q29" s="51">
        <v>-14.538</v>
      </c>
      <c r="R29" s="52">
        <f>SUM(N29:Q29)</f>
        <v>15.215999999999998</v>
      </c>
      <c r="S29" s="276">
        <v>55.606999999999999</v>
      </c>
      <c r="T29" s="276">
        <v>230.26599999999999</v>
      </c>
      <c r="U29" s="276">
        <v>347.07900000000001</v>
      </c>
      <c r="V29" s="276">
        <f t="shared" ref="V29" si="48">+V28*V92</f>
        <v>177.60861768542151</v>
      </c>
      <c r="W29" s="277">
        <f>SUM(S29:V29)</f>
        <v>810.56061768542145</v>
      </c>
      <c r="X29" s="276">
        <f>+X28*X92</f>
        <v>182.05663914383555</v>
      </c>
      <c r="Y29" s="276">
        <f t="shared" ref="Y29" si="49">+Y28*Y92</f>
        <v>195.3698727589472</v>
      </c>
      <c r="Z29" s="276">
        <f t="shared" ref="Z29" si="50">+Z28*Z92</f>
        <v>221.3273398317271</v>
      </c>
      <c r="AA29" s="276">
        <f t="shared" ref="AA29" si="51">+AA28*AA92</f>
        <v>231.88373582061158</v>
      </c>
      <c r="AB29" s="277">
        <f>SUM(X29:AA29)</f>
        <v>830.63758755512151</v>
      </c>
      <c r="AC29" s="413"/>
      <c r="AD29" s="414"/>
      <c r="AE29" s="414"/>
      <c r="AF29" s="414"/>
      <c r="AG29" s="277"/>
      <c r="AH29" s="414"/>
      <c r="AI29" s="415"/>
      <c r="AJ29" s="415"/>
      <c r="AK29" s="415"/>
      <c r="AL29" s="277"/>
      <c r="AM29" s="415"/>
      <c r="AN29" s="415"/>
      <c r="AO29" s="415"/>
      <c r="AP29" s="415"/>
      <c r="AQ29" s="52"/>
      <c r="AR29" s="415"/>
      <c r="AS29" s="415"/>
      <c r="AT29" s="415"/>
      <c r="AU29" s="415"/>
      <c r="AV29" s="52"/>
      <c r="AW29" s="415"/>
      <c r="AX29" s="415"/>
      <c r="AY29" s="415"/>
      <c r="AZ29" s="415"/>
      <c r="BA29" s="52"/>
    </row>
    <row r="30" spans="1:53" x14ac:dyDescent="0.25">
      <c r="A30" s="59"/>
      <c r="B30" s="372" t="s">
        <v>47</v>
      </c>
      <c r="C30" s="373"/>
      <c r="D30" s="57">
        <f>+D28-D29</f>
        <v>27.658000000000147</v>
      </c>
      <c r="E30" s="57">
        <f t="shared" ref="E30:F30" si="52">+E28-E29</f>
        <v>40.755000000000237</v>
      </c>
      <c r="F30" s="57">
        <f t="shared" si="52"/>
        <v>51.517000000000067</v>
      </c>
      <c r="G30" s="57">
        <f>+G28-G29</f>
        <v>66.748000000000204</v>
      </c>
      <c r="H30" s="58">
        <f t="shared" ref="H30:AQ30" si="53">+H28-H29</f>
        <v>186.67800000000199</v>
      </c>
      <c r="I30" s="57">
        <f t="shared" si="53"/>
        <v>178.22200000000024</v>
      </c>
      <c r="J30" s="57">
        <f t="shared" si="53"/>
        <v>65.600000000000023</v>
      </c>
      <c r="K30" s="57">
        <f t="shared" si="53"/>
        <v>129.58999999999983</v>
      </c>
      <c r="L30" s="57">
        <f t="shared" si="53"/>
        <v>185.51700000000034</v>
      </c>
      <c r="M30" s="58">
        <f t="shared" si="53"/>
        <v>558.92900000000054</v>
      </c>
      <c r="N30" s="57">
        <f t="shared" si="53"/>
        <v>290.12400000000008</v>
      </c>
      <c r="O30" s="57">
        <f t="shared" si="53"/>
        <v>384.34899999999999</v>
      </c>
      <c r="P30" s="57">
        <f t="shared" si="53"/>
        <v>402.83499999999964</v>
      </c>
      <c r="Q30" s="57">
        <f t="shared" si="53"/>
        <v>133.93400000000031</v>
      </c>
      <c r="R30" s="58">
        <f t="shared" si="53"/>
        <v>1211.2419999999997</v>
      </c>
      <c r="S30" s="269">
        <f>+S28-S29</f>
        <v>344.05200000000025</v>
      </c>
      <c r="T30" s="269">
        <f t="shared" si="53"/>
        <v>270.64999999999986</v>
      </c>
      <c r="U30" s="269">
        <f t="shared" si="53"/>
        <v>665.24399999999991</v>
      </c>
      <c r="V30" s="232">
        <f t="shared" si="53"/>
        <v>232</v>
      </c>
      <c r="W30" s="278">
        <f t="shared" si="53"/>
        <v>1511.9459999999965</v>
      </c>
      <c r="X30" s="269">
        <f t="shared" si="53"/>
        <v>609.49396582936242</v>
      </c>
      <c r="Y30" s="269">
        <f t="shared" si="53"/>
        <v>654.06435662777972</v>
      </c>
      <c r="Z30" s="269">
        <f t="shared" si="53"/>
        <v>740.96544204534712</v>
      </c>
      <c r="AA30" s="269">
        <f t="shared" si="53"/>
        <v>776.30641992117785</v>
      </c>
      <c r="AB30" s="278">
        <f t="shared" si="53"/>
        <v>2780.8301844236698</v>
      </c>
      <c r="AC30" s="416"/>
      <c r="AD30" s="417"/>
      <c r="AE30" s="417"/>
      <c r="AF30" s="417"/>
      <c r="AG30" s="278"/>
      <c r="AH30" s="417"/>
      <c r="AI30" s="418"/>
      <c r="AJ30" s="418"/>
      <c r="AK30" s="418"/>
      <c r="AL30" s="278"/>
      <c r="AM30" s="418"/>
      <c r="AN30" s="418"/>
      <c r="AO30" s="418"/>
      <c r="AP30" s="418"/>
      <c r="AQ30" s="58"/>
      <c r="AR30" s="418"/>
      <c r="AS30" s="418"/>
      <c r="AT30" s="418"/>
      <c r="AU30" s="418"/>
      <c r="AV30" s="58"/>
      <c r="AW30" s="418"/>
      <c r="AX30" s="418"/>
      <c r="AY30" s="418"/>
      <c r="AZ30" s="418"/>
      <c r="BA30" s="58"/>
    </row>
    <row r="31" spans="1:53" x14ac:dyDescent="0.25">
      <c r="B31" s="344" t="s">
        <v>0</v>
      </c>
      <c r="C31" s="345"/>
      <c r="D31" s="46">
        <v>428.11700000000002</v>
      </c>
      <c r="E31" s="46">
        <v>428.483</v>
      </c>
      <c r="F31" s="46">
        <v>428.93700000000001</v>
      </c>
      <c r="G31" s="46">
        <v>429.738</v>
      </c>
      <c r="H31" s="47">
        <v>428.822</v>
      </c>
      <c r="I31" s="46">
        <v>430.6</v>
      </c>
      <c r="J31" s="46">
        <v>431.39600000000002</v>
      </c>
      <c r="K31" s="46">
        <v>432.404</v>
      </c>
      <c r="L31" s="46">
        <v>433.108</v>
      </c>
      <c r="M31" s="47">
        <v>431.88499999999999</v>
      </c>
      <c r="N31" s="46">
        <v>434.17399999999998</v>
      </c>
      <c r="O31" s="46">
        <v>435.09699999999998</v>
      </c>
      <c r="P31" s="46">
        <v>435.80900000000003</v>
      </c>
      <c r="Q31" s="46">
        <v>436.38499999999999</v>
      </c>
      <c r="R31" s="47">
        <v>435.37400000000002</v>
      </c>
      <c r="S31" s="275">
        <v>436.947</v>
      </c>
      <c r="T31" s="275">
        <v>437.58699999999999</v>
      </c>
      <c r="U31" s="275">
        <v>438.09</v>
      </c>
      <c r="V31" s="275">
        <f>U31*(1+V96)-V100</f>
        <v>438.66211572386311</v>
      </c>
      <c r="W31" s="271">
        <f>(S31*S30/W30)+(T31*T30/W30)+(U31*U30/W30)+(V31*V30/W30)</f>
        <v>437.82765098881691</v>
      </c>
      <c r="X31" s="275">
        <f>V31*(1+X96)-X100</f>
        <v>439.23325158250555</v>
      </c>
      <c r="Y31" s="275">
        <f>X31*(1+Y96)-Y100</f>
        <v>439.80668389303736</v>
      </c>
      <c r="Z31" s="275">
        <f>Y31*(1+Z96)-Z100</f>
        <v>440.36336292190833</v>
      </c>
      <c r="AA31" s="275">
        <f>Z31*(1+AA96)-AA100</f>
        <v>440.93354462128923</v>
      </c>
      <c r="AB31" s="271">
        <f>(X31*X30/AB30)+(Y31*Y30/AB30)+(Z31*Z30/AB30)+(AA31*AA30/AB30)</f>
        <v>440.14390894639536</v>
      </c>
      <c r="AC31" s="410"/>
      <c r="AD31" s="411"/>
      <c r="AE31" s="411"/>
      <c r="AF31" s="411"/>
      <c r="AG31" s="271"/>
      <c r="AH31" s="411"/>
      <c r="AI31" s="412"/>
      <c r="AJ31" s="412"/>
      <c r="AK31" s="412"/>
      <c r="AL31" s="271"/>
      <c r="AM31" s="412"/>
      <c r="AN31" s="412"/>
      <c r="AO31" s="412"/>
      <c r="AP31" s="412"/>
      <c r="AQ31" s="47"/>
      <c r="AR31" s="412"/>
      <c r="AS31" s="412"/>
      <c r="AT31" s="412"/>
      <c r="AU31" s="412"/>
      <c r="AV31" s="47"/>
      <c r="AW31" s="412"/>
      <c r="AX31" s="412"/>
      <c r="AY31" s="412"/>
      <c r="AZ31" s="412"/>
      <c r="BA31" s="47"/>
    </row>
    <row r="32" spans="1:53" ht="15.75" customHeight="1" x14ac:dyDescent="0.4">
      <c r="B32" s="344" t="s">
        <v>1</v>
      </c>
      <c r="C32" s="345"/>
      <c r="D32" s="51">
        <v>437.99299999999999</v>
      </c>
      <c r="E32" s="51">
        <v>438.154</v>
      </c>
      <c r="F32" s="51">
        <v>438.38900000000001</v>
      </c>
      <c r="G32" s="51">
        <v>440.06299999999999</v>
      </c>
      <c r="H32" s="52">
        <v>438.65199999999999</v>
      </c>
      <c r="I32" s="51">
        <v>445.45800000000003</v>
      </c>
      <c r="J32" s="51">
        <v>446.262</v>
      </c>
      <c r="K32" s="51">
        <v>447.36200000000002</v>
      </c>
      <c r="L32" s="51">
        <v>448.142</v>
      </c>
      <c r="M32" s="52">
        <v>446.81400000000002</v>
      </c>
      <c r="N32" s="51">
        <v>450.35899999999998</v>
      </c>
      <c r="O32" s="51">
        <v>451.55200000000002</v>
      </c>
      <c r="P32" s="51">
        <v>451.91899999999998</v>
      </c>
      <c r="Q32" s="51">
        <v>451.11599999999999</v>
      </c>
      <c r="R32" s="52">
        <v>451.24400000000003</v>
      </c>
      <c r="S32" s="276">
        <v>451.92200000000003</v>
      </c>
      <c r="T32" s="276">
        <v>452.19499999999999</v>
      </c>
      <c r="U32" s="276">
        <v>451.55200000000002</v>
      </c>
      <c r="V32" s="276">
        <f>U32*(1+V97)-V100</f>
        <v>451.46078047661774</v>
      </c>
      <c r="W32" s="277">
        <f>(S32*S30/W30)+(T32*T30/W30)+(U32*U30/W30)+(V32*V30/W30)</f>
        <v>451.7373004410058</v>
      </c>
      <c r="X32" s="276">
        <f>V32*(1+X97)-X100</f>
        <v>451.54732555804134</v>
      </c>
      <c r="Y32" s="276">
        <f>X32*(1+Y97)-Y100</f>
        <v>451.45383498799538</v>
      </c>
      <c r="Z32" s="276">
        <f>Y32*(1+Z97)-Z100</f>
        <v>451.26881667441609</v>
      </c>
      <c r="AA32" s="276">
        <f>Z32*(1+AA97)-AA100</f>
        <v>451.19805931722232</v>
      </c>
      <c r="AB32" s="277">
        <f>(X32*X30/AB30)+(Y32*Y30/AB30)+(Z32*Z30/AB30)+(AA32*AA30/AB30)</f>
        <v>451.35362371474116</v>
      </c>
      <c r="AC32" s="413"/>
      <c r="AD32" s="414"/>
      <c r="AE32" s="414"/>
      <c r="AF32" s="414"/>
      <c r="AG32" s="277"/>
      <c r="AH32" s="414"/>
      <c r="AI32" s="415"/>
      <c r="AJ32" s="415"/>
      <c r="AK32" s="415"/>
      <c r="AL32" s="277"/>
      <c r="AM32" s="415"/>
      <c r="AN32" s="415"/>
      <c r="AO32" s="415"/>
      <c r="AP32" s="415"/>
      <c r="AQ32" s="52"/>
      <c r="AR32" s="415"/>
      <c r="AS32" s="415"/>
      <c r="AT32" s="415"/>
      <c r="AU32" s="415"/>
      <c r="AV32" s="52"/>
      <c r="AW32" s="415"/>
      <c r="AX32" s="415"/>
      <c r="AY32" s="415"/>
      <c r="AZ32" s="415"/>
      <c r="BA32" s="52"/>
    </row>
    <row r="33" spans="2:53" ht="15.75" customHeight="1" x14ac:dyDescent="0.25">
      <c r="B33" s="370" t="s">
        <v>48</v>
      </c>
      <c r="C33" s="371"/>
      <c r="D33" s="60">
        <f>D30/D31</f>
        <v>6.4603834932974266E-2</v>
      </c>
      <c r="E33" s="60">
        <f t="shared" ref="E33:AQ33" si="54">E30/E31</f>
        <v>9.5114625317691104E-2</v>
      </c>
      <c r="F33" s="60">
        <f t="shared" si="54"/>
        <v>0.12010388471966761</v>
      </c>
      <c r="G33" s="60">
        <f t="shared" si="54"/>
        <v>0.15532254536485068</v>
      </c>
      <c r="H33" s="61">
        <f t="shared" si="54"/>
        <v>0.4353274785342216</v>
      </c>
      <c r="I33" s="60">
        <f t="shared" si="54"/>
        <v>0.41389224338132891</v>
      </c>
      <c r="J33" s="60">
        <f t="shared" si="54"/>
        <v>0.15206446049569311</v>
      </c>
      <c r="K33" s="60">
        <f t="shared" si="54"/>
        <v>0.29969658005013794</v>
      </c>
      <c r="L33" s="60">
        <f t="shared" si="54"/>
        <v>0.42833889006899051</v>
      </c>
      <c r="M33" s="61">
        <f t="shared" si="54"/>
        <v>1.2941616402514571</v>
      </c>
      <c r="N33" s="60">
        <f t="shared" si="54"/>
        <v>0.66822057516111077</v>
      </c>
      <c r="O33" s="60">
        <f t="shared" si="54"/>
        <v>0.883363939535322</v>
      </c>
      <c r="P33" s="60">
        <f t="shared" si="54"/>
        <v>0.92433841430534847</v>
      </c>
      <c r="Q33" s="60">
        <f t="shared" si="54"/>
        <v>0.30691705718574269</v>
      </c>
      <c r="R33" s="61">
        <f t="shared" si="54"/>
        <v>2.7820724250873954</v>
      </c>
      <c r="S33" s="289">
        <f t="shared" si="54"/>
        <v>0.78739984483244019</v>
      </c>
      <c r="T33" s="289">
        <f t="shared" si="54"/>
        <v>0.61850557717665255</v>
      </c>
      <c r="U33" s="289">
        <f t="shared" si="54"/>
        <v>1.518509895227008</v>
      </c>
      <c r="V33" s="289">
        <f t="shared" si="54"/>
        <v>0.52888086680830104</v>
      </c>
      <c r="W33" s="270">
        <f t="shared" si="54"/>
        <v>3.4532903451513959</v>
      </c>
      <c r="X33" s="289">
        <f t="shared" si="54"/>
        <v>1.3876316595645426</v>
      </c>
      <c r="Y33" s="289">
        <f t="shared" si="54"/>
        <v>1.4871632937412353</v>
      </c>
      <c r="Z33" s="289">
        <f t="shared" si="54"/>
        <v>1.682622816595998</v>
      </c>
      <c r="AA33" s="289">
        <f t="shared" si="54"/>
        <v>1.7605973267194608</v>
      </c>
      <c r="AB33" s="270">
        <f t="shared" si="54"/>
        <v>6.3180021985998769</v>
      </c>
      <c r="AC33" s="433"/>
      <c r="AD33" s="434"/>
      <c r="AE33" s="434"/>
      <c r="AF33" s="434"/>
      <c r="AG33" s="270"/>
      <c r="AH33" s="434"/>
      <c r="AI33" s="435"/>
      <c r="AJ33" s="435"/>
      <c r="AK33" s="435"/>
      <c r="AL33" s="270"/>
      <c r="AM33" s="435"/>
      <c r="AN33" s="435"/>
      <c r="AO33" s="435"/>
      <c r="AP33" s="435"/>
      <c r="AQ33" s="61"/>
      <c r="AR33" s="435"/>
      <c r="AS33" s="435"/>
      <c r="AT33" s="435"/>
      <c r="AU33" s="435"/>
      <c r="AV33" s="61"/>
      <c r="AW33" s="435"/>
      <c r="AX33" s="435"/>
      <c r="AY33" s="435"/>
      <c r="AZ33" s="435"/>
      <c r="BA33" s="61"/>
    </row>
    <row r="34" spans="2:53" x14ac:dyDescent="0.25">
      <c r="B34" s="370" t="s">
        <v>49</v>
      </c>
      <c r="C34" s="371"/>
      <c r="D34" s="60">
        <f t="shared" ref="D34:AQ34" si="55">D30/D32</f>
        <v>6.3147127922136073E-2</v>
      </c>
      <c r="E34" s="60">
        <f t="shared" si="55"/>
        <v>9.3015241216559102E-2</v>
      </c>
      <c r="F34" s="60">
        <f t="shared" si="55"/>
        <v>0.11751435369044402</v>
      </c>
      <c r="G34" s="60">
        <f t="shared" si="55"/>
        <v>0.15167828242774375</v>
      </c>
      <c r="H34" s="61">
        <f t="shared" si="55"/>
        <v>0.42557197961026505</v>
      </c>
      <c r="I34" s="60">
        <f t="shared" si="55"/>
        <v>0.40008710136533687</v>
      </c>
      <c r="J34" s="60">
        <f t="shared" si="55"/>
        <v>0.14699884821024425</v>
      </c>
      <c r="K34" s="60">
        <f t="shared" si="55"/>
        <v>0.28967592240735651</v>
      </c>
      <c r="L34" s="60">
        <f t="shared" si="55"/>
        <v>0.41396923296633731</v>
      </c>
      <c r="M34" s="61">
        <f t="shared" si="55"/>
        <v>1.250920964875766</v>
      </c>
      <c r="N34" s="60">
        <f t="shared" si="55"/>
        <v>0.64420606671566483</v>
      </c>
      <c r="O34" s="60">
        <f t="shared" si="55"/>
        <v>0.85117328679753379</v>
      </c>
      <c r="P34" s="60">
        <f t="shared" si="55"/>
        <v>0.89138761592232163</v>
      </c>
      <c r="Q34" s="60">
        <f t="shared" si="55"/>
        <v>0.29689481197740786</v>
      </c>
      <c r="R34" s="61">
        <f t="shared" si="55"/>
        <v>2.6842284883566312</v>
      </c>
      <c r="S34" s="289">
        <f t="shared" si="55"/>
        <v>0.76130836737313123</v>
      </c>
      <c r="T34" s="289">
        <f t="shared" si="55"/>
        <v>0.59852497263348747</v>
      </c>
      <c r="U34" s="289">
        <f>U30/U32</f>
        <v>1.4732389625115156</v>
      </c>
      <c r="V34" s="234">
        <f t="shared" si="55"/>
        <v>0.51388738520115118</v>
      </c>
      <c r="W34" s="270">
        <f t="shared" si="55"/>
        <v>3.3469585055827102</v>
      </c>
      <c r="X34" s="289">
        <f t="shared" si="55"/>
        <v>1.3497897813393622</v>
      </c>
      <c r="Y34" s="289">
        <f t="shared" si="55"/>
        <v>1.4487956595720843</v>
      </c>
      <c r="Z34" s="289">
        <f t="shared" si="55"/>
        <v>1.6419602123315844</v>
      </c>
      <c r="AA34" s="289">
        <f t="shared" si="55"/>
        <v>1.7205446785297067</v>
      </c>
      <c r="AB34" s="270">
        <f t="shared" si="55"/>
        <v>6.1610897494005172</v>
      </c>
      <c r="AC34" s="433"/>
      <c r="AD34" s="434"/>
      <c r="AE34" s="434"/>
      <c r="AF34" s="434"/>
      <c r="AG34" s="270"/>
      <c r="AH34" s="434"/>
      <c r="AI34" s="435"/>
      <c r="AJ34" s="435"/>
      <c r="AK34" s="435"/>
      <c r="AL34" s="270"/>
      <c r="AM34" s="435"/>
      <c r="AN34" s="435"/>
      <c r="AO34" s="435"/>
      <c r="AP34" s="435"/>
      <c r="AQ34" s="61"/>
      <c r="AR34" s="435"/>
      <c r="AS34" s="435"/>
      <c r="AT34" s="435"/>
      <c r="AU34" s="435"/>
      <c r="AV34" s="61"/>
      <c r="AW34" s="435"/>
      <c r="AX34" s="435"/>
      <c r="AY34" s="435"/>
      <c r="AZ34" s="435"/>
      <c r="BA34" s="61"/>
    </row>
    <row r="35" spans="2:53" s="246" customFormat="1" x14ac:dyDescent="0.25">
      <c r="B35" s="259" t="s">
        <v>293</v>
      </c>
      <c r="C35" s="260"/>
      <c r="D35" s="261">
        <f>+D25/D32</f>
        <v>0.2435495544449344</v>
      </c>
      <c r="E35" s="261">
        <f t="shared" ref="E35:AQ35" si="56">+E25/E32</f>
        <v>0.29353378036033045</v>
      </c>
      <c r="F35" s="261">
        <f t="shared" si="56"/>
        <v>0.37396239412941484</v>
      </c>
      <c r="G35" s="261">
        <f t="shared" si="56"/>
        <v>0.48122427925092587</v>
      </c>
      <c r="H35" s="262">
        <f t="shared" si="56"/>
        <v>1.3928945952600282</v>
      </c>
      <c r="I35" s="261">
        <f t="shared" si="56"/>
        <v>0.71135550377364454</v>
      </c>
      <c r="J35" s="261">
        <f t="shared" si="56"/>
        <v>0.42662382188042003</v>
      </c>
      <c r="K35" s="261">
        <f t="shared" si="56"/>
        <v>0.60941251156781262</v>
      </c>
      <c r="L35" s="261">
        <f t="shared" si="56"/>
        <v>0.69822957901736571</v>
      </c>
      <c r="M35" s="262">
        <f t="shared" si="56"/>
        <v>2.4457581902089025</v>
      </c>
      <c r="N35" s="261">
        <f t="shared" si="56"/>
        <v>1.185751811332737</v>
      </c>
      <c r="O35" s="261">
        <f t="shared" si="56"/>
        <v>1.2472118382821911</v>
      </c>
      <c r="P35" s="261">
        <f t="shared" si="56"/>
        <v>1.2925878310051131</v>
      </c>
      <c r="Q35" s="261">
        <f t="shared" si="56"/>
        <v>0.7264206988889782</v>
      </c>
      <c r="R35" s="262">
        <f t="shared" si="56"/>
        <v>4.4522254035510711</v>
      </c>
      <c r="S35" s="261">
        <f t="shared" si="56"/>
        <v>1.2919154190324884</v>
      </c>
      <c r="T35" s="302">
        <f t="shared" si="56"/>
        <v>1.8482358274638151</v>
      </c>
      <c r="U35" s="261">
        <f t="shared" si="56"/>
        <v>2.4519988838494782</v>
      </c>
      <c r="V35" s="261">
        <f t="shared" si="56"/>
        <v>1.3046050867174259</v>
      </c>
      <c r="W35" s="262">
        <f t="shared" si="56"/>
        <v>6.7296413816069656</v>
      </c>
      <c r="X35" s="261">
        <f t="shared" si="56"/>
        <v>2.237943408677681</v>
      </c>
      <c r="Y35" s="261">
        <f t="shared" si="56"/>
        <v>2.4355368741887209</v>
      </c>
      <c r="Z35" s="261">
        <f t="shared" si="56"/>
        <v>2.6497508879156095</v>
      </c>
      <c r="AA35" s="261">
        <f t="shared" si="56"/>
        <v>2.8163787132138074</v>
      </c>
      <c r="AB35" s="262">
        <f t="shared" si="56"/>
        <v>10.139642488645041</v>
      </c>
      <c r="AC35" s="436"/>
      <c r="AD35" s="261"/>
      <c r="AE35" s="261"/>
      <c r="AF35" s="261"/>
      <c r="AG35" s="262"/>
      <c r="AH35" s="261"/>
      <c r="AI35" s="261"/>
      <c r="AJ35" s="261"/>
      <c r="AK35" s="261"/>
      <c r="AL35" s="262"/>
      <c r="AM35" s="261"/>
      <c r="AN35" s="261"/>
      <c r="AO35" s="261"/>
      <c r="AP35" s="261"/>
      <c r="AQ35" s="262"/>
      <c r="AR35" s="261"/>
      <c r="AS35" s="261"/>
      <c r="AT35" s="261"/>
      <c r="AU35" s="261"/>
      <c r="AV35" s="262"/>
      <c r="AW35" s="261"/>
      <c r="AX35" s="261"/>
      <c r="AY35" s="261"/>
      <c r="AZ35" s="261"/>
      <c r="BA35" s="262"/>
    </row>
    <row r="36" spans="2:53" x14ac:dyDescent="0.25">
      <c r="B36" s="268" t="s">
        <v>57</v>
      </c>
      <c r="C36" s="73"/>
      <c r="D36" s="73"/>
      <c r="E36" s="46"/>
      <c r="F36" s="73"/>
      <c r="G36" s="73"/>
      <c r="H36" s="18"/>
      <c r="I36" s="73"/>
      <c r="J36" s="73"/>
      <c r="K36" s="73"/>
      <c r="L36" s="73"/>
      <c r="M36" s="18"/>
      <c r="N36" s="73"/>
      <c r="O36" s="73"/>
      <c r="P36" s="73"/>
      <c r="Q36" s="73"/>
      <c r="R36" s="18"/>
      <c r="S36" s="133"/>
      <c r="T36" s="73"/>
      <c r="U36" s="73"/>
      <c r="V36" s="73"/>
      <c r="W36" s="18"/>
      <c r="X36" s="73"/>
      <c r="Y36" s="73"/>
      <c r="Z36" s="73"/>
      <c r="AA36" s="73"/>
      <c r="AB36" s="18"/>
      <c r="AC36" s="73"/>
      <c r="AD36" s="73"/>
      <c r="AE36" s="73"/>
      <c r="AF36" s="73"/>
      <c r="AG36" s="18"/>
      <c r="AH36" s="73"/>
      <c r="AI36" s="73"/>
      <c r="AJ36" s="73"/>
      <c r="AK36" s="73"/>
      <c r="AL36" s="18"/>
      <c r="AM36" s="73"/>
      <c r="AN36" s="73"/>
      <c r="AO36" s="73"/>
      <c r="AP36" s="73"/>
      <c r="AQ36" s="18"/>
      <c r="AR36" s="73"/>
      <c r="AS36" s="73"/>
      <c r="AT36" s="73"/>
      <c r="AU36" s="73"/>
      <c r="AV36" s="18"/>
      <c r="AW36" s="73"/>
      <c r="AX36" s="73"/>
      <c r="AY36" s="73"/>
      <c r="AZ36" s="73"/>
      <c r="BA36" s="18"/>
    </row>
    <row r="37" spans="2:53" ht="15.75" x14ac:dyDescent="0.25">
      <c r="B37" s="332" t="s">
        <v>109</v>
      </c>
      <c r="C37" s="333"/>
      <c r="D37" s="43" t="s">
        <v>135</v>
      </c>
      <c r="E37" s="43" t="s">
        <v>136</v>
      </c>
      <c r="F37" s="43" t="s">
        <v>137</v>
      </c>
      <c r="G37" s="43" t="s">
        <v>138</v>
      </c>
      <c r="H37" s="128" t="s">
        <v>138</v>
      </c>
      <c r="I37" s="43" t="s">
        <v>122</v>
      </c>
      <c r="J37" s="43" t="s">
        <v>127</v>
      </c>
      <c r="K37" s="43" t="s">
        <v>128</v>
      </c>
      <c r="L37" s="43" t="s">
        <v>129</v>
      </c>
      <c r="M37" s="128" t="s">
        <v>129</v>
      </c>
      <c r="N37" s="43" t="s">
        <v>124</v>
      </c>
      <c r="O37" s="43" t="s">
        <v>123</v>
      </c>
      <c r="P37" s="43" t="s">
        <v>125</v>
      </c>
      <c r="Q37" s="43" t="s">
        <v>126</v>
      </c>
      <c r="R37" s="128" t="s">
        <v>126</v>
      </c>
      <c r="S37" s="43" t="s">
        <v>144</v>
      </c>
      <c r="T37" s="43" t="s">
        <v>145</v>
      </c>
      <c r="U37" s="43" t="s">
        <v>146</v>
      </c>
      <c r="V37" s="45" t="s">
        <v>147</v>
      </c>
      <c r="W37" s="130" t="s">
        <v>147</v>
      </c>
      <c r="X37" s="45" t="s">
        <v>148</v>
      </c>
      <c r="Y37" s="45" t="s">
        <v>149</v>
      </c>
      <c r="Z37" s="45" t="s">
        <v>150</v>
      </c>
      <c r="AA37" s="45" t="s">
        <v>151</v>
      </c>
      <c r="AB37" s="130" t="s">
        <v>151</v>
      </c>
      <c r="AC37" s="45" t="s">
        <v>152</v>
      </c>
      <c r="AD37" s="45" t="s">
        <v>153</v>
      </c>
      <c r="AE37" s="45" t="s">
        <v>154</v>
      </c>
      <c r="AF37" s="45" t="s">
        <v>155</v>
      </c>
      <c r="AG37" s="130" t="s">
        <v>155</v>
      </c>
      <c r="AH37" s="45" t="s">
        <v>156</v>
      </c>
      <c r="AI37" s="45" t="s">
        <v>157</v>
      </c>
      <c r="AJ37" s="45" t="s">
        <v>158</v>
      </c>
      <c r="AK37" s="45" t="s">
        <v>159</v>
      </c>
      <c r="AL37" s="130" t="s">
        <v>159</v>
      </c>
      <c r="AM37" s="45" t="s">
        <v>160</v>
      </c>
      <c r="AN37" s="45" t="s">
        <v>161</v>
      </c>
      <c r="AO37" s="45" t="s">
        <v>162</v>
      </c>
      <c r="AP37" s="45" t="s">
        <v>163</v>
      </c>
      <c r="AQ37" s="130" t="s">
        <v>163</v>
      </c>
      <c r="AR37" s="45" t="s">
        <v>320</v>
      </c>
      <c r="AS37" s="45" t="s">
        <v>321</v>
      </c>
      <c r="AT37" s="45" t="s">
        <v>322</v>
      </c>
      <c r="AU37" s="45" t="s">
        <v>323</v>
      </c>
      <c r="AV37" s="130" t="s">
        <v>323</v>
      </c>
      <c r="AW37" s="45" t="s">
        <v>335</v>
      </c>
      <c r="AX37" s="45" t="s">
        <v>336</v>
      </c>
      <c r="AY37" s="45" t="s">
        <v>337</v>
      </c>
      <c r="AZ37" s="45" t="s">
        <v>338</v>
      </c>
      <c r="BA37" s="130" t="s">
        <v>338</v>
      </c>
    </row>
    <row r="38" spans="2:53" ht="17.25" x14ac:dyDescent="0.4">
      <c r="B38" s="340"/>
      <c r="C38" s="341"/>
      <c r="D38" s="44" t="s">
        <v>139</v>
      </c>
      <c r="E38" s="44" t="s">
        <v>140</v>
      </c>
      <c r="F38" s="44" t="s">
        <v>141</v>
      </c>
      <c r="G38" s="44" t="s">
        <v>142</v>
      </c>
      <c r="H38" s="129" t="s">
        <v>143</v>
      </c>
      <c r="I38" s="44" t="s">
        <v>130</v>
      </c>
      <c r="J38" s="44" t="s">
        <v>131</v>
      </c>
      <c r="K38" s="44" t="s">
        <v>132</v>
      </c>
      <c r="L38" s="44" t="s">
        <v>133</v>
      </c>
      <c r="M38" s="129" t="s">
        <v>134</v>
      </c>
      <c r="N38" s="44" t="s">
        <v>121</v>
      </c>
      <c r="O38" s="44" t="s">
        <v>120</v>
      </c>
      <c r="P38" s="44" t="s">
        <v>119</v>
      </c>
      <c r="Q38" s="44" t="s">
        <v>118</v>
      </c>
      <c r="R38" s="129" t="s">
        <v>117</v>
      </c>
      <c r="S38" s="44" t="s">
        <v>314</v>
      </c>
      <c r="T38" s="44" t="s">
        <v>317</v>
      </c>
      <c r="U38" s="44" t="s">
        <v>332</v>
      </c>
      <c r="V38" s="42" t="s">
        <v>181</v>
      </c>
      <c r="W38" s="131" t="s">
        <v>182</v>
      </c>
      <c r="X38" s="42" t="s">
        <v>183</v>
      </c>
      <c r="Y38" s="42" t="s">
        <v>184</v>
      </c>
      <c r="Z38" s="42" t="s">
        <v>185</v>
      </c>
      <c r="AA38" s="42" t="s">
        <v>186</v>
      </c>
      <c r="AB38" s="131" t="s">
        <v>187</v>
      </c>
      <c r="AC38" s="42" t="s">
        <v>188</v>
      </c>
      <c r="AD38" s="42" t="s">
        <v>189</v>
      </c>
      <c r="AE38" s="42" t="s">
        <v>190</v>
      </c>
      <c r="AF38" s="42" t="s">
        <v>191</v>
      </c>
      <c r="AG38" s="131" t="s">
        <v>192</v>
      </c>
      <c r="AH38" s="42" t="s">
        <v>193</v>
      </c>
      <c r="AI38" s="42" t="s">
        <v>194</v>
      </c>
      <c r="AJ38" s="42" t="s">
        <v>195</v>
      </c>
      <c r="AK38" s="42" t="s">
        <v>196</v>
      </c>
      <c r="AL38" s="131" t="s">
        <v>197</v>
      </c>
      <c r="AM38" s="42" t="s">
        <v>198</v>
      </c>
      <c r="AN38" s="42" t="s">
        <v>199</v>
      </c>
      <c r="AO38" s="42" t="s">
        <v>200</v>
      </c>
      <c r="AP38" s="42" t="s">
        <v>201</v>
      </c>
      <c r="AQ38" s="131" t="s">
        <v>202</v>
      </c>
      <c r="AR38" s="42" t="s">
        <v>324</v>
      </c>
      <c r="AS38" s="42" t="s">
        <v>325</v>
      </c>
      <c r="AT38" s="42" t="s">
        <v>326</v>
      </c>
      <c r="AU38" s="42" t="s">
        <v>327</v>
      </c>
      <c r="AV38" s="131" t="s">
        <v>328</v>
      </c>
      <c r="AW38" s="42" t="s">
        <v>339</v>
      </c>
      <c r="AX38" s="42" t="s">
        <v>340</v>
      </c>
      <c r="AY38" s="42" t="s">
        <v>341</v>
      </c>
      <c r="AZ38" s="42" t="s">
        <v>342</v>
      </c>
      <c r="BA38" s="131" t="s">
        <v>343</v>
      </c>
    </row>
    <row r="39" spans="2:53" ht="18" x14ac:dyDescent="0.4">
      <c r="B39" s="332" t="s">
        <v>286</v>
      </c>
      <c r="C39" s="333"/>
      <c r="D39" s="44"/>
      <c r="E39" s="44"/>
      <c r="F39" s="44"/>
      <c r="G39" s="44"/>
      <c r="H39" s="129"/>
      <c r="I39" s="44"/>
      <c r="J39" s="44"/>
      <c r="K39" s="44"/>
      <c r="L39" s="44"/>
      <c r="M39" s="129"/>
      <c r="N39" s="44"/>
      <c r="O39" s="44"/>
      <c r="P39" s="44"/>
      <c r="Q39" s="44"/>
      <c r="R39" s="129"/>
      <c r="S39" s="44"/>
      <c r="T39" s="44"/>
      <c r="U39" s="44"/>
      <c r="V39" s="42"/>
      <c r="W39" s="131"/>
      <c r="X39" s="42"/>
      <c r="Y39" s="42"/>
      <c r="Z39" s="42"/>
      <c r="AA39" s="42"/>
      <c r="AB39" s="131"/>
      <c r="AC39" s="42"/>
      <c r="AD39" s="42"/>
      <c r="AE39" s="42"/>
      <c r="AF39" s="42"/>
      <c r="AG39" s="131"/>
      <c r="AH39" s="42"/>
      <c r="AI39" s="42"/>
      <c r="AJ39" s="42"/>
      <c r="AK39" s="42"/>
      <c r="AL39" s="131"/>
      <c r="AM39" s="42"/>
      <c r="AN39" s="42"/>
      <c r="AO39" s="42"/>
      <c r="AP39" s="42"/>
      <c r="AQ39" s="131"/>
      <c r="AR39" s="42"/>
      <c r="AS39" s="42"/>
      <c r="AT39" s="42"/>
      <c r="AU39" s="42"/>
      <c r="AV39" s="131"/>
      <c r="AW39" s="42"/>
      <c r="AX39" s="42"/>
      <c r="AY39" s="42"/>
      <c r="AZ39" s="42"/>
      <c r="BA39" s="131"/>
    </row>
    <row r="40" spans="2:53" s="28" customFormat="1" ht="15.75" outlineLevel="1" x14ac:dyDescent="0.25">
      <c r="B40" s="106" t="s">
        <v>287</v>
      </c>
      <c r="C40" s="70"/>
      <c r="D40" s="201">
        <v>45.713999999999999</v>
      </c>
      <c r="E40" s="201">
        <v>46.003999999999998</v>
      </c>
      <c r="F40" s="201">
        <v>46.478999999999999</v>
      </c>
      <c r="G40" s="201">
        <v>47.905000000000001</v>
      </c>
      <c r="H40" s="312">
        <f>G40</f>
        <v>47.905000000000001</v>
      </c>
      <c r="I40" s="201">
        <v>49.375</v>
      </c>
      <c r="J40" s="201">
        <v>50.323</v>
      </c>
      <c r="K40" s="201">
        <v>51.344999999999999</v>
      </c>
      <c r="L40" s="201">
        <v>52.81</v>
      </c>
      <c r="M40" s="312">
        <f>L40</f>
        <v>52.81</v>
      </c>
      <c r="N40" s="201">
        <v>55.087000000000003</v>
      </c>
      <c r="O40" s="201">
        <v>55.959000000000003</v>
      </c>
      <c r="P40" s="201">
        <v>56.957000000000001</v>
      </c>
      <c r="Q40" s="201">
        <v>58.485999999999997</v>
      </c>
      <c r="R40" s="312">
        <f>Q40</f>
        <v>58.485999999999997</v>
      </c>
      <c r="S40" s="201">
        <v>60.228999999999999</v>
      </c>
      <c r="T40" s="304">
        <v>60.103000000000002</v>
      </c>
      <c r="U40" s="201">
        <v>60.62</v>
      </c>
      <c r="V40" s="297">
        <f t="shared" ref="V40" si="57">+Q40*(1+V43)</f>
        <v>61.22</v>
      </c>
      <c r="W40" s="312">
        <f>V40</f>
        <v>61.22</v>
      </c>
      <c r="X40" s="201">
        <f>+S40*(1+X43)</f>
        <v>63.391022499999998</v>
      </c>
      <c r="Y40" s="201">
        <f t="shared" ref="Y40" si="58">+T40*(1+Y43)</f>
        <v>63.258407500000004</v>
      </c>
      <c r="Z40" s="201">
        <f t="shared" ref="Z40" si="59">+U40*(1+Z43)</f>
        <v>63.802549999999997</v>
      </c>
      <c r="AA40" s="201">
        <f t="shared" ref="AA40" si="60">+V40*(1+AA43)</f>
        <v>64.434049999999999</v>
      </c>
      <c r="AB40" s="312">
        <f>AA40</f>
        <v>64.434049999999999</v>
      </c>
      <c r="AC40" s="446"/>
      <c r="AD40" s="447"/>
      <c r="AE40" s="447"/>
      <c r="AF40" s="447"/>
      <c r="AG40" s="439"/>
      <c r="AH40" s="447"/>
      <c r="AI40" s="447"/>
      <c r="AJ40" s="447"/>
      <c r="AK40" s="447"/>
      <c r="AL40" s="439"/>
      <c r="AM40" s="447"/>
      <c r="AN40" s="447"/>
      <c r="AO40" s="447"/>
      <c r="AP40" s="447"/>
      <c r="AQ40" s="439"/>
      <c r="AR40" s="447"/>
      <c r="AS40" s="447"/>
      <c r="AT40" s="447"/>
      <c r="AU40" s="447"/>
      <c r="AV40" s="439"/>
      <c r="AW40" s="447"/>
      <c r="AX40" s="447"/>
      <c r="AY40" s="447"/>
      <c r="AZ40" s="447"/>
      <c r="BA40" s="439"/>
    </row>
    <row r="41" spans="2:53" ht="15.75" outlineLevel="1" x14ac:dyDescent="0.25">
      <c r="B41" s="99" t="s">
        <v>221</v>
      </c>
      <c r="C41" s="179"/>
      <c r="D41" s="200">
        <v>2.3130000000000002</v>
      </c>
      <c r="E41" s="200">
        <v>0.28999999999999998</v>
      </c>
      <c r="F41" s="200">
        <v>0.47499999999999998</v>
      </c>
      <c r="G41" s="200">
        <v>1.4259999999999999</v>
      </c>
      <c r="H41" s="26"/>
      <c r="I41" s="200">
        <v>1.47</v>
      </c>
      <c r="J41" s="200">
        <v>0.94799999999999995</v>
      </c>
      <c r="K41" s="200">
        <v>1.022</v>
      </c>
      <c r="L41" s="200">
        <v>1.4650000000000001</v>
      </c>
      <c r="M41" s="26"/>
      <c r="N41" s="200">
        <v>2.2770000000000001</v>
      </c>
      <c r="O41" s="200">
        <v>0.872</v>
      </c>
      <c r="P41" s="200">
        <v>0.998</v>
      </c>
      <c r="Q41" s="200">
        <v>1.5289999999999999</v>
      </c>
      <c r="R41" s="26"/>
      <c r="S41" s="291">
        <v>1.7430000000000001</v>
      </c>
      <c r="T41" s="291">
        <f>+T40-S40</f>
        <v>-0.12599999999999767</v>
      </c>
      <c r="U41" s="200">
        <v>0.51700000000000002</v>
      </c>
      <c r="V41" s="230">
        <f t="shared" ref="V41" si="61">+V40-U40</f>
        <v>0.60000000000000142</v>
      </c>
      <c r="W41" s="26"/>
      <c r="X41" s="200">
        <f>+X40-V40</f>
        <v>2.1710224999999994</v>
      </c>
      <c r="Y41" s="200">
        <f>+Y40-X40</f>
        <v>-0.13261499999999415</v>
      </c>
      <c r="Z41" s="200">
        <f t="shared" ref="Z41" si="62">+Z40-Y40</f>
        <v>0.54414249999999242</v>
      </c>
      <c r="AA41" s="200">
        <f t="shared" ref="AA41" si="63">+AA40-Z40</f>
        <v>0.63150000000000261</v>
      </c>
      <c r="AB41" s="26"/>
      <c r="AC41" s="448"/>
      <c r="AD41" s="449"/>
      <c r="AE41" s="449"/>
      <c r="AF41" s="449"/>
      <c r="AG41" s="440"/>
      <c r="AH41" s="449"/>
      <c r="AI41" s="449"/>
      <c r="AJ41" s="449"/>
      <c r="AK41" s="449"/>
      <c r="AL41" s="440"/>
      <c r="AM41" s="449"/>
      <c r="AN41" s="449"/>
      <c r="AO41" s="449"/>
      <c r="AP41" s="449"/>
      <c r="AQ41" s="440"/>
      <c r="AR41" s="449"/>
      <c r="AS41" s="449"/>
      <c r="AT41" s="449"/>
      <c r="AU41" s="449"/>
      <c r="AV41" s="440"/>
      <c r="AW41" s="449"/>
      <c r="AX41" s="449"/>
      <c r="AY41" s="449"/>
      <c r="AZ41" s="449"/>
      <c r="BA41" s="440"/>
    </row>
    <row r="42" spans="2:53" ht="18" outlineLevel="1" x14ac:dyDescent="0.4">
      <c r="B42" s="99" t="s">
        <v>211</v>
      </c>
      <c r="C42" s="179"/>
      <c r="D42" s="205">
        <v>1.2529999999999999</v>
      </c>
      <c r="E42" s="205">
        <v>1.125</v>
      </c>
      <c r="F42" s="205">
        <v>1.018</v>
      </c>
      <c r="G42" s="205">
        <v>1.526</v>
      </c>
      <c r="H42" s="26"/>
      <c r="I42" s="205">
        <v>1.4790000000000001</v>
      </c>
      <c r="J42" s="205">
        <v>1.5980000000000001</v>
      </c>
      <c r="K42" s="205">
        <v>1.427</v>
      </c>
      <c r="L42" s="205">
        <v>1.94</v>
      </c>
      <c r="M42" s="26"/>
      <c r="N42" s="205">
        <v>1.6180000000000001</v>
      </c>
      <c r="O42" s="205">
        <v>1.42</v>
      </c>
      <c r="P42" s="205">
        <v>1.5069999999999999</v>
      </c>
      <c r="Q42" s="205">
        <v>2.0649999999999999</v>
      </c>
      <c r="R42" s="26"/>
      <c r="S42" s="205">
        <v>1.5629999999999999</v>
      </c>
      <c r="T42" s="205">
        <v>1.575</v>
      </c>
      <c r="U42" s="205">
        <v>1.375</v>
      </c>
      <c r="V42" s="205"/>
      <c r="W42" s="26"/>
      <c r="X42" s="205"/>
      <c r="Y42" s="205"/>
      <c r="Z42" s="205"/>
      <c r="AA42" s="205"/>
      <c r="AB42" s="26"/>
      <c r="AC42" s="450"/>
      <c r="AD42" s="451"/>
      <c r="AE42" s="451"/>
      <c r="AF42" s="451"/>
      <c r="AG42" s="440"/>
      <c r="AH42" s="451"/>
      <c r="AI42" s="451"/>
      <c r="AJ42" s="451"/>
      <c r="AK42" s="451"/>
      <c r="AL42" s="440"/>
      <c r="AM42" s="451"/>
      <c r="AN42" s="451"/>
      <c r="AO42" s="451"/>
      <c r="AP42" s="451"/>
      <c r="AQ42" s="440"/>
      <c r="AR42" s="451"/>
      <c r="AS42" s="451"/>
      <c r="AT42" s="451"/>
      <c r="AU42" s="451"/>
      <c r="AV42" s="440"/>
      <c r="AW42" s="451"/>
      <c r="AX42" s="451"/>
      <c r="AY42" s="451"/>
      <c r="AZ42" s="451"/>
      <c r="BA42" s="440"/>
    </row>
    <row r="43" spans="2:53" s="28" customFormat="1" ht="18" outlineLevel="1" x14ac:dyDescent="0.4">
      <c r="B43" s="101" t="s">
        <v>217</v>
      </c>
      <c r="C43" s="70"/>
      <c r="D43" s="57"/>
      <c r="E43" s="57"/>
      <c r="F43" s="57"/>
      <c r="G43" s="57"/>
      <c r="H43" s="203"/>
      <c r="I43" s="204">
        <f>+I40/D40-1</f>
        <v>8.0084875530472166E-2</v>
      </c>
      <c r="J43" s="204">
        <f t="shared" ref="J43:L43" si="64">+J40/E40-1</f>
        <v>9.3883140596469961E-2</v>
      </c>
      <c r="K43" s="204">
        <f t="shared" si="64"/>
        <v>0.10469244174788606</v>
      </c>
      <c r="L43" s="204">
        <f t="shared" si="64"/>
        <v>0.10239014716626649</v>
      </c>
      <c r="M43" s="203"/>
      <c r="N43" s="204">
        <f>+N40/I40-1</f>
        <v>0.1156860759493672</v>
      </c>
      <c r="O43" s="204">
        <f t="shared" ref="O43" si="65">+O40/J40-1</f>
        <v>0.11199650259324767</v>
      </c>
      <c r="P43" s="204">
        <f t="shared" ref="P43" si="66">+P40/K40-1</f>
        <v>0.10929983445320879</v>
      </c>
      <c r="Q43" s="204">
        <f t="shared" ref="Q43" si="67">+Q40/L40-1</f>
        <v>0.10747964400681687</v>
      </c>
      <c r="R43" s="203"/>
      <c r="S43" s="204">
        <f>+S40/N40-1</f>
        <v>9.3343257029789184E-2</v>
      </c>
      <c r="T43" s="303">
        <f>+T40/O40-1</f>
        <v>7.4054218266945471E-2</v>
      </c>
      <c r="U43" s="204">
        <f t="shared" ref="U43" si="68">+U40/P40-1</f>
        <v>6.4311673718770335E-2</v>
      </c>
      <c r="V43" s="210">
        <v>4.6746229866976741E-2</v>
      </c>
      <c r="W43" s="203"/>
      <c r="X43" s="210">
        <v>5.2499999999999998E-2</v>
      </c>
      <c r="Y43" s="210">
        <v>5.2499999999999998E-2</v>
      </c>
      <c r="Z43" s="210">
        <v>5.2499999999999998E-2</v>
      </c>
      <c r="AA43" s="210">
        <v>5.2499999999999998E-2</v>
      </c>
      <c r="AB43" s="203"/>
      <c r="AC43" s="452"/>
      <c r="AD43" s="398" t="s">
        <v>344</v>
      </c>
      <c r="AE43" s="400"/>
      <c r="AF43" s="423"/>
      <c r="AG43" s="282"/>
      <c r="AH43" s="423"/>
      <c r="AI43" s="398" t="s">
        <v>344</v>
      </c>
      <c r="AJ43" s="400"/>
      <c r="AK43" s="424"/>
      <c r="AL43" s="282"/>
      <c r="AM43" s="424"/>
      <c r="AN43" s="398" t="s">
        <v>344</v>
      </c>
      <c r="AO43" s="400"/>
      <c r="AP43" s="424"/>
      <c r="AQ43" s="55"/>
      <c r="AR43" s="424"/>
      <c r="AS43" s="398" t="s">
        <v>344</v>
      </c>
      <c r="AT43" s="400"/>
      <c r="AU43" s="424"/>
      <c r="AV43" s="55"/>
      <c r="AW43" s="424"/>
      <c r="AX43" s="398" t="s">
        <v>344</v>
      </c>
      <c r="AY43" s="400"/>
      <c r="AZ43" s="453"/>
      <c r="BA43" s="441"/>
    </row>
    <row r="44" spans="2:53" ht="15.75" outlineLevel="1" x14ac:dyDescent="0.25">
      <c r="B44" s="108" t="s">
        <v>209</v>
      </c>
      <c r="C44" s="179"/>
      <c r="D44" s="46"/>
      <c r="E44" s="46">
        <f>+AVERAGE(E40,D40)</f>
        <v>45.858999999999995</v>
      </c>
      <c r="F44" s="46">
        <f t="shared" ref="F44:G44" si="69">+AVERAGE(F40,E40)</f>
        <v>46.241500000000002</v>
      </c>
      <c r="G44" s="46">
        <f t="shared" si="69"/>
        <v>47.192</v>
      </c>
      <c r="H44" s="26"/>
      <c r="I44" s="191">
        <f>+AVERAGE(I40,G40)</f>
        <v>48.64</v>
      </c>
      <c r="J44" s="46">
        <f>+AVERAGE(J40,I40)</f>
        <v>49.849000000000004</v>
      </c>
      <c r="K44" s="46">
        <f t="shared" ref="K44:L44" si="70">+AVERAGE(K40,J40)</f>
        <v>50.834000000000003</v>
      </c>
      <c r="L44" s="46">
        <f t="shared" si="70"/>
        <v>52.077500000000001</v>
      </c>
      <c r="M44" s="26"/>
      <c r="N44" s="233">
        <f>+AVERAGE(N40,L40)</f>
        <v>53.948500000000003</v>
      </c>
      <c r="O44" s="200">
        <f>+AVERAGE(O40,N40)</f>
        <v>55.523000000000003</v>
      </c>
      <c r="P44" s="200">
        <f t="shared" ref="P44:Q44" si="71">+AVERAGE(P40,O40)</f>
        <v>56.457999999999998</v>
      </c>
      <c r="Q44" s="200">
        <f t="shared" si="71"/>
        <v>57.721499999999999</v>
      </c>
      <c r="R44" s="26"/>
      <c r="S44" s="233">
        <f>+AVERAGE(S40,Q40)</f>
        <v>59.357500000000002</v>
      </c>
      <c r="T44" s="200">
        <f>+AVERAGE(T40,S40)</f>
        <v>60.165999999999997</v>
      </c>
      <c r="U44" s="200">
        <f t="shared" ref="U44:V44" si="72">+AVERAGE(U40,T40)</f>
        <v>60.361499999999999</v>
      </c>
      <c r="V44" s="200">
        <f t="shared" si="72"/>
        <v>60.92</v>
      </c>
      <c r="W44" s="26"/>
      <c r="X44" s="233">
        <f>+AVERAGE(X40,V40)</f>
        <v>62.305511249999995</v>
      </c>
      <c r="Y44" s="200">
        <f>+AVERAGE(Y40,X40)</f>
        <v>63.324714999999998</v>
      </c>
      <c r="Z44" s="200">
        <f t="shared" ref="Z44:AA44" si="73">+AVERAGE(Z40,Y40)</f>
        <v>63.53047875</v>
      </c>
      <c r="AA44" s="200">
        <f t="shared" si="73"/>
        <v>64.118300000000005</v>
      </c>
      <c r="AB44" s="26"/>
      <c r="AC44" s="454"/>
      <c r="AD44" s="401"/>
      <c r="AE44" s="403"/>
      <c r="AF44" s="417"/>
      <c r="AG44" s="278"/>
      <c r="AH44" s="417"/>
      <c r="AI44" s="401"/>
      <c r="AJ44" s="403"/>
      <c r="AK44" s="418"/>
      <c r="AL44" s="278"/>
      <c r="AM44" s="418"/>
      <c r="AN44" s="401"/>
      <c r="AO44" s="403"/>
      <c r="AP44" s="418"/>
      <c r="AQ44" s="58"/>
      <c r="AR44" s="418"/>
      <c r="AS44" s="401"/>
      <c r="AT44" s="403"/>
      <c r="AU44" s="418"/>
      <c r="AV44" s="58"/>
      <c r="AW44" s="418"/>
      <c r="AX44" s="401"/>
      <c r="AY44" s="403"/>
      <c r="AZ44" s="411"/>
      <c r="BA44" s="440"/>
    </row>
    <row r="45" spans="2:53" s="28" customFormat="1" outlineLevel="1" x14ac:dyDescent="0.25">
      <c r="B45" s="199" t="s">
        <v>213</v>
      </c>
      <c r="C45" s="53"/>
      <c r="D45" s="57">
        <v>1161.241</v>
      </c>
      <c r="E45" s="57">
        <v>1208.271</v>
      </c>
      <c r="F45" s="57">
        <v>1304.3330000000001</v>
      </c>
      <c r="G45" s="57">
        <v>1403.462</v>
      </c>
      <c r="H45" s="310">
        <f>SUM(D45:G45)</f>
        <v>5077.3069999999998</v>
      </c>
      <c r="I45" s="57">
        <v>1470.0419999999999</v>
      </c>
      <c r="J45" s="57">
        <v>1505.499</v>
      </c>
      <c r="K45" s="57">
        <v>1547.21</v>
      </c>
      <c r="L45" s="57">
        <v>1630.2739999999999</v>
      </c>
      <c r="M45" s="310">
        <f>SUM(I45:L45)</f>
        <v>6153.0249999999996</v>
      </c>
      <c r="N45" s="57">
        <v>1820.019</v>
      </c>
      <c r="O45" s="57">
        <v>1893.222</v>
      </c>
      <c r="P45" s="57">
        <v>1937.3140000000001</v>
      </c>
      <c r="Q45" s="57">
        <v>1996.0920000000001</v>
      </c>
      <c r="R45" s="310">
        <f>SUM(N45:Q45)</f>
        <v>7646.6470000000008</v>
      </c>
      <c r="S45" s="57">
        <v>2073.5549999999998</v>
      </c>
      <c r="T45" s="269">
        <v>2299.1889999999999</v>
      </c>
      <c r="U45" s="57">
        <v>2412.598</v>
      </c>
      <c r="V45" s="232">
        <f t="shared" ref="V45" si="74">+V46*V44</f>
        <v>2455</v>
      </c>
      <c r="W45" s="310">
        <f>SUM(S45:V45)</f>
        <v>9240.3420000000006</v>
      </c>
      <c r="X45" s="57">
        <f>+X46*X44</f>
        <v>2514.0273789375001</v>
      </c>
      <c r="Y45" s="57">
        <f t="shared" ref="Y45" si="75">+Y46*Y44</f>
        <v>2564.6509575</v>
      </c>
      <c r="Z45" s="57">
        <f t="shared" ref="Z45" si="76">+Z46*Z44</f>
        <v>2588.8670090625001</v>
      </c>
      <c r="AA45" s="57">
        <f t="shared" ref="AA45" si="77">+AA46*AA44</f>
        <v>2619.8737380000002</v>
      </c>
      <c r="AB45" s="310">
        <f>SUM(X45:AA45)</f>
        <v>10287.419083500001</v>
      </c>
      <c r="AC45" s="416"/>
      <c r="AD45" s="401"/>
      <c r="AE45" s="403"/>
      <c r="AF45" s="426"/>
      <c r="AG45" s="427"/>
      <c r="AH45" s="426"/>
      <c r="AI45" s="401"/>
      <c r="AJ45" s="403"/>
      <c r="AK45" s="428"/>
      <c r="AL45" s="427"/>
      <c r="AM45" s="428"/>
      <c r="AN45" s="401"/>
      <c r="AO45" s="403"/>
      <c r="AP45" s="428"/>
      <c r="AQ45" s="429"/>
      <c r="AR45" s="428"/>
      <c r="AS45" s="401"/>
      <c r="AT45" s="403"/>
      <c r="AU45" s="428"/>
      <c r="AV45" s="429"/>
      <c r="AW45" s="428"/>
      <c r="AX45" s="401"/>
      <c r="AY45" s="403"/>
      <c r="AZ45" s="417"/>
      <c r="BA45" s="443"/>
    </row>
    <row r="46" spans="2:53" ht="17.25" outlineLevel="1" x14ac:dyDescent="0.4">
      <c r="B46" s="63" t="s">
        <v>219</v>
      </c>
      <c r="C46" s="180"/>
      <c r="D46" s="46"/>
      <c r="E46" s="89">
        <f>+E45/E44</f>
        <v>26.347521751455552</v>
      </c>
      <c r="F46" s="89">
        <f t="shared" ref="F46:Q46" si="78">+F45/F44</f>
        <v>28.206978579847107</v>
      </c>
      <c r="G46" s="89">
        <f t="shared" si="78"/>
        <v>29.739404983895575</v>
      </c>
      <c r="H46" s="311">
        <f>((D45/H45*D46)+(E45/H45*E46)+(F45/H45*F46)+(G45/H45*G46))</f>
        <v>21.736791618794911</v>
      </c>
      <c r="I46" s="89">
        <f t="shared" si="78"/>
        <v>30.222902960526312</v>
      </c>
      <c r="J46" s="89">
        <f t="shared" si="78"/>
        <v>30.201187586511264</v>
      </c>
      <c r="K46" s="89">
        <f t="shared" si="78"/>
        <v>30.436518865326356</v>
      </c>
      <c r="L46" s="89">
        <f t="shared" si="78"/>
        <v>31.304766933896595</v>
      </c>
      <c r="M46" s="311">
        <f>((I45/M45*I46)+(J45/M45*J46)+(K45/M45*K46)+(L45/M45*L46))</f>
        <v>30.557949689171764</v>
      </c>
      <c r="N46" s="89">
        <f t="shared" si="78"/>
        <v>33.736229922982105</v>
      </c>
      <c r="O46" s="89">
        <f t="shared" si="78"/>
        <v>34.097977414765047</v>
      </c>
      <c r="P46" s="89">
        <f t="shared" si="78"/>
        <v>34.314251301852707</v>
      </c>
      <c r="Q46" s="89">
        <f t="shared" si="78"/>
        <v>34.581429796522961</v>
      </c>
      <c r="R46" s="311">
        <f>((N45/R45*N46)+(O45/R45*O46)+(P45/R45*P46)+(Q45/R45*Q46))</f>
        <v>34.192871105117163</v>
      </c>
      <c r="S46" s="290">
        <f>+S45/S44</f>
        <v>34.933327717643088</v>
      </c>
      <c r="T46" s="290">
        <f>+T45/T44</f>
        <v>38.214091014858887</v>
      </c>
      <c r="U46" s="89">
        <f t="shared" ref="U46" si="79">+U45/U44</f>
        <v>39.969152522717295</v>
      </c>
      <c r="V46" s="91">
        <v>40.298752462245567</v>
      </c>
      <c r="W46" s="311">
        <f>((S45/W45*S46)+(T45/W45*T46)+(U45/W45*U46)+(V45/W45*V46))</f>
        <v>38.489974591279775</v>
      </c>
      <c r="X46" s="91">
        <v>40.35</v>
      </c>
      <c r="Y46" s="91">
        <v>40.5</v>
      </c>
      <c r="Z46" s="91">
        <v>40.75</v>
      </c>
      <c r="AA46" s="91">
        <v>40.86</v>
      </c>
      <c r="AB46" s="311">
        <f>((X45/AB45*X46)+(Y45/AB45*Y46)+(Z45/AB45*Z46)+(AA45/AB45*AA46))</f>
        <v>40.617936985093863</v>
      </c>
      <c r="AC46" s="455"/>
      <c r="AD46" s="437"/>
      <c r="AE46" s="438"/>
      <c r="AF46" s="431"/>
      <c r="AG46" s="286"/>
      <c r="AH46" s="431"/>
      <c r="AI46" s="437"/>
      <c r="AJ46" s="438"/>
      <c r="AK46" s="432"/>
      <c r="AL46" s="286"/>
      <c r="AM46" s="432"/>
      <c r="AN46" s="437"/>
      <c r="AO46" s="438"/>
      <c r="AP46" s="432"/>
      <c r="AQ46" s="254"/>
      <c r="AR46" s="432"/>
      <c r="AS46" s="437"/>
      <c r="AT46" s="438"/>
      <c r="AU46" s="432"/>
      <c r="AV46" s="254"/>
      <c r="AW46" s="432"/>
      <c r="AX46" s="437"/>
      <c r="AY46" s="438"/>
      <c r="AZ46" s="456"/>
      <c r="BA46" s="311"/>
    </row>
    <row r="47" spans="2:53" s="313" customFormat="1" outlineLevel="1" x14ac:dyDescent="0.25">
      <c r="B47" s="314" t="s">
        <v>319</v>
      </c>
      <c r="C47" s="315"/>
      <c r="D47" s="316"/>
      <c r="E47" s="317">
        <f>E46/3</f>
        <v>8.7825072504851835</v>
      </c>
      <c r="F47" s="317">
        <f t="shared" ref="F47:L47" si="80">F46/3</f>
        <v>9.4023261932823683</v>
      </c>
      <c r="G47" s="317">
        <f t="shared" si="80"/>
        <v>9.913134994631859</v>
      </c>
      <c r="H47" s="318">
        <f>H46/3</f>
        <v>7.2455972062649705</v>
      </c>
      <c r="I47" s="317">
        <f t="shared" si="80"/>
        <v>10.074300986842104</v>
      </c>
      <c r="J47" s="317">
        <f t="shared" si="80"/>
        <v>10.067062528837088</v>
      </c>
      <c r="K47" s="317">
        <f t="shared" si="80"/>
        <v>10.145506288442119</v>
      </c>
      <c r="L47" s="317">
        <f t="shared" si="80"/>
        <v>10.434922311298864</v>
      </c>
      <c r="M47" s="318">
        <f>M46/3</f>
        <v>10.185983229723922</v>
      </c>
      <c r="N47" s="317">
        <f t="shared" ref="N47" si="81">N46/3</f>
        <v>11.245409974327368</v>
      </c>
      <c r="O47" s="317">
        <f t="shared" ref="O47" si="82">O46/3</f>
        <v>11.365992471588349</v>
      </c>
      <c r="P47" s="317">
        <f t="shared" ref="P47" si="83">P46/3</f>
        <v>11.438083767284235</v>
      </c>
      <c r="Q47" s="317">
        <f t="shared" ref="Q47" si="84">Q46/3</f>
        <v>11.527143265507654</v>
      </c>
      <c r="R47" s="318">
        <f>R46/3</f>
        <v>11.39762370170572</v>
      </c>
      <c r="S47" s="317">
        <f t="shared" ref="S47" si="85">S46/3</f>
        <v>11.644442572547696</v>
      </c>
      <c r="T47" s="317">
        <f t="shared" ref="T47" si="86">T46/3</f>
        <v>12.738030338286295</v>
      </c>
      <c r="U47" s="317">
        <f t="shared" ref="U47" si="87">U46/3</f>
        <v>13.323050840905765</v>
      </c>
      <c r="V47" s="317">
        <f t="shared" ref="V47" si="88">V46/3</f>
        <v>13.432917487415189</v>
      </c>
      <c r="W47" s="318">
        <f>W46/3</f>
        <v>12.829991530426591</v>
      </c>
      <c r="X47" s="317">
        <f t="shared" ref="X47" si="89">X46/3</f>
        <v>13.450000000000001</v>
      </c>
      <c r="Y47" s="317">
        <f t="shared" ref="Y47" si="90">Y46/3</f>
        <v>13.5</v>
      </c>
      <c r="Z47" s="317">
        <f t="shared" ref="Z47" si="91">Z46/3</f>
        <v>13.583333333333334</v>
      </c>
      <c r="AA47" s="317">
        <f t="shared" ref="AA47" si="92">AA46/3</f>
        <v>13.62</v>
      </c>
      <c r="AB47" s="318">
        <f>AB46/3</f>
        <v>13.539312328364622</v>
      </c>
      <c r="AC47" s="457"/>
      <c r="AD47" s="458"/>
      <c r="AE47" s="458"/>
      <c r="AF47" s="458"/>
      <c r="AG47" s="459"/>
      <c r="AH47" s="458"/>
      <c r="AI47" s="458"/>
      <c r="AJ47" s="458"/>
      <c r="AK47" s="458"/>
      <c r="AL47" s="459"/>
      <c r="AM47" s="458"/>
      <c r="AN47" s="458"/>
      <c r="AO47" s="458"/>
      <c r="AP47" s="458"/>
      <c r="AQ47" s="459"/>
      <c r="AR47" s="458"/>
      <c r="AS47" s="458"/>
      <c r="AT47" s="458"/>
      <c r="AU47" s="458"/>
      <c r="AV47" s="459"/>
      <c r="AW47" s="458"/>
      <c r="AX47" s="458"/>
      <c r="AY47" s="458"/>
      <c r="AZ47" s="458"/>
      <c r="BA47" s="459"/>
    </row>
    <row r="48" spans="2:53" outlineLevel="1" x14ac:dyDescent="0.25">
      <c r="B48" s="63" t="s">
        <v>214</v>
      </c>
      <c r="C48" s="180"/>
      <c r="D48" s="46">
        <v>687.75599999999997</v>
      </c>
      <c r="E48" s="46">
        <v>729.399</v>
      </c>
      <c r="F48" s="46">
        <v>746.22</v>
      </c>
      <c r="G48" s="46">
        <v>788.59799999999996</v>
      </c>
      <c r="H48" s="47"/>
      <c r="I48" s="46">
        <v>783.95399999999995</v>
      </c>
      <c r="J48" s="46">
        <v>868.53</v>
      </c>
      <c r="K48" s="46">
        <v>902.27499999999998</v>
      </c>
      <c r="L48" s="46">
        <v>916.1</v>
      </c>
      <c r="M48" s="29"/>
      <c r="N48" s="46">
        <v>936.48</v>
      </c>
      <c r="O48" s="46">
        <v>969.995</v>
      </c>
      <c r="P48" s="46">
        <v>1038.473</v>
      </c>
      <c r="Q48" s="46">
        <v>1093.4459999999999</v>
      </c>
      <c r="R48" s="211"/>
      <c r="S48" s="46">
        <v>1139.5350000000001</v>
      </c>
      <c r="T48" s="46">
        <v>1196.42</v>
      </c>
      <c r="U48" s="46">
        <v>1210.105</v>
      </c>
      <c r="V48" s="46">
        <f t="shared" ref="V48" si="93">+V45*(1-V49)</f>
        <v>1351.9684999999999</v>
      </c>
      <c r="W48" s="29"/>
      <c r="X48" s="46">
        <f>+X45*(1-X49)</f>
        <v>1257.01368946875</v>
      </c>
      <c r="Y48" s="46">
        <f t="shared" ref="Y48" si="94">+Y45*(1-Y49)</f>
        <v>1275.9138513562502</v>
      </c>
      <c r="Z48" s="46">
        <f t="shared" ref="Z48" si="95">+Z45*(1-Z49)</f>
        <v>1287.961337008594</v>
      </c>
      <c r="AA48" s="46">
        <f t="shared" ref="AA48" si="96">+AA45*(1-AA49)</f>
        <v>1283.7381316200001</v>
      </c>
      <c r="AB48" s="29"/>
      <c r="AC48" s="410"/>
      <c r="AD48" s="411"/>
      <c r="AE48" s="411"/>
      <c r="AF48" s="411"/>
      <c r="AG48" s="444"/>
      <c r="AH48" s="411"/>
      <c r="AI48" s="411"/>
      <c r="AJ48" s="411"/>
      <c r="AK48" s="411"/>
      <c r="AL48" s="444"/>
      <c r="AM48" s="411"/>
      <c r="AN48" s="411"/>
      <c r="AO48" s="411"/>
      <c r="AP48" s="411"/>
      <c r="AQ48" s="444"/>
      <c r="AR48" s="411"/>
      <c r="AS48" s="411"/>
      <c r="AT48" s="411"/>
      <c r="AU48" s="411"/>
      <c r="AV48" s="444"/>
      <c r="AW48" s="411"/>
      <c r="AX48" s="411"/>
      <c r="AY48" s="411"/>
      <c r="AZ48" s="411"/>
      <c r="BA48" s="444"/>
    </row>
    <row r="49" spans="2:53" s="28" customFormat="1" outlineLevel="1" x14ac:dyDescent="0.25">
      <c r="B49" s="110" t="s">
        <v>215</v>
      </c>
      <c r="C49" s="53"/>
      <c r="D49" s="204">
        <f>+(D45-D48)/D45</f>
        <v>0.40774051209008294</v>
      </c>
      <c r="E49" s="204">
        <f t="shared" ref="E49:U49" si="97">+(E45-E48)/E45</f>
        <v>0.39632830714301676</v>
      </c>
      <c r="F49" s="204">
        <f t="shared" si="97"/>
        <v>0.42789149703334961</v>
      </c>
      <c r="G49" s="204">
        <f t="shared" si="97"/>
        <v>0.43810519985578522</v>
      </c>
      <c r="H49" s="207"/>
      <c r="I49" s="204">
        <f t="shared" si="97"/>
        <v>0.4667131959495035</v>
      </c>
      <c r="J49" s="204">
        <f t="shared" si="97"/>
        <v>0.42309493397205844</v>
      </c>
      <c r="K49" s="204">
        <f t="shared" si="97"/>
        <v>0.41683740410157644</v>
      </c>
      <c r="L49" s="204">
        <f t="shared" si="97"/>
        <v>0.43806991953499835</v>
      </c>
      <c r="M49" s="207"/>
      <c r="N49" s="204">
        <f t="shared" si="97"/>
        <v>0.48545592106456031</v>
      </c>
      <c r="O49" s="204">
        <f t="shared" si="97"/>
        <v>0.48764856947574031</v>
      </c>
      <c r="P49" s="204">
        <f t="shared" si="97"/>
        <v>0.46396247588155565</v>
      </c>
      <c r="Q49" s="204">
        <f t="shared" si="97"/>
        <v>0.4522066117192996</v>
      </c>
      <c r="R49" s="181"/>
      <c r="S49" s="204">
        <f t="shared" si="97"/>
        <v>0.4504438030339199</v>
      </c>
      <c r="T49" s="204">
        <f t="shared" si="97"/>
        <v>0.47963390569457309</v>
      </c>
      <c r="U49" s="204">
        <f t="shared" si="97"/>
        <v>0.49842244750265063</v>
      </c>
      <c r="V49" s="210">
        <v>0.44929999999999998</v>
      </c>
      <c r="W49" s="181"/>
      <c r="X49" s="210">
        <v>0.5</v>
      </c>
      <c r="Y49" s="210">
        <v>0.50249999999999995</v>
      </c>
      <c r="Z49" s="210">
        <v>0.50249999999999995</v>
      </c>
      <c r="AA49" s="210">
        <v>0.51</v>
      </c>
      <c r="AB49" s="181"/>
      <c r="AC49" s="452"/>
      <c r="AD49" s="453"/>
      <c r="AE49" s="453"/>
      <c r="AF49" s="453"/>
      <c r="AG49" s="445"/>
      <c r="AH49" s="453"/>
      <c r="AI49" s="453"/>
      <c r="AJ49" s="453"/>
      <c r="AK49" s="453"/>
      <c r="AL49" s="445"/>
      <c r="AM49" s="453"/>
      <c r="AN49" s="453"/>
      <c r="AO49" s="453"/>
      <c r="AP49" s="453"/>
      <c r="AQ49" s="445"/>
      <c r="AR49" s="453"/>
      <c r="AS49" s="453"/>
      <c r="AT49" s="453"/>
      <c r="AU49" s="453"/>
      <c r="AV49" s="445"/>
      <c r="AW49" s="453"/>
      <c r="AX49" s="453"/>
      <c r="AY49" s="453"/>
      <c r="AZ49" s="453"/>
      <c r="BA49" s="445"/>
    </row>
    <row r="50" spans="2:53" outlineLevel="1" x14ac:dyDescent="0.25">
      <c r="B50" s="63" t="s">
        <v>216</v>
      </c>
      <c r="C50" s="180"/>
      <c r="D50" s="46">
        <v>88.573999999999998</v>
      </c>
      <c r="E50" s="46">
        <v>93.751000000000005</v>
      </c>
      <c r="F50" s="46">
        <v>116.687</v>
      </c>
      <c r="G50" s="46">
        <v>113.916</v>
      </c>
      <c r="H50" s="47"/>
      <c r="I50" s="46">
        <v>126.253</v>
      </c>
      <c r="J50" s="46">
        <v>124.90300000000001</v>
      </c>
      <c r="K50" s="46">
        <v>141.53299999999999</v>
      </c>
      <c r="L50" s="46">
        <v>211.05699999999999</v>
      </c>
      <c r="M50" s="26"/>
      <c r="N50" s="46">
        <v>250.71899999999999</v>
      </c>
      <c r="O50" s="46">
        <v>251.298</v>
      </c>
      <c r="P50" s="46">
        <v>210.595</v>
      </c>
      <c r="Q50" s="46">
        <v>312.73899999999998</v>
      </c>
      <c r="R50" s="26"/>
      <c r="S50" s="46">
        <v>221.04599999999999</v>
      </c>
      <c r="T50" s="46">
        <v>250.60599999999999</v>
      </c>
      <c r="U50" s="46">
        <v>211.79300000000001</v>
      </c>
      <c r="V50" s="46">
        <f t="shared" ref="V50" si="98">+V51*V44</f>
        <v>325.92199999999997</v>
      </c>
      <c r="W50" s="26"/>
      <c r="X50" s="46">
        <f>+X51*X44</f>
        <v>249.22204499999998</v>
      </c>
      <c r="Y50" s="46">
        <f t="shared" ref="Y50" si="99">+Y51*Y44</f>
        <v>253.29885999999999</v>
      </c>
      <c r="Z50" s="46">
        <f t="shared" ref="Z50" si="100">+Z51*Z44</f>
        <v>238.23929531249999</v>
      </c>
      <c r="AA50" s="46">
        <f t="shared" ref="AA50" si="101">+AA51*AA44</f>
        <v>240.44362500000003</v>
      </c>
      <c r="AB50" s="26"/>
      <c r="AC50" s="410"/>
      <c r="AD50" s="411"/>
      <c r="AE50" s="411"/>
      <c r="AF50" s="411"/>
      <c r="AG50" s="440"/>
      <c r="AH50" s="411"/>
      <c r="AI50" s="411"/>
      <c r="AJ50" s="411"/>
      <c r="AK50" s="411"/>
      <c r="AL50" s="440"/>
      <c r="AM50" s="411"/>
      <c r="AN50" s="411"/>
      <c r="AO50" s="411"/>
      <c r="AP50" s="411"/>
      <c r="AQ50" s="440"/>
      <c r="AR50" s="411"/>
      <c r="AS50" s="411"/>
      <c r="AT50" s="411"/>
      <c r="AU50" s="411"/>
      <c r="AV50" s="440"/>
      <c r="AW50" s="411"/>
      <c r="AX50" s="411"/>
      <c r="AY50" s="411"/>
      <c r="AZ50" s="411"/>
      <c r="BA50" s="440"/>
    </row>
    <row r="51" spans="2:53" outlineLevel="1" x14ac:dyDescent="0.25">
      <c r="B51" s="108" t="s">
        <v>218</v>
      </c>
      <c r="C51" s="180"/>
      <c r="D51" s="46"/>
      <c r="E51" s="89">
        <f>+E50/E44</f>
        <v>2.0443315379750979</v>
      </c>
      <c r="F51" s="89">
        <f t="shared" ref="F51:U51" si="102">+F50/F44</f>
        <v>2.5234259269271107</v>
      </c>
      <c r="G51" s="89">
        <f t="shared" si="102"/>
        <v>2.4138837091032377</v>
      </c>
      <c r="H51" s="92"/>
      <c r="I51" s="89">
        <f t="shared" si="102"/>
        <v>2.5956620065789475</v>
      </c>
      <c r="J51" s="89">
        <f t="shared" si="102"/>
        <v>2.5056269935204316</v>
      </c>
      <c r="K51" s="89">
        <f t="shared" si="102"/>
        <v>2.7842192233544476</v>
      </c>
      <c r="L51" s="89">
        <f t="shared" si="102"/>
        <v>4.0527483078104742</v>
      </c>
      <c r="M51" s="92"/>
      <c r="N51" s="89">
        <f t="shared" si="102"/>
        <v>4.6473766647821533</v>
      </c>
      <c r="O51" s="89">
        <f t="shared" si="102"/>
        <v>4.526016245519874</v>
      </c>
      <c r="P51" s="89">
        <f t="shared" si="102"/>
        <v>3.7301179637960962</v>
      </c>
      <c r="Q51" s="89">
        <f t="shared" si="102"/>
        <v>5.4180677910310715</v>
      </c>
      <c r="R51" s="26"/>
      <c r="S51" s="89">
        <f t="shared" si="102"/>
        <v>3.723977593395948</v>
      </c>
      <c r="T51" s="89">
        <f t="shared" si="102"/>
        <v>4.1652428281753817</v>
      </c>
      <c r="U51" s="89">
        <f t="shared" si="102"/>
        <v>3.5087431558195208</v>
      </c>
      <c r="V51" s="91">
        <v>5.35</v>
      </c>
      <c r="W51" s="26"/>
      <c r="X51" s="91">
        <v>4</v>
      </c>
      <c r="Y51" s="91">
        <v>4</v>
      </c>
      <c r="Z51" s="91">
        <v>3.75</v>
      </c>
      <c r="AA51" s="91">
        <v>3.75</v>
      </c>
      <c r="AB51" s="26"/>
      <c r="AC51" s="455"/>
      <c r="AD51" s="456"/>
      <c r="AE51" s="456"/>
      <c r="AF51" s="456"/>
      <c r="AG51" s="440"/>
      <c r="AH51" s="456"/>
      <c r="AI51" s="456"/>
      <c r="AJ51" s="456"/>
      <c r="AK51" s="456"/>
      <c r="AL51" s="440"/>
      <c r="AM51" s="456"/>
      <c r="AN51" s="456"/>
      <c r="AO51" s="456"/>
      <c r="AP51" s="456"/>
      <c r="AQ51" s="440"/>
      <c r="AR51" s="456"/>
      <c r="AS51" s="456"/>
      <c r="AT51" s="456"/>
      <c r="AU51" s="456"/>
      <c r="AV51" s="440"/>
      <c r="AW51" s="456"/>
      <c r="AX51" s="456"/>
      <c r="AY51" s="456"/>
      <c r="AZ51" s="456"/>
      <c r="BA51" s="440"/>
    </row>
    <row r="52" spans="2:53" outlineLevel="1" x14ac:dyDescent="0.25">
      <c r="B52" s="178" t="s">
        <v>288</v>
      </c>
      <c r="C52" s="180"/>
      <c r="D52" s="46">
        <f>+D45-D48-D50</f>
        <v>384.911</v>
      </c>
      <c r="E52" s="46">
        <f>+E45-E48-E50</f>
        <v>385.12099999999998</v>
      </c>
      <c r="F52" s="46">
        <f t="shared" ref="F52:Q52" si="103">+F45-F48-F50</f>
        <v>441.42600000000004</v>
      </c>
      <c r="G52" s="46">
        <f t="shared" si="103"/>
        <v>500.94800000000004</v>
      </c>
      <c r="H52" s="47"/>
      <c r="I52" s="46">
        <f t="shared" si="103"/>
        <v>559.83499999999992</v>
      </c>
      <c r="J52" s="46">
        <f t="shared" si="103"/>
        <v>512.06600000000003</v>
      </c>
      <c r="K52" s="46">
        <f t="shared" si="103"/>
        <v>503.40200000000004</v>
      </c>
      <c r="L52" s="46">
        <f t="shared" si="103"/>
        <v>503.11699999999985</v>
      </c>
      <c r="M52" s="47"/>
      <c r="N52" s="46">
        <f t="shared" si="103"/>
        <v>632.81999999999994</v>
      </c>
      <c r="O52" s="46">
        <f t="shared" si="103"/>
        <v>671.92899999999997</v>
      </c>
      <c r="P52" s="46">
        <f t="shared" si="103"/>
        <v>688.24600000000009</v>
      </c>
      <c r="Q52" s="46">
        <f t="shared" si="103"/>
        <v>589.90700000000015</v>
      </c>
      <c r="R52" s="26"/>
      <c r="S52" s="46">
        <f t="shared" ref="S52:V52" si="104">+S45-S48-S50</f>
        <v>712.97399999999971</v>
      </c>
      <c r="T52" s="275">
        <f t="shared" si="104"/>
        <v>852.16299999999978</v>
      </c>
      <c r="U52" s="46">
        <f t="shared" si="104"/>
        <v>990.69999999999993</v>
      </c>
      <c r="V52" s="231">
        <f t="shared" si="104"/>
        <v>777.10950000000003</v>
      </c>
      <c r="W52" s="26"/>
      <c r="X52" s="46">
        <f t="shared" ref="X52:AA52" si="105">+X45-X48-X50</f>
        <v>1007.7916444687501</v>
      </c>
      <c r="Y52" s="46">
        <f t="shared" si="105"/>
        <v>1035.4382461437499</v>
      </c>
      <c r="Z52" s="46">
        <f t="shared" si="105"/>
        <v>1062.6663767414061</v>
      </c>
      <c r="AA52" s="46">
        <f t="shared" si="105"/>
        <v>1095.69198138</v>
      </c>
      <c r="AB52" s="26"/>
      <c r="AC52" s="410"/>
      <c r="AD52" s="411"/>
      <c r="AE52" s="411"/>
      <c r="AF52" s="411"/>
      <c r="AG52" s="440"/>
      <c r="AH52" s="411"/>
      <c r="AI52" s="411"/>
      <c r="AJ52" s="411"/>
      <c r="AK52" s="411"/>
      <c r="AL52" s="440"/>
      <c r="AM52" s="411"/>
      <c r="AN52" s="411"/>
      <c r="AO52" s="411"/>
      <c r="AP52" s="411"/>
      <c r="AQ52" s="440"/>
      <c r="AR52" s="411"/>
      <c r="AS52" s="411"/>
      <c r="AT52" s="411"/>
      <c r="AU52" s="411"/>
      <c r="AV52" s="440"/>
      <c r="AW52" s="411"/>
      <c r="AX52" s="411"/>
      <c r="AY52" s="411"/>
      <c r="AZ52" s="411"/>
      <c r="BA52" s="440"/>
    </row>
    <row r="53" spans="2:53" s="28" customFormat="1" outlineLevel="1" x14ac:dyDescent="0.25">
      <c r="B53" s="178" t="s">
        <v>289</v>
      </c>
      <c r="C53" s="53"/>
      <c r="D53" s="204">
        <f>+D52/D45</f>
        <v>0.33146521695324227</v>
      </c>
      <c r="E53" s="204">
        <f>+E52/E45</f>
        <v>0.31873727003296448</v>
      </c>
      <c r="F53" s="204">
        <f t="shared" ref="F53:Q53" si="106">+F52/F45</f>
        <v>0.33843044682607892</v>
      </c>
      <c r="G53" s="204">
        <f t="shared" si="106"/>
        <v>0.35693734493702006</v>
      </c>
      <c r="H53" s="207"/>
      <c r="I53" s="204">
        <f t="shared" si="106"/>
        <v>0.38082925521855837</v>
      </c>
      <c r="J53" s="204">
        <f t="shared" si="106"/>
        <v>0.34013041523109616</v>
      </c>
      <c r="K53" s="204">
        <f t="shared" si="106"/>
        <v>0.32536113391200938</v>
      </c>
      <c r="L53" s="204">
        <f t="shared" si="106"/>
        <v>0.30860885961500945</v>
      </c>
      <c r="M53" s="207"/>
      <c r="N53" s="204">
        <f t="shared" si="106"/>
        <v>0.34769966687160953</v>
      </c>
      <c r="O53" s="204">
        <f t="shared" si="106"/>
        <v>0.35491294734584744</v>
      </c>
      <c r="P53" s="204">
        <f t="shared" si="106"/>
        <v>0.35525784668876603</v>
      </c>
      <c r="Q53" s="204">
        <f t="shared" si="106"/>
        <v>0.29553096751051561</v>
      </c>
      <c r="R53" s="181"/>
      <c r="S53" s="204">
        <f t="shared" ref="S53" si="107">+S52/S45</f>
        <v>0.34384137387240743</v>
      </c>
      <c r="T53" s="303">
        <f t="shared" ref="T53" si="108">+T52/T45</f>
        <v>0.37063634177094612</v>
      </c>
      <c r="U53" s="204">
        <f t="shared" ref="U53" si="109">+U52/U45</f>
        <v>0.4106361689763483</v>
      </c>
      <c r="V53" s="296">
        <f t="shared" ref="V53" si="110">+V52/V45</f>
        <v>0.31654154786150712</v>
      </c>
      <c r="W53" s="181"/>
      <c r="X53" s="204">
        <f t="shared" ref="X53" si="111">+X52/X45</f>
        <v>0.40086741016109045</v>
      </c>
      <c r="Y53" s="204">
        <f t="shared" ref="Y53" si="112">+Y52/Y45</f>
        <v>0.40373456790123452</v>
      </c>
      <c r="Z53" s="204">
        <f t="shared" ref="Z53" si="113">+Z52/Z45</f>
        <v>0.41047546012269931</v>
      </c>
      <c r="AA53" s="204">
        <f t="shared" ref="AA53" si="114">+AA52/AA45</f>
        <v>0.41822320117474299</v>
      </c>
      <c r="AB53" s="181"/>
      <c r="AC53" s="452"/>
      <c r="AD53" s="453"/>
      <c r="AE53" s="453"/>
      <c r="AF53" s="453"/>
      <c r="AG53" s="445"/>
      <c r="AH53" s="453"/>
      <c r="AI53" s="453"/>
      <c r="AJ53" s="453"/>
      <c r="AK53" s="453"/>
      <c r="AL53" s="445"/>
      <c r="AM53" s="453"/>
      <c r="AN53" s="453"/>
      <c r="AO53" s="453"/>
      <c r="AP53" s="453"/>
      <c r="AQ53" s="445"/>
      <c r="AR53" s="453"/>
      <c r="AS53" s="453"/>
      <c r="AT53" s="453"/>
      <c r="AU53" s="453"/>
      <c r="AV53" s="445"/>
      <c r="AW53" s="453"/>
      <c r="AX53" s="453"/>
      <c r="AY53" s="453"/>
      <c r="AZ53" s="453"/>
      <c r="BA53" s="445"/>
    </row>
    <row r="54" spans="2:53" ht="18" x14ac:dyDescent="0.4">
      <c r="B54" s="332" t="s">
        <v>222</v>
      </c>
      <c r="C54" s="333"/>
      <c r="D54" s="44" t="s">
        <v>139</v>
      </c>
      <c r="E54" s="44" t="s">
        <v>140</v>
      </c>
      <c r="F54" s="44" t="s">
        <v>141</v>
      </c>
      <c r="G54" s="44" t="s">
        <v>142</v>
      </c>
      <c r="H54" s="129" t="s">
        <v>143</v>
      </c>
      <c r="I54" s="44" t="s">
        <v>130</v>
      </c>
      <c r="J54" s="44" t="s">
        <v>131</v>
      </c>
      <c r="K54" s="44" t="s">
        <v>132</v>
      </c>
      <c r="L54" s="44" t="s">
        <v>133</v>
      </c>
      <c r="M54" s="129" t="s">
        <v>134</v>
      </c>
      <c r="N54" s="44" t="s">
        <v>121</v>
      </c>
      <c r="O54" s="44" t="s">
        <v>120</v>
      </c>
      <c r="P54" s="44" t="s">
        <v>119</v>
      </c>
      <c r="Q54" s="44" t="s">
        <v>118</v>
      </c>
      <c r="R54" s="129" t="s">
        <v>117</v>
      </c>
      <c r="S54" s="44" t="s">
        <v>314</v>
      </c>
      <c r="T54" s="44" t="s">
        <v>317</v>
      </c>
      <c r="U54" s="44" t="s">
        <v>332</v>
      </c>
      <c r="V54" s="42" t="s">
        <v>181</v>
      </c>
      <c r="W54" s="131" t="s">
        <v>182</v>
      </c>
      <c r="X54" s="42" t="s">
        <v>183</v>
      </c>
      <c r="Y54" s="42" t="s">
        <v>184</v>
      </c>
      <c r="Z54" s="42" t="s">
        <v>185</v>
      </c>
      <c r="AA54" s="42" t="s">
        <v>186</v>
      </c>
      <c r="AB54" s="131" t="s">
        <v>187</v>
      </c>
      <c r="AC54" s="42" t="s">
        <v>188</v>
      </c>
      <c r="AD54" s="42" t="s">
        <v>189</v>
      </c>
      <c r="AE54" s="42" t="s">
        <v>190</v>
      </c>
      <c r="AF54" s="42" t="s">
        <v>191</v>
      </c>
      <c r="AG54" s="131" t="s">
        <v>192</v>
      </c>
      <c r="AH54" s="42" t="s">
        <v>193</v>
      </c>
      <c r="AI54" s="42" t="s">
        <v>194</v>
      </c>
      <c r="AJ54" s="42" t="s">
        <v>195</v>
      </c>
      <c r="AK54" s="42" t="s">
        <v>196</v>
      </c>
      <c r="AL54" s="131" t="s">
        <v>197</v>
      </c>
      <c r="AM54" s="42" t="s">
        <v>198</v>
      </c>
      <c r="AN54" s="42" t="s">
        <v>199</v>
      </c>
      <c r="AO54" s="42" t="s">
        <v>200</v>
      </c>
      <c r="AP54" s="42" t="s">
        <v>201</v>
      </c>
      <c r="AQ54" s="131" t="s">
        <v>202</v>
      </c>
      <c r="AR54" s="42" t="s">
        <v>324</v>
      </c>
      <c r="AS54" s="42" t="s">
        <v>325</v>
      </c>
      <c r="AT54" s="42" t="s">
        <v>326</v>
      </c>
      <c r="AU54" s="42" t="s">
        <v>327</v>
      </c>
      <c r="AV54" s="131" t="s">
        <v>328</v>
      </c>
      <c r="AW54" s="42" t="s">
        <v>339</v>
      </c>
      <c r="AX54" s="42" t="s">
        <v>340</v>
      </c>
      <c r="AY54" s="42" t="s">
        <v>341</v>
      </c>
      <c r="AZ54" s="42" t="s">
        <v>342</v>
      </c>
      <c r="BA54" s="131" t="s">
        <v>343</v>
      </c>
    </row>
    <row r="55" spans="2:53" s="28" customFormat="1" ht="15.75" outlineLevel="1" x14ac:dyDescent="0.25">
      <c r="B55" s="106" t="s">
        <v>290</v>
      </c>
      <c r="C55" s="70"/>
      <c r="D55" s="201">
        <v>31.992999999999999</v>
      </c>
      <c r="E55" s="201">
        <v>33.892000000000003</v>
      </c>
      <c r="F55" s="201">
        <v>36.798999999999999</v>
      </c>
      <c r="G55" s="201">
        <v>41.185000000000002</v>
      </c>
      <c r="H55" s="312">
        <f>G55</f>
        <v>41.185000000000002</v>
      </c>
      <c r="I55" s="201">
        <v>44.988</v>
      </c>
      <c r="J55" s="201">
        <v>48.713000000000001</v>
      </c>
      <c r="K55" s="201">
        <v>52.677999999999997</v>
      </c>
      <c r="L55" s="201">
        <v>57.834000000000003</v>
      </c>
      <c r="M55" s="312">
        <f>L55</f>
        <v>57.834000000000003</v>
      </c>
      <c r="N55" s="201">
        <v>63.814999999999998</v>
      </c>
      <c r="O55" s="201">
        <v>68.394999999999996</v>
      </c>
      <c r="P55" s="201">
        <v>73.465000000000003</v>
      </c>
      <c r="Q55" s="201">
        <v>80.772999999999996</v>
      </c>
      <c r="R55" s="312">
        <f>Q55</f>
        <v>80.772999999999996</v>
      </c>
      <c r="S55" s="201">
        <v>88.634</v>
      </c>
      <c r="T55" s="304">
        <v>91.459000000000003</v>
      </c>
      <c r="U55" s="323">
        <v>97.713999999999999</v>
      </c>
      <c r="V55" s="297">
        <f t="shared" ref="V55" si="115">+Q55*(1+V58)</f>
        <v>104.71000000000002</v>
      </c>
      <c r="W55" s="312">
        <f>V55</f>
        <v>104.71000000000002</v>
      </c>
      <c r="X55" s="201">
        <f>+S55*(1+X58)</f>
        <v>114.33786000000001</v>
      </c>
      <c r="Y55" s="201">
        <f t="shared" ref="Y55" si="116">+T55*(1+Y58)</f>
        <v>117.06752</v>
      </c>
      <c r="Z55" s="201">
        <f t="shared" ref="Z55" si="117">+U55*(1+Z58)</f>
        <v>121.16535999999999</v>
      </c>
      <c r="AA55" s="201">
        <f t="shared" ref="AA55" si="118">+V55*(1+AA58)</f>
        <v>125.65200000000002</v>
      </c>
      <c r="AB55" s="312">
        <f>AA55</f>
        <v>125.65200000000002</v>
      </c>
      <c r="AC55" s="446"/>
      <c r="AD55" s="447"/>
      <c r="AE55" s="447"/>
      <c r="AF55" s="447"/>
      <c r="AG55" s="439"/>
      <c r="AH55" s="447"/>
      <c r="AI55" s="447"/>
      <c r="AJ55" s="447"/>
      <c r="AK55" s="447"/>
      <c r="AL55" s="439"/>
      <c r="AM55" s="447"/>
      <c r="AN55" s="447"/>
      <c r="AO55" s="447"/>
      <c r="AP55" s="447"/>
      <c r="AQ55" s="439"/>
      <c r="AR55" s="447"/>
      <c r="AS55" s="447"/>
      <c r="AT55" s="447"/>
      <c r="AU55" s="447"/>
      <c r="AV55" s="439"/>
      <c r="AW55" s="447"/>
      <c r="AX55" s="447"/>
      <c r="AY55" s="447"/>
      <c r="AZ55" s="447"/>
      <c r="BA55" s="439"/>
    </row>
    <row r="56" spans="2:53" ht="15.75" outlineLevel="1" x14ac:dyDescent="0.25">
      <c r="B56" s="99" t="s">
        <v>221</v>
      </c>
      <c r="C56" s="179"/>
      <c r="D56" s="200">
        <v>4.5549999999999997</v>
      </c>
      <c r="E56" s="200">
        <v>1.899</v>
      </c>
      <c r="F56" s="200">
        <v>2.907</v>
      </c>
      <c r="G56" s="200">
        <v>4.3860000000000001</v>
      </c>
      <c r="H56" s="26"/>
      <c r="I56" s="200">
        <v>3.8029999999999999</v>
      </c>
      <c r="J56" s="200">
        <v>3.7250000000000001</v>
      </c>
      <c r="K56" s="200">
        <v>3.9649999999999999</v>
      </c>
      <c r="L56" s="200">
        <v>5.1559999999999997</v>
      </c>
      <c r="M56" s="26"/>
      <c r="N56" s="200">
        <v>5.9809999999999999</v>
      </c>
      <c r="O56" s="200">
        <v>4.58</v>
      </c>
      <c r="P56" s="200">
        <v>5.07</v>
      </c>
      <c r="Q56" s="200">
        <v>7.3079999999999998</v>
      </c>
      <c r="R56" s="26"/>
      <c r="S56" s="291">
        <v>7.8609999999999998</v>
      </c>
      <c r="T56" s="291">
        <v>2.8250000000000002</v>
      </c>
      <c r="U56" s="291">
        <v>6.2549999999999999</v>
      </c>
      <c r="V56" s="230">
        <f t="shared" ref="V56" si="119">+V55-U55</f>
        <v>6.9960000000000235</v>
      </c>
      <c r="W56" s="26"/>
      <c r="X56" s="200">
        <f>+X55-V55</f>
        <v>9.6278599999999841</v>
      </c>
      <c r="Y56" s="200">
        <f>+Y55-X55</f>
        <v>2.7296599999999955</v>
      </c>
      <c r="Z56" s="200">
        <f t="shared" ref="Z56" si="120">+Z55-Y55</f>
        <v>4.0978399999999908</v>
      </c>
      <c r="AA56" s="200">
        <f t="shared" ref="AA56" si="121">+AA55-Z55</f>
        <v>4.4866400000000226</v>
      </c>
      <c r="AB56" s="26"/>
      <c r="AC56" s="448"/>
      <c r="AD56" s="449"/>
      <c r="AE56" s="449"/>
      <c r="AF56" s="449"/>
      <c r="AG56" s="440"/>
      <c r="AH56" s="449"/>
      <c r="AI56" s="449"/>
      <c r="AJ56" s="449"/>
      <c r="AK56" s="449"/>
      <c r="AL56" s="440"/>
      <c r="AM56" s="449"/>
      <c r="AN56" s="449"/>
      <c r="AO56" s="449"/>
      <c r="AP56" s="449"/>
      <c r="AQ56" s="440"/>
      <c r="AR56" s="449"/>
      <c r="AS56" s="449"/>
      <c r="AT56" s="449"/>
      <c r="AU56" s="449"/>
      <c r="AV56" s="440"/>
      <c r="AW56" s="449"/>
      <c r="AX56" s="449"/>
      <c r="AY56" s="449"/>
      <c r="AZ56" s="449"/>
      <c r="BA56" s="440"/>
    </row>
    <row r="57" spans="2:53" ht="18" outlineLevel="1" x14ac:dyDescent="0.4">
      <c r="B57" s="99" t="s">
        <v>211</v>
      </c>
      <c r="C57" s="179"/>
      <c r="D57" s="205">
        <v>2.54</v>
      </c>
      <c r="E57" s="205">
        <v>2.1560000000000001</v>
      </c>
      <c r="F57" s="205">
        <v>2.4470000000000001</v>
      </c>
      <c r="G57" s="205">
        <v>3.18</v>
      </c>
      <c r="H57" s="26"/>
      <c r="I57" s="205">
        <v>2.9060000000000001</v>
      </c>
      <c r="J57" s="205">
        <v>3.3180000000000001</v>
      </c>
      <c r="K57" s="205">
        <v>3.798</v>
      </c>
      <c r="L57" s="205">
        <v>4.9980000000000002</v>
      </c>
      <c r="M57" s="26"/>
      <c r="N57" s="205">
        <v>4.4749999999999996</v>
      </c>
      <c r="O57" s="205">
        <v>4.367</v>
      </c>
      <c r="P57" s="205">
        <v>5.17</v>
      </c>
      <c r="Q57" s="205">
        <v>7.1310000000000002</v>
      </c>
      <c r="R57" s="26"/>
      <c r="S57" s="205">
        <v>5.0030000000000001</v>
      </c>
      <c r="T57" s="205">
        <v>4.4809999999999999</v>
      </c>
      <c r="U57" s="324">
        <v>4.2149999999999999</v>
      </c>
      <c r="V57" s="205"/>
      <c r="W57" s="26"/>
      <c r="X57" s="205"/>
      <c r="Y57" s="205"/>
      <c r="Z57" s="205"/>
      <c r="AA57" s="205"/>
      <c r="AB57" s="26"/>
      <c r="AC57" s="450"/>
      <c r="AD57" s="451"/>
      <c r="AE57" s="451"/>
      <c r="AF57" s="451"/>
      <c r="AG57" s="440"/>
      <c r="AH57" s="451"/>
      <c r="AI57" s="451"/>
      <c r="AJ57" s="451"/>
      <c r="AK57" s="451"/>
      <c r="AL57" s="440"/>
      <c r="AM57" s="451"/>
      <c r="AN57" s="451"/>
      <c r="AO57" s="451"/>
      <c r="AP57" s="451"/>
      <c r="AQ57" s="440"/>
      <c r="AR57" s="451"/>
      <c r="AS57" s="451"/>
      <c r="AT57" s="451"/>
      <c r="AU57" s="451"/>
      <c r="AV57" s="440"/>
      <c r="AW57" s="451"/>
      <c r="AX57" s="451"/>
      <c r="AY57" s="451"/>
      <c r="AZ57" s="451"/>
      <c r="BA57" s="440"/>
    </row>
    <row r="58" spans="2:53" s="28" customFormat="1" ht="15.75" outlineLevel="1" x14ac:dyDescent="0.25">
      <c r="B58" s="101" t="s">
        <v>217</v>
      </c>
      <c r="C58" s="70"/>
      <c r="D58" s="57"/>
      <c r="E58" s="57"/>
      <c r="F58" s="57"/>
      <c r="G58" s="57"/>
      <c r="H58" s="203"/>
      <c r="I58" s="204">
        <f>+I55/D55-1</f>
        <v>0.40618260244428472</v>
      </c>
      <c r="J58" s="204">
        <f t="shared" ref="J58" si="122">+J55/E55-1</f>
        <v>0.43730083795585961</v>
      </c>
      <c r="K58" s="204">
        <f t="shared" ref="K58" si="123">+K55/F55-1</f>
        <v>0.4315062909318188</v>
      </c>
      <c r="L58" s="204">
        <f t="shared" ref="L58" si="124">+L55/G55-1</f>
        <v>0.40424911982517897</v>
      </c>
      <c r="M58" s="203"/>
      <c r="N58" s="204">
        <f>+N55/I55-1</f>
        <v>0.41848937494442962</v>
      </c>
      <c r="O58" s="204">
        <f t="shared" ref="O58" si="125">+O55/J55-1</f>
        <v>0.40403998932523133</v>
      </c>
      <c r="P58" s="204">
        <f t="shared" ref="P58" si="126">+P55/K55-1</f>
        <v>0.39460495842666776</v>
      </c>
      <c r="Q58" s="204">
        <f t="shared" ref="Q58" si="127">+Q55/L55-1</f>
        <v>0.39663519728879182</v>
      </c>
      <c r="R58" s="203"/>
      <c r="S58" s="204">
        <f>+S55/N55-1</f>
        <v>0.38892110005484604</v>
      </c>
      <c r="T58" s="204">
        <f>+T55/O55-1</f>
        <v>0.33721763286789974</v>
      </c>
      <c r="U58" s="303">
        <f t="shared" ref="U58" si="128">+U55/P55-1</f>
        <v>0.33007554617845214</v>
      </c>
      <c r="V58" s="210">
        <v>0.29634902752157311</v>
      </c>
      <c r="W58" s="203"/>
      <c r="X58" s="210">
        <v>0.28999999999999998</v>
      </c>
      <c r="Y58" s="210">
        <v>0.28000000000000003</v>
      </c>
      <c r="Z58" s="210">
        <v>0.24</v>
      </c>
      <c r="AA58" s="210">
        <v>0.2</v>
      </c>
      <c r="AB58" s="203"/>
      <c r="AC58" s="452"/>
      <c r="AD58" s="453"/>
      <c r="AE58" s="453"/>
      <c r="AF58" s="453"/>
      <c r="AG58" s="441"/>
      <c r="AH58" s="453"/>
      <c r="AI58" s="453"/>
      <c r="AJ58" s="453"/>
      <c r="AK58" s="453"/>
      <c r="AL58" s="441"/>
      <c r="AM58" s="453"/>
      <c r="AN58" s="453"/>
      <c r="AO58" s="453"/>
      <c r="AP58" s="453"/>
      <c r="AQ58" s="441"/>
      <c r="AR58" s="453"/>
      <c r="AS58" s="453"/>
      <c r="AT58" s="453"/>
      <c r="AU58" s="453"/>
      <c r="AV58" s="441"/>
      <c r="AW58" s="453"/>
      <c r="AX58" s="453"/>
      <c r="AY58" s="453"/>
      <c r="AZ58" s="453"/>
      <c r="BA58" s="441"/>
    </row>
    <row r="59" spans="2:53" ht="18" outlineLevel="1" x14ac:dyDescent="0.4">
      <c r="B59" s="108" t="s">
        <v>209</v>
      </c>
      <c r="C59" s="179"/>
      <c r="D59" s="46"/>
      <c r="E59" s="46">
        <f>+AVERAGE(E55,D55)</f>
        <v>32.942500000000003</v>
      </c>
      <c r="F59" s="46">
        <f t="shared" ref="F59:G59" si="129">+AVERAGE(F55,E55)</f>
        <v>35.345500000000001</v>
      </c>
      <c r="G59" s="46">
        <f t="shared" si="129"/>
        <v>38.992000000000004</v>
      </c>
      <c r="H59" s="26"/>
      <c r="I59" s="191">
        <f>+AVERAGE(I55,G55)</f>
        <v>43.086500000000001</v>
      </c>
      <c r="J59" s="46">
        <f>+AVERAGE(J55,I55)</f>
        <v>46.850499999999997</v>
      </c>
      <c r="K59" s="46">
        <f t="shared" ref="K59:L59" si="130">+AVERAGE(K55,J55)</f>
        <v>50.695499999999996</v>
      </c>
      <c r="L59" s="46">
        <f t="shared" si="130"/>
        <v>55.256</v>
      </c>
      <c r="M59" s="26"/>
      <c r="N59" s="191">
        <f>+AVERAGE(N55,L55)</f>
        <v>60.8245</v>
      </c>
      <c r="O59" s="46">
        <f>+AVERAGE(O55,N55)</f>
        <v>66.10499999999999</v>
      </c>
      <c r="P59" s="46">
        <f t="shared" ref="P59:Q59" si="131">+AVERAGE(P55,O55)</f>
        <v>70.930000000000007</v>
      </c>
      <c r="Q59" s="46">
        <f t="shared" si="131"/>
        <v>77.119</v>
      </c>
      <c r="R59" s="26"/>
      <c r="S59" s="191">
        <f>+AVERAGE(S55,Q55)</f>
        <v>84.703499999999991</v>
      </c>
      <c r="T59" s="46">
        <f>+AVERAGE(T55,S55)</f>
        <v>90.046500000000009</v>
      </c>
      <c r="U59" s="275">
        <f t="shared" ref="U59:V59" si="132">+AVERAGE(U55,T55)</f>
        <v>94.586500000000001</v>
      </c>
      <c r="V59" s="46">
        <f t="shared" si="132"/>
        <v>101.21200000000002</v>
      </c>
      <c r="W59" s="26"/>
      <c r="X59" s="191">
        <f>+AVERAGE(X55,V55)</f>
        <v>109.52393000000001</v>
      </c>
      <c r="Y59" s="46">
        <f>+AVERAGE(Y55,X55)</f>
        <v>115.70269</v>
      </c>
      <c r="Z59" s="46">
        <f t="shared" ref="Z59:AA59" si="133">+AVERAGE(Z55,Y55)</f>
        <v>119.11644</v>
      </c>
      <c r="AA59" s="46">
        <f t="shared" si="133"/>
        <v>123.40868</v>
      </c>
      <c r="AB59" s="26"/>
      <c r="AC59" s="454"/>
      <c r="AD59" s="398" t="s">
        <v>344</v>
      </c>
      <c r="AE59" s="400"/>
      <c r="AF59" s="423"/>
      <c r="AG59" s="282"/>
      <c r="AH59" s="423"/>
      <c r="AI59" s="398" t="s">
        <v>344</v>
      </c>
      <c r="AJ59" s="400"/>
      <c r="AK59" s="424"/>
      <c r="AL59" s="282"/>
      <c r="AM59" s="424"/>
      <c r="AN59" s="398" t="s">
        <v>344</v>
      </c>
      <c r="AO59" s="400"/>
      <c r="AP59" s="424"/>
      <c r="AQ59" s="55"/>
      <c r="AR59" s="424"/>
      <c r="AS59" s="398" t="s">
        <v>344</v>
      </c>
      <c r="AT59" s="400"/>
      <c r="AU59" s="424"/>
      <c r="AV59" s="55"/>
      <c r="AW59" s="424"/>
      <c r="AX59" s="398" t="s">
        <v>344</v>
      </c>
      <c r="AY59" s="400"/>
      <c r="AZ59" s="411"/>
      <c r="BA59" s="440"/>
    </row>
    <row r="60" spans="2:53" s="28" customFormat="1" outlineLevel="1" x14ac:dyDescent="0.25">
      <c r="B60" s="199" t="s">
        <v>213</v>
      </c>
      <c r="C60" s="53"/>
      <c r="D60" s="57">
        <v>651.74800000000005</v>
      </c>
      <c r="E60" s="57">
        <v>758.20100000000002</v>
      </c>
      <c r="F60" s="57">
        <v>853.48</v>
      </c>
      <c r="G60" s="57">
        <v>947.66600000000005</v>
      </c>
      <c r="H60" s="310">
        <f>SUM(D60:G60)</f>
        <v>3211.0950000000003</v>
      </c>
      <c r="I60" s="57">
        <v>1046.1990000000001</v>
      </c>
      <c r="J60" s="57">
        <v>1165.2280000000001</v>
      </c>
      <c r="K60" s="57">
        <v>1327.4349999999999</v>
      </c>
      <c r="L60" s="57">
        <v>1550.329</v>
      </c>
      <c r="M60" s="310">
        <f>SUM(I60:L60)</f>
        <v>5089.1909999999998</v>
      </c>
      <c r="N60" s="57">
        <v>1782.086</v>
      </c>
      <c r="O60" s="57">
        <v>1921.144</v>
      </c>
      <c r="P60" s="57">
        <v>1973.2829999999999</v>
      </c>
      <c r="Q60" s="57">
        <v>2105.5920000000001</v>
      </c>
      <c r="R60" s="310">
        <f>SUM(N60:Q60)</f>
        <v>7782.1049999999996</v>
      </c>
      <c r="S60" s="57">
        <v>2366.7489999999998</v>
      </c>
      <c r="T60" s="269">
        <v>2547.7269999999999</v>
      </c>
      <c r="U60" s="269">
        <v>2760.43</v>
      </c>
      <c r="V60" s="232">
        <f t="shared" ref="V60" si="134">+V61*V59</f>
        <v>2918</v>
      </c>
      <c r="W60" s="310">
        <f>SUM(S60:V60)</f>
        <v>10592.905999999999</v>
      </c>
      <c r="X60" s="57">
        <f>+X61*X59</f>
        <v>3258.3369175000003</v>
      </c>
      <c r="Y60" s="57">
        <f t="shared" ref="Y60" si="135">+Y61*Y59</f>
        <v>3500.0063725</v>
      </c>
      <c r="Z60" s="57">
        <f t="shared" ref="Z60" si="136">+Z61*Z59</f>
        <v>3662.8305299999997</v>
      </c>
      <c r="AA60" s="57">
        <f t="shared" ref="AA60" si="137">+AA61*AA59</f>
        <v>3887.3734199999999</v>
      </c>
      <c r="AB60" s="310">
        <f>SUM(X60:AA60)</f>
        <v>14308.54724</v>
      </c>
      <c r="AC60" s="416"/>
      <c r="AD60" s="401"/>
      <c r="AE60" s="403"/>
      <c r="AF60" s="417"/>
      <c r="AG60" s="278"/>
      <c r="AH60" s="417"/>
      <c r="AI60" s="401"/>
      <c r="AJ60" s="403"/>
      <c r="AK60" s="418"/>
      <c r="AL60" s="278"/>
      <c r="AM60" s="418"/>
      <c r="AN60" s="401"/>
      <c r="AO60" s="403"/>
      <c r="AP60" s="418"/>
      <c r="AQ60" s="58"/>
      <c r="AR60" s="418"/>
      <c r="AS60" s="401"/>
      <c r="AT60" s="403"/>
      <c r="AU60" s="418"/>
      <c r="AV60" s="58"/>
      <c r="AW60" s="418"/>
      <c r="AX60" s="401"/>
      <c r="AY60" s="403"/>
      <c r="AZ60" s="417"/>
      <c r="BA60" s="443"/>
    </row>
    <row r="61" spans="2:53" outlineLevel="1" x14ac:dyDescent="0.25">
      <c r="B61" s="63" t="s">
        <v>219</v>
      </c>
      <c r="C61" s="180"/>
      <c r="D61" s="46"/>
      <c r="E61" s="89">
        <f>+E60/E59</f>
        <v>23.015891325794943</v>
      </c>
      <c r="F61" s="89">
        <f t="shared" ref="F61" si="138">+F60/F59</f>
        <v>24.146779646631114</v>
      </c>
      <c r="G61" s="89">
        <f t="shared" ref="G61" si="139">+G60/G59</f>
        <v>24.304113664341401</v>
      </c>
      <c r="H61" s="311">
        <f>((D60/H60*D61)+(E60/H60*E61)+(F60/H60*F61)+(G60/H60*G61))</f>
        <v>19.025175988797447</v>
      </c>
      <c r="I61" s="89">
        <f t="shared" ref="I61" si="140">+I60/I59</f>
        <v>24.281364232416188</v>
      </c>
      <c r="J61" s="89">
        <f t="shared" ref="J61" si="141">+J60/J59</f>
        <v>24.871196678797453</v>
      </c>
      <c r="K61" s="89">
        <f t="shared" ref="K61" si="142">+K60/K59</f>
        <v>26.184473967117398</v>
      </c>
      <c r="L61" s="89">
        <f t="shared" ref="L61" si="143">+L60/L59</f>
        <v>28.057206457217315</v>
      </c>
      <c r="M61" s="311">
        <f>((I60/M60*I61)+(J60/M60*J61)+(K60/M60*K61)+(L60/M60*L61))</f>
        <v>26.063050447975549</v>
      </c>
      <c r="N61" s="89">
        <f t="shared" ref="N61" si="144">+N60/N59</f>
        <v>29.298818732583086</v>
      </c>
      <c r="O61" s="89">
        <f t="shared" ref="O61" si="145">+O60/O59</f>
        <v>29.062007412449894</v>
      </c>
      <c r="P61" s="89">
        <f t="shared" ref="P61" si="146">+P60/P59</f>
        <v>27.820146623431548</v>
      </c>
      <c r="Q61" s="89">
        <f t="shared" ref="Q61" si="147">+Q60/Q59</f>
        <v>27.303154864559968</v>
      </c>
      <c r="R61" s="311">
        <f>((N60/R60*N61)+(O60/R60*O61)+(P60/R60*P61)+(Q60/R60*Q61))</f>
        <v>28.32545213606873</v>
      </c>
      <c r="S61" s="89">
        <f t="shared" ref="S61:U61" si="148">+S60/S59</f>
        <v>27.941572662286681</v>
      </c>
      <c r="T61" s="89">
        <f t="shared" si="148"/>
        <v>28.293459490374413</v>
      </c>
      <c r="U61" s="290">
        <f t="shared" si="148"/>
        <v>29.184185903908062</v>
      </c>
      <c r="V61" s="91">
        <v>28.830573449788556</v>
      </c>
      <c r="W61" s="311">
        <f>((S60/W60*S61)+(T60/W60*T61)+(U60/W60*U61)+(V60/W60*V61))</f>
        <v>28.59491205200305</v>
      </c>
      <c r="X61" s="91">
        <v>29.75</v>
      </c>
      <c r="Y61" s="91">
        <v>30.25</v>
      </c>
      <c r="Z61" s="91">
        <v>30.75</v>
      </c>
      <c r="AA61" s="91">
        <v>31.5</v>
      </c>
      <c r="AB61" s="311">
        <f>((X60/AB60*X61)+(Y60/AB60*Y61)+(Z60/AB60*Z61)+(AA60/AB60*AA61))</f>
        <v>30.603737070322587</v>
      </c>
      <c r="AC61" s="455"/>
      <c r="AD61" s="401"/>
      <c r="AE61" s="403"/>
      <c r="AF61" s="426"/>
      <c r="AG61" s="427"/>
      <c r="AH61" s="426"/>
      <c r="AI61" s="401"/>
      <c r="AJ61" s="403"/>
      <c r="AK61" s="428"/>
      <c r="AL61" s="427"/>
      <c r="AM61" s="428"/>
      <c r="AN61" s="401"/>
      <c r="AO61" s="403"/>
      <c r="AP61" s="428"/>
      <c r="AQ61" s="429"/>
      <c r="AR61" s="428"/>
      <c r="AS61" s="401"/>
      <c r="AT61" s="403"/>
      <c r="AU61" s="428"/>
      <c r="AV61" s="429"/>
      <c r="AW61" s="428"/>
      <c r="AX61" s="401"/>
      <c r="AY61" s="403"/>
      <c r="AZ61" s="456"/>
      <c r="BA61" s="311"/>
    </row>
    <row r="62" spans="2:53" s="313" customFormat="1" ht="17.25" outlineLevel="1" x14ac:dyDescent="0.4">
      <c r="B62" s="314" t="s">
        <v>319</v>
      </c>
      <c r="C62" s="315"/>
      <c r="D62" s="316"/>
      <c r="E62" s="317">
        <f>E61/3</f>
        <v>7.671963775264981</v>
      </c>
      <c r="F62" s="317">
        <f t="shared" ref="F62" si="149">F61/3</f>
        <v>8.0489265488770378</v>
      </c>
      <c r="G62" s="317">
        <f t="shared" ref="G62" si="150">G61/3</f>
        <v>8.101371221447133</v>
      </c>
      <c r="H62" s="318">
        <f>H61/3</f>
        <v>6.3417253295991491</v>
      </c>
      <c r="I62" s="317">
        <f t="shared" ref="I62" si="151">I61/3</f>
        <v>8.0937880774720625</v>
      </c>
      <c r="J62" s="317">
        <f t="shared" ref="J62" si="152">J61/3</f>
        <v>8.290398892932485</v>
      </c>
      <c r="K62" s="317">
        <f t="shared" ref="K62" si="153">K61/3</f>
        <v>8.7281579890391328</v>
      </c>
      <c r="L62" s="317">
        <f t="shared" ref="L62" si="154">L61/3</f>
        <v>9.3524021524057712</v>
      </c>
      <c r="M62" s="318">
        <f>M61/3</f>
        <v>8.6876834826585156</v>
      </c>
      <c r="N62" s="317">
        <f t="shared" ref="N62" si="155">N61/3</f>
        <v>9.7662729108610282</v>
      </c>
      <c r="O62" s="317">
        <f t="shared" ref="O62" si="156">O61/3</f>
        <v>9.6873358041499653</v>
      </c>
      <c r="P62" s="317">
        <f t="shared" ref="P62" si="157">P61/3</f>
        <v>9.2733822078105153</v>
      </c>
      <c r="Q62" s="317">
        <f t="shared" ref="Q62" si="158">Q61/3</f>
        <v>9.1010516215199893</v>
      </c>
      <c r="R62" s="318">
        <f>R61/3</f>
        <v>9.441817378689576</v>
      </c>
      <c r="S62" s="317">
        <f t="shared" ref="S62" si="159">S61/3</f>
        <v>9.313857554095561</v>
      </c>
      <c r="T62" s="317">
        <f t="shared" ref="T62" si="160">T61/3</f>
        <v>9.4311531634581378</v>
      </c>
      <c r="U62" s="317">
        <f t="shared" ref="U62" si="161">U61/3</f>
        <v>9.7280619679693547</v>
      </c>
      <c r="V62" s="317">
        <f t="shared" ref="V62" si="162">V61/3</f>
        <v>9.6101911499295181</v>
      </c>
      <c r="W62" s="318">
        <f>W61/3</f>
        <v>9.5316373506676833</v>
      </c>
      <c r="X62" s="317">
        <f t="shared" ref="X62" si="163">X61/3</f>
        <v>9.9166666666666661</v>
      </c>
      <c r="Y62" s="317">
        <f t="shared" ref="Y62" si="164">Y61/3</f>
        <v>10.083333333333334</v>
      </c>
      <c r="Z62" s="317">
        <f t="shared" ref="Z62" si="165">Z61/3</f>
        <v>10.25</v>
      </c>
      <c r="AA62" s="317">
        <f t="shared" ref="AA62" si="166">AA61/3</f>
        <v>10.5</v>
      </c>
      <c r="AB62" s="318">
        <f>AB61/3</f>
        <v>10.201245690107529</v>
      </c>
      <c r="AC62" s="457"/>
      <c r="AD62" s="437"/>
      <c r="AE62" s="438"/>
      <c r="AF62" s="431"/>
      <c r="AG62" s="286"/>
      <c r="AH62" s="431"/>
      <c r="AI62" s="437"/>
      <c r="AJ62" s="438"/>
      <c r="AK62" s="432"/>
      <c r="AL62" s="286"/>
      <c r="AM62" s="432"/>
      <c r="AN62" s="437"/>
      <c r="AO62" s="438"/>
      <c r="AP62" s="432"/>
      <c r="AQ62" s="254"/>
      <c r="AR62" s="432"/>
      <c r="AS62" s="437"/>
      <c r="AT62" s="438"/>
      <c r="AU62" s="432"/>
      <c r="AV62" s="254"/>
      <c r="AW62" s="432"/>
      <c r="AX62" s="437"/>
      <c r="AY62" s="438"/>
      <c r="AZ62" s="458"/>
      <c r="BA62" s="459"/>
    </row>
    <row r="63" spans="2:53" outlineLevel="1" x14ac:dyDescent="0.25">
      <c r="B63" s="63" t="s">
        <v>214</v>
      </c>
      <c r="C63" s="180"/>
      <c r="D63" s="46">
        <v>657.73</v>
      </c>
      <c r="E63" s="46">
        <v>728.16800000000001</v>
      </c>
      <c r="F63" s="46">
        <v>783.87699999999995</v>
      </c>
      <c r="G63" s="46">
        <v>872.97199999999998</v>
      </c>
      <c r="H63" s="47"/>
      <c r="I63" s="46">
        <v>896.55799999999999</v>
      </c>
      <c r="J63" s="46">
        <v>1070.432</v>
      </c>
      <c r="K63" s="46">
        <v>1136.877</v>
      </c>
      <c r="L63" s="46">
        <v>1255.749</v>
      </c>
      <c r="M63" s="29"/>
      <c r="N63" s="46">
        <v>1321.7059999999999</v>
      </c>
      <c r="O63" s="46">
        <v>1392.5119999999999</v>
      </c>
      <c r="P63" s="46">
        <v>1455.5540000000001</v>
      </c>
      <c r="Q63" s="46">
        <v>1606.2750000000001</v>
      </c>
      <c r="R63" s="211"/>
      <c r="S63" s="46">
        <v>1697.1210000000001</v>
      </c>
      <c r="T63" s="46">
        <v>1778.89</v>
      </c>
      <c r="U63" s="275">
        <v>1860.021</v>
      </c>
      <c r="V63" s="46">
        <f t="shared" ref="V63" si="167">+V60*(1-V64)</f>
        <v>2118.4679999999998</v>
      </c>
      <c r="W63" s="29"/>
      <c r="X63" s="46">
        <f>+X60*(1-X64)</f>
        <v>2240.1066307812503</v>
      </c>
      <c r="Y63" s="46">
        <f t="shared" ref="Y63" si="168">+Y60*(1-Y64)</f>
        <v>2397.5043651625001</v>
      </c>
      <c r="Z63" s="46">
        <f t="shared" ref="Z63" si="169">+Z60*(1-Z64)</f>
        <v>2490.7247603999995</v>
      </c>
      <c r="AA63" s="46">
        <f t="shared" ref="AA63" si="170">+AA60*(1-AA64)</f>
        <v>2627.8644319199998</v>
      </c>
      <c r="AB63" s="29"/>
      <c r="AC63" s="410"/>
      <c r="AD63" s="411"/>
      <c r="AE63" s="411"/>
      <c r="AF63" s="411"/>
      <c r="AG63" s="444"/>
      <c r="AH63" s="411"/>
      <c r="AI63" s="411"/>
      <c r="AJ63" s="411"/>
      <c r="AK63" s="411"/>
      <c r="AL63" s="444"/>
      <c r="AM63" s="411"/>
      <c r="AN63" s="411"/>
      <c r="AO63" s="411"/>
      <c r="AP63" s="411"/>
      <c r="AQ63" s="444"/>
      <c r="AR63" s="411"/>
      <c r="AS63" s="411"/>
      <c r="AT63" s="411"/>
      <c r="AU63" s="411"/>
      <c r="AV63" s="444"/>
      <c r="AW63" s="411"/>
      <c r="AX63" s="411"/>
      <c r="AY63" s="411"/>
      <c r="AZ63" s="411"/>
      <c r="BA63" s="444"/>
    </row>
    <row r="64" spans="2:53" s="28" customFormat="1" outlineLevel="1" x14ac:dyDescent="0.25">
      <c r="B64" s="110" t="s">
        <v>215</v>
      </c>
      <c r="C64" s="53"/>
      <c r="D64" s="204">
        <f>+(D60-D63)/D60</f>
        <v>-9.1783941032423117E-3</v>
      </c>
      <c r="E64" s="204">
        <f t="shared" ref="E64" si="171">+(E60-E63)/E60</f>
        <v>3.9610868358126688E-2</v>
      </c>
      <c r="F64" s="204">
        <f t="shared" ref="F64" si="172">+(F60-F63)/F60</f>
        <v>8.1551998875193404E-2</v>
      </c>
      <c r="G64" s="204">
        <f t="shared" ref="G64" si="173">+(G60-G63)/G60</f>
        <v>7.8818908771655913E-2</v>
      </c>
      <c r="H64" s="207"/>
      <c r="I64" s="204">
        <f t="shared" ref="I64" si="174">+(I60-I63)/I60</f>
        <v>0.14303301761901902</v>
      </c>
      <c r="J64" s="204">
        <f t="shared" ref="J64" si="175">+(J60-J63)/J60</f>
        <v>8.1354035433408772E-2</v>
      </c>
      <c r="K64" s="204">
        <f t="shared" ref="K64" si="176">+(K60-K63)/K60</f>
        <v>0.14355354499467018</v>
      </c>
      <c r="L64" s="204">
        <f t="shared" ref="L64" si="177">+(L60-L63)/L60</f>
        <v>0.19001128147638335</v>
      </c>
      <c r="M64" s="207"/>
      <c r="N64" s="204">
        <f t="shared" ref="N64" si="178">+(N60-N63)/N60</f>
        <v>0.2583377008741442</v>
      </c>
      <c r="O64" s="204">
        <f t="shared" ref="O64" si="179">+(O60-O63)/O60</f>
        <v>0.27516521405995598</v>
      </c>
      <c r="P64" s="204">
        <f t="shared" ref="P64" si="180">+(P60-P63)/P60</f>
        <v>0.26236936111039311</v>
      </c>
      <c r="Q64" s="204">
        <f t="shared" ref="Q64" si="181">+(Q60-Q63)/Q60</f>
        <v>0.2371385339609953</v>
      </c>
      <c r="R64" s="181"/>
      <c r="S64" s="204">
        <f t="shared" ref="S64:U64" si="182">+(S60-S63)/S60</f>
        <v>0.28293156562018185</v>
      </c>
      <c r="T64" s="204">
        <f t="shared" si="182"/>
        <v>0.3017736986733664</v>
      </c>
      <c r="U64" s="303">
        <f t="shared" si="182"/>
        <v>0.32618432635495193</v>
      </c>
      <c r="V64" s="210">
        <v>0.27400000000000002</v>
      </c>
      <c r="W64" s="181"/>
      <c r="X64" s="210">
        <v>0.3125</v>
      </c>
      <c r="Y64" s="210">
        <v>0.315</v>
      </c>
      <c r="Z64" s="210">
        <v>0.32</v>
      </c>
      <c r="AA64" s="210">
        <v>0.32400000000000001</v>
      </c>
      <c r="AB64" s="181"/>
      <c r="AC64" s="452"/>
      <c r="AD64" s="453"/>
      <c r="AE64" s="453"/>
      <c r="AF64" s="453"/>
      <c r="AG64" s="445"/>
      <c r="AH64" s="453"/>
      <c r="AI64" s="453"/>
      <c r="AJ64" s="453"/>
      <c r="AK64" s="453"/>
      <c r="AL64" s="445"/>
      <c r="AM64" s="453"/>
      <c r="AN64" s="453"/>
      <c r="AO64" s="453"/>
      <c r="AP64" s="453"/>
      <c r="AQ64" s="445"/>
      <c r="AR64" s="453"/>
      <c r="AS64" s="453"/>
      <c r="AT64" s="453"/>
      <c r="AU64" s="453"/>
      <c r="AV64" s="445"/>
      <c r="AW64" s="453"/>
      <c r="AX64" s="453"/>
      <c r="AY64" s="453"/>
      <c r="AZ64" s="453"/>
      <c r="BA64" s="445"/>
    </row>
    <row r="65" spans="2:53" outlineLevel="1" x14ac:dyDescent="0.25">
      <c r="B65" s="63" t="s">
        <v>216</v>
      </c>
      <c r="C65" s="180"/>
      <c r="D65" s="46">
        <v>142.89099999999999</v>
      </c>
      <c r="E65" s="46">
        <v>146.839</v>
      </c>
      <c r="F65" s="46">
        <v>194.33</v>
      </c>
      <c r="G65" s="46">
        <v>200.53100000000001</v>
      </c>
      <c r="H65" s="47"/>
      <c r="I65" s="46">
        <v>179.89500000000001</v>
      </c>
      <c r="J65" s="46">
        <v>186.25700000000001</v>
      </c>
      <c r="K65" s="46">
        <v>210.91300000000001</v>
      </c>
      <c r="L65" s="46">
        <v>255.47</v>
      </c>
      <c r="M65" s="26"/>
      <c r="N65" s="46">
        <v>286.05799999999999</v>
      </c>
      <c r="O65" s="46">
        <v>340.709</v>
      </c>
      <c r="P65" s="46">
        <v>299.73500000000001</v>
      </c>
      <c r="Q65" s="46">
        <v>417.61599999999999</v>
      </c>
      <c r="R65" s="26"/>
      <c r="S65" s="46">
        <v>395.53199999999998</v>
      </c>
      <c r="T65" s="46">
        <v>352.54399999999998</v>
      </c>
      <c r="U65" s="275">
        <v>342.00400000000002</v>
      </c>
      <c r="V65" s="46">
        <f t="shared" ref="V65" si="183">+V66*V59</f>
        <v>490.87820000000005</v>
      </c>
      <c r="W65" s="26"/>
      <c r="X65" s="46">
        <f>+X66*X59</f>
        <v>465.47670250000004</v>
      </c>
      <c r="Y65" s="46">
        <f t="shared" ref="Y65" si="184">+Y66*Y59</f>
        <v>462.81076000000002</v>
      </c>
      <c r="Z65" s="46">
        <f t="shared" ref="Z65" si="185">+Z66*Z59</f>
        <v>446.68664999999999</v>
      </c>
      <c r="AA65" s="46">
        <f t="shared" ref="AA65" si="186">+AA66*AA59</f>
        <v>462.78255000000001</v>
      </c>
      <c r="AB65" s="26"/>
      <c r="AC65" s="410"/>
      <c r="AD65" s="411"/>
      <c r="AE65" s="411"/>
      <c r="AF65" s="411"/>
      <c r="AG65" s="440"/>
      <c r="AH65" s="411"/>
      <c r="AI65" s="411"/>
      <c r="AJ65" s="411"/>
      <c r="AK65" s="411"/>
      <c r="AL65" s="440"/>
      <c r="AM65" s="411"/>
      <c r="AN65" s="411"/>
      <c r="AO65" s="411"/>
      <c r="AP65" s="411"/>
      <c r="AQ65" s="440"/>
      <c r="AR65" s="411"/>
      <c r="AS65" s="411"/>
      <c r="AT65" s="411"/>
      <c r="AU65" s="411"/>
      <c r="AV65" s="440"/>
      <c r="AW65" s="411"/>
      <c r="AX65" s="411"/>
      <c r="AY65" s="411"/>
      <c r="AZ65" s="411"/>
      <c r="BA65" s="440"/>
    </row>
    <row r="66" spans="2:53" outlineLevel="1" x14ac:dyDescent="0.25">
      <c r="B66" s="108" t="s">
        <v>218</v>
      </c>
      <c r="C66" s="180"/>
      <c r="D66" s="46"/>
      <c r="E66" s="89">
        <f>+E65/E59</f>
        <v>4.4574334066934806</v>
      </c>
      <c r="F66" s="89">
        <f t="shared" ref="F66" si="187">+F65/F59</f>
        <v>5.4980124768358065</v>
      </c>
      <c r="G66" s="89">
        <f t="shared" ref="G66" si="188">+G65/G59</f>
        <v>5.1428754616331549</v>
      </c>
      <c r="H66" s="92"/>
      <c r="I66" s="89">
        <f t="shared" ref="I66" si="189">+I65/I59</f>
        <v>4.1752056908776529</v>
      </c>
      <c r="J66" s="89">
        <f t="shared" ref="J66" si="190">+J65/J59</f>
        <v>3.9755605596525121</v>
      </c>
      <c r="K66" s="89">
        <f t="shared" ref="K66" si="191">+K65/K59</f>
        <v>4.1603889891607739</v>
      </c>
      <c r="L66" s="89">
        <f t="shared" ref="L66" si="192">+L65/L59</f>
        <v>4.6233893151874907</v>
      </c>
      <c r="M66" s="92"/>
      <c r="N66" s="89">
        <f t="shared" ref="N66" si="193">+N65/N59</f>
        <v>4.7030061899399085</v>
      </c>
      <c r="O66" s="89">
        <f t="shared" ref="O66" si="194">+O65/O59</f>
        <v>5.1540579381287355</v>
      </c>
      <c r="P66" s="89">
        <f t="shared" ref="P66" si="195">+P65/P59</f>
        <v>4.2257859861835607</v>
      </c>
      <c r="Q66" s="89">
        <f t="shared" ref="Q66" si="196">+Q65/Q59</f>
        <v>5.4152154462583795</v>
      </c>
      <c r="R66" s="26"/>
      <c r="S66" s="89">
        <f t="shared" ref="S66:U66" si="197">+S65/S59</f>
        <v>4.6696063326781072</v>
      </c>
      <c r="T66" s="89">
        <f t="shared" si="197"/>
        <v>3.9151327369747846</v>
      </c>
      <c r="U66" s="290">
        <f t="shared" si="197"/>
        <v>3.6157802646255015</v>
      </c>
      <c r="V66" s="91">
        <v>4.8499999999999996</v>
      </c>
      <c r="W66" s="26"/>
      <c r="X66" s="91">
        <v>4.25</v>
      </c>
      <c r="Y66" s="91">
        <v>4</v>
      </c>
      <c r="Z66" s="91">
        <v>3.75</v>
      </c>
      <c r="AA66" s="91">
        <v>3.75</v>
      </c>
      <c r="AB66" s="26"/>
      <c r="AC66" s="455"/>
      <c r="AD66" s="456"/>
      <c r="AE66" s="456"/>
      <c r="AF66" s="456"/>
      <c r="AG66" s="440"/>
      <c r="AH66" s="456"/>
      <c r="AI66" s="456"/>
      <c r="AJ66" s="456"/>
      <c r="AK66" s="456"/>
      <c r="AL66" s="440"/>
      <c r="AM66" s="456"/>
      <c r="AN66" s="456"/>
      <c r="AO66" s="456"/>
      <c r="AP66" s="456"/>
      <c r="AQ66" s="440"/>
      <c r="AR66" s="456"/>
      <c r="AS66" s="456"/>
      <c r="AT66" s="456"/>
      <c r="AU66" s="456"/>
      <c r="AV66" s="440"/>
      <c r="AW66" s="456"/>
      <c r="AX66" s="456"/>
      <c r="AY66" s="456"/>
      <c r="AZ66" s="456"/>
      <c r="BA66" s="440"/>
    </row>
    <row r="67" spans="2:53" outlineLevel="1" x14ac:dyDescent="0.25">
      <c r="B67" s="178" t="s">
        <v>291</v>
      </c>
      <c r="C67" s="180"/>
      <c r="D67" s="46">
        <f>+D60-D63-D65</f>
        <v>-148.87299999999996</v>
      </c>
      <c r="E67" s="46">
        <f>+E60-E63-E65</f>
        <v>-116.80599999999998</v>
      </c>
      <c r="F67" s="46">
        <f t="shared" ref="F67:G67" si="198">+F60-F63-F65</f>
        <v>-124.72699999999995</v>
      </c>
      <c r="G67" s="46">
        <f t="shared" si="198"/>
        <v>-125.83699999999993</v>
      </c>
      <c r="H67" s="47"/>
      <c r="I67" s="46">
        <f t="shared" ref="I67:L67" si="199">+I60-I63-I65</f>
        <v>-30.253999999999934</v>
      </c>
      <c r="J67" s="46">
        <f t="shared" si="199"/>
        <v>-91.460999999999956</v>
      </c>
      <c r="K67" s="46">
        <f t="shared" si="199"/>
        <v>-20.355000000000018</v>
      </c>
      <c r="L67" s="46">
        <f t="shared" si="199"/>
        <v>39.109999999999928</v>
      </c>
      <c r="M67" s="47"/>
      <c r="N67" s="46">
        <f t="shared" ref="N67:Q67" si="200">+N60-N63-N65</f>
        <v>174.32200000000012</v>
      </c>
      <c r="O67" s="46">
        <f t="shared" si="200"/>
        <v>187.92300000000006</v>
      </c>
      <c r="P67" s="46">
        <f t="shared" si="200"/>
        <v>217.9939999999998</v>
      </c>
      <c r="Q67" s="46">
        <f t="shared" si="200"/>
        <v>81.701000000000022</v>
      </c>
      <c r="R67" s="26"/>
      <c r="S67" s="46">
        <f t="shared" ref="S67:V67" si="201">+S60-S63-S65</f>
        <v>274.09599999999972</v>
      </c>
      <c r="T67" s="275">
        <f t="shared" si="201"/>
        <v>416.29299999999978</v>
      </c>
      <c r="U67" s="275">
        <f t="shared" si="201"/>
        <v>558.40499999999986</v>
      </c>
      <c r="V67" s="231">
        <f t="shared" si="201"/>
        <v>308.6538000000001</v>
      </c>
      <c r="W67" s="26"/>
      <c r="X67" s="46">
        <f t="shared" ref="X67:AA67" si="202">+X60-X63-X65</f>
        <v>552.75358421874989</v>
      </c>
      <c r="Y67" s="46">
        <f t="shared" si="202"/>
        <v>639.69124733749982</v>
      </c>
      <c r="Z67" s="46">
        <f t="shared" si="202"/>
        <v>725.41911960000027</v>
      </c>
      <c r="AA67" s="46">
        <f t="shared" si="202"/>
        <v>796.72643808000009</v>
      </c>
      <c r="AB67" s="26"/>
      <c r="AC67" s="410"/>
      <c r="AD67" s="411"/>
      <c r="AE67" s="411"/>
      <c r="AF67" s="411"/>
      <c r="AG67" s="440"/>
      <c r="AH67" s="411"/>
      <c r="AI67" s="411"/>
      <c r="AJ67" s="411"/>
      <c r="AK67" s="411"/>
      <c r="AL67" s="440"/>
      <c r="AM67" s="411"/>
      <c r="AN67" s="411"/>
      <c r="AO67" s="411"/>
      <c r="AP67" s="411"/>
      <c r="AQ67" s="440"/>
      <c r="AR67" s="411"/>
      <c r="AS67" s="411"/>
      <c r="AT67" s="411"/>
      <c r="AU67" s="411"/>
      <c r="AV67" s="440"/>
      <c r="AW67" s="411"/>
      <c r="AX67" s="411"/>
      <c r="AY67" s="411"/>
      <c r="AZ67" s="411"/>
      <c r="BA67" s="440"/>
    </row>
    <row r="68" spans="2:53" s="28" customFormat="1" outlineLevel="1" x14ac:dyDescent="0.25">
      <c r="B68" s="178" t="s">
        <v>292</v>
      </c>
      <c r="C68" s="53"/>
      <c r="D68" s="204">
        <f>+D67/D60</f>
        <v>-0.22842110754463374</v>
      </c>
      <c r="E68" s="204">
        <f>+E67/E60</f>
        <v>-0.15405677386339503</v>
      </c>
      <c r="F68" s="204">
        <f t="shared" ref="F68" si="203">+F67/F60</f>
        <v>-0.14613933542672347</v>
      </c>
      <c r="G68" s="204">
        <f t="shared" ref="G68" si="204">+G67/G60</f>
        <v>-0.13278623481268709</v>
      </c>
      <c r="H68" s="207"/>
      <c r="I68" s="204">
        <f t="shared" ref="I68" si="205">+I67/I60</f>
        <v>-2.8918016553256057E-2</v>
      </c>
      <c r="J68" s="204">
        <f t="shared" ref="J68" si="206">+J67/J60</f>
        <v>-7.8491934625669779E-2</v>
      </c>
      <c r="K68" s="204">
        <f t="shared" ref="K68" si="207">+K67/K60</f>
        <v>-1.5334084154779722E-2</v>
      </c>
      <c r="L68" s="204">
        <f t="shared" ref="L68" si="208">+L67/L60</f>
        <v>2.522690345081588E-2</v>
      </c>
      <c r="M68" s="207"/>
      <c r="N68" s="204">
        <f t="shared" ref="N68" si="209">+N67/N60</f>
        <v>9.7819072704684346E-2</v>
      </c>
      <c r="O68" s="204">
        <f t="shared" ref="O68" si="210">+O67/O60</f>
        <v>9.7818279108697767E-2</v>
      </c>
      <c r="P68" s="204">
        <f t="shared" ref="P68" si="211">+P67/P60</f>
        <v>0.1104727502340008</v>
      </c>
      <c r="Q68" s="204">
        <f t="shared" ref="Q68" si="212">+Q67/Q60</f>
        <v>3.8801914141011182E-2</v>
      </c>
      <c r="R68" s="181"/>
      <c r="S68" s="204">
        <f t="shared" ref="S68" si="213">+S67/S60</f>
        <v>0.1158111823433747</v>
      </c>
      <c r="T68" s="303">
        <f t="shared" ref="T68" si="214">+T67/T60</f>
        <v>0.16339780518085328</v>
      </c>
      <c r="U68" s="303">
        <f t="shared" ref="U68" si="215">+U67/U60</f>
        <v>0.20228913611285193</v>
      </c>
      <c r="V68" s="296">
        <f t="shared" ref="V68" si="216">+V67/V60</f>
        <v>0.10577580534612752</v>
      </c>
      <c r="W68" s="181"/>
      <c r="X68" s="204">
        <f t="shared" ref="X68" si="217">+X67/X60</f>
        <v>0.1696428571428571</v>
      </c>
      <c r="Y68" s="204">
        <f t="shared" ref="Y68" si="218">+Y67/Y60</f>
        <v>0.18276859504132226</v>
      </c>
      <c r="Z68" s="204">
        <f t="shared" ref="Z68" si="219">+Z67/Z60</f>
        <v>0.19804878048780497</v>
      </c>
      <c r="AA68" s="204">
        <f t="shared" ref="AA68" si="220">+AA67/AA60</f>
        <v>0.20495238095238097</v>
      </c>
      <c r="AB68" s="181"/>
      <c r="AC68" s="452"/>
      <c r="AD68" s="453"/>
      <c r="AE68" s="453"/>
      <c r="AF68" s="453"/>
      <c r="AG68" s="445"/>
      <c r="AH68" s="453"/>
      <c r="AI68" s="453"/>
      <c r="AJ68" s="453"/>
      <c r="AK68" s="453"/>
      <c r="AL68" s="445"/>
      <c r="AM68" s="453"/>
      <c r="AN68" s="453"/>
      <c r="AO68" s="453"/>
      <c r="AP68" s="453"/>
      <c r="AQ68" s="445"/>
      <c r="AR68" s="453"/>
      <c r="AS68" s="453"/>
      <c r="AT68" s="453"/>
      <c r="AU68" s="453"/>
      <c r="AV68" s="445"/>
      <c r="AW68" s="453"/>
      <c r="AX68" s="453"/>
      <c r="AY68" s="453"/>
      <c r="AZ68" s="453"/>
      <c r="BA68" s="445"/>
    </row>
    <row r="69" spans="2:53" ht="18" x14ac:dyDescent="0.4">
      <c r="B69" s="332" t="s">
        <v>223</v>
      </c>
      <c r="C69" s="333"/>
      <c r="D69" s="44" t="s">
        <v>139</v>
      </c>
      <c r="E69" s="44" t="s">
        <v>140</v>
      </c>
      <c r="F69" s="44" t="s">
        <v>141</v>
      </c>
      <c r="G69" s="44" t="s">
        <v>142</v>
      </c>
      <c r="H69" s="129" t="s">
        <v>143</v>
      </c>
      <c r="I69" s="44" t="s">
        <v>130</v>
      </c>
      <c r="J69" s="44" t="s">
        <v>131</v>
      </c>
      <c r="K69" s="44" t="s">
        <v>132</v>
      </c>
      <c r="L69" s="44" t="s">
        <v>133</v>
      </c>
      <c r="M69" s="129" t="s">
        <v>134</v>
      </c>
      <c r="N69" s="44" t="s">
        <v>121</v>
      </c>
      <c r="O69" s="44" t="s">
        <v>120</v>
      </c>
      <c r="P69" s="44" t="s">
        <v>119</v>
      </c>
      <c r="Q69" s="44" t="s">
        <v>118</v>
      </c>
      <c r="R69" s="129" t="s">
        <v>117</v>
      </c>
      <c r="S69" s="44" t="s">
        <v>314</v>
      </c>
      <c r="T69" s="44" t="s">
        <v>317</v>
      </c>
      <c r="U69" s="44" t="s">
        <v>332</v>
      </c>
      <c r="V69" s="42" t="s">
        <v>181</v>
      </c>
      <c r="W69" s="131" t="s">
        <v>182</v>
      </c>
      <c r="X69" s="42" t="s">
        <v>183</v>
      </c>
      <c r="Y69" s="42" t="s">
        <v>184</v>
      </c>
      <c r="Z69" s="42" t="s">
        <v>185</v>
      </c>
      <c r="AA69" s="42" t="s">
        <v>186</v>
      </c>
      <c r="AB69" s="131" t="s">
        <v>187</v>
      </c>
      <c r="AC69" s="42" t="s">
        <v>188</v>
      </c>
      <c r="AD69" s="42" t="s">
        <v>189</v>
      </c>
      <c r="AE69" s="42" t="s">
        <v>190</v>
      </c>
      <c r="AF69" s="42" t="s">
        <v>191</v>
      </c>
      <c r="AG69" s="131" t="s">
        <v>192</v>
      </c>
      <c r="AH69" s="42" t="s">
        <v>193</v>
      </c>
      <c r="AI69" s="42" t="s">
        <v>194</v>
      </c>
      <c r="AJ69" s="42" t="s">
        <v>195</v>
      </c>
      <c r="AK69" s="42" t="s">
        <v>196</v>
      </c>
      <c r="AL69" s="131" t="s">
        <v>197</v>
      </c>
      <c r="AM69" s="42" t="s">
        <v>198</v>
      </c>
      <c r="AN69" s="42" t="s">
        <v>199</v>
      </c>
      <c r="AO69" s="42" t="s">
        <v>200</v>
      </c>
      <c r="AP69" s="42" t="s">
        <v>201</v>
      </c>
      <c r="AQ69" s="131" t="s">
        <v>202</v>
      </c>
      <c r="AR69" s="42" t="s">
        <v>324</v>
      </c>
      <c r="AS69" s="42" t="s">
        <v>325</v>
      </c>
      <c r="AT69" s="42" t="s">
        <v>326</v>
      </c>
      <c r="AU69" s="42" t="s">
        <v>327</v>
      </c>
      <c r="AV69" s="131" t="s">
        <v>328</v>
      </c>
      <c r="AW69" s="42" t="s">
        <v>339</v>
      </c>
      <c r="AX69" s="42" t="s">
        <v>340</v>
      </c>
      <c r="AY69" s="42" t="s">
        <v>341</v>
      </c>
      <c r="AZ69" s="42" t="s">
        <v>342</v>
      </c>
      <c r="BA69" s="131" t="s">
        <v>343</v>
      </c>
    </row>
    <row r="70" spans="2:53" s="28" customFormat="1" ht="15.75" outlineLevel="1" x14ac:dyDescent="0.25">
      <c r="B70" s="106" t="s">
        <v>212</v>
      </c>
      <c r="C70" s="70"/>
      <c r="D70" s="201">
        <v>4.6470000000000002</v>
      </c>
      <c r="E70" s="201">
        <v>4.4349999999999996</v>
      </c>
      <c r="F70" s="201">
        <v>4.194</v>
      </c>
      <c r="G70" s="201">
        <v>4.0289999999999999</v>
      </c>
      <c r="H70" s="208"/>
      <c r="I70" s="201">
        <v>3.867</v>
      </c>
      <c r="J70" s="201">
        <v>3.6920000000000002</v>
      </c>
      <c r="K70" s="201">
        <v>3.52</v>
      </c>
      <c r="L70" s="201">
        <v>3.33</v>
      </c>
      <c r="M70" s="202"/>
      <c r="N70" s="201">
        <v>3.1379999999999999</v>
      </c>
      <c r="O70" s="201">
        <v>2.9710000000000001</v>
      </c>
      <c r="P70" s="201">
        <v>2.8279999999999998</v>
      </c>
      <c r="Q70" s="201">
        <v>2.706</v>
      </c>
      <c r="R70" s="203"/>
      <c r="S70" s="201">
        <v>2.5649999999999999</v>
      </c>
      <c r="T70" s="201">
        <v>2.411</v>
      </c>
      <c r="U70" s="201">
        <v>2.2759999999999998</v>
      </c>
      <c r="V70" s="201">
        <f>+Q70*(1+V72)</f>
        <v>2.20539</v>
      </c>
      <c r="W70" s="203"/>
      <c r="X70" s="201">
        <f>+S70*(1+X72)</f>
        <v>2.0832416651091941</v>
      </c>
      <c r="Y70" s="201">
        <f>+T70*(1+Y72)</f>
        <v>1.9550198145021351</v>
      </c>
      <c r="Z70" s="201">
        <f>+U70*(1+Z72)</f>
        <v>1.8451896827608434</v>
      </c>
      <c r="AA70" s="201">
        <f>+V70*(1+AA72)</f>
        <v>1.7912018209304792</v>
      </c>
      <c r="AB70" s="203"/>
      <c r="AC70" s="304"/>
      <c r="AD70" s="304"/>
      <c r="AE70" s="304"/>
      <c r="AF70" s="304"/>
      <c r="AG70" s="441"/>
      <c r="AH70" s="304"/>
      <c r="AI70" s="304"/>
      <c r="AJ70" s="304"/>
      <c r="AK70" s="304"/>
      <c r="AL70" s="441"/>
      <c r="AM70" s="304"/>
      <c r="AN70" s="304"/>
      <c r="AO70" s="304"/>
      <c r="AP70" s="304"/>
      <c r="AQ70" s="441"/>
      <c r="AR70" s="304"/>
      <c r="AS70" s="304"/>
      <c r="AT70" s="304"/>
      <c r="AU70" s="304"/>
      <c r="AV70" s="441"/>
      <c r="AW70" s="304"/>
      <c r="AX70" s="304"/>
      <c r="AY70" s="304"/>
      <c r="AZ70" s="304"/>
      <c r="BA70" s="441"/>
    </row>
    <row r="71" spans="2:53" ht="18" outlineLevel="1" x14ac:dyDescent="0.4">
      <c r="B71" s="99" t="s">
        <v>211</v>
      </c>
      <c r="C71" s="179"/>
      <c r="D71" s="205">
        <v>9.4E-2</v>
      </c>
      <c r="E71" s="205">
        <v>9.5000000000000001E-2</v>
      </c>
      <c r="F71" s="205">
        <v>7.9000000000000001E-2</v>
      </c>
      <c r="G71" s="205">
        <v>8.5000000000000006E-2</v>
      </c>
      <c r="H71" s="209"/>
      <c r="I71" s="205">
        <v>7.6999999999999999E-2</v>
      </c>
      <c r="J71" s="205">
        <v>6.6000000000000003E-2</v>
      </c>
      <c r="K71" s="205">
        <v>4.9000000000000002E-2</v>
      </c>
      <c r="L71" s="205">
        <v>5.2999999999999999E-2</v>
      </c>
      <c r="M71" s="206"/>
      <c r="N71" s="205">
        <v>2.9000000000000001E-2</v>
      </c>
      <c r="O71" s="205">
        <v>2.8000000000000001E-2</v>
      </c>
      <c r="P71" s="205">
        <v>2.4E-2</v>
      </c>
      <c r="Q71" s="205">
        <v>2.5000000000000001E-2</v>
      </c>
      <c r="R71" s="26"/>
      <c r="S71" s="205">
        <v>2.1999999999999999E-2</v>
      </c>
      <c r="T71" s="205">
        <v>1.7000000000000001E-2</v>
      </c>
      <c r="U71" s="205">
        <v>1.6E-2</v>
      </c>
      <c r="V71" s="205"/>
      <c r="W71" s="26"/>
      <c r="X71" s="205"/>
      <c r="Y71" s="205"/>
      <c r="Z71" s="205"/>
      <c r="AA71" s="205"/>
      <c r="AB71" s="26"/>
      <c r="AC71" s="324"/>
      <c r="AD71" s="324"/>
      <c r="AE71" s="324"/>
      <c r="AF71" s="324"/>
      <c r="AG71" s="440"/>
      <c r="AH71" s="324"/>
      <c r="AI71" s="324"/>
      <c r="AJ71" s="324"/>
      <c r="AK71" s="324"/>
      <c r="AL71" s="440"/>
      <c r="AM71" s="324"/>
      <c r="AN71" s="324"/>
      <c r="AO71" s="324"/>
      <c r="AP71" s="324"/>
      <c r="AQ71" s="440"/>
      <c r="AR71" s="324"/>
      <c r="AS71" s="324"/>
      <c r="AT71" s="324"/>
      <c r="AU71" s="324"/>
      <c r="AV71" s="440"/>
      <c r="AW71" s="324"/>
      <c r="AX71" s="324"/>
      <c r="AY71" s="324"/>
      <c r="AZ71" s="324"/>
      <c r="BA71" s="440"/>
    </row>
    <row r="72" spans="2:53" s="28" customFormat="1" ht="15.75" outlineLevel="1" x14ac:dyDescent="0.25">
      <c r="B72" s="101" t="s">
        <v>217</v>
      </c>
      <c r="C72" s="70"/>
      <c r="D72" s="57"/>
      <c r="E72" s="57"/>
      <c r="F72" s="57"/>
      <c r="G72" s="57"/>
      <c r="H72" s="58"/>
      <c r="I72" s="204">
        <f>+I70/D70-1</f>
        <v>-0.16785022595222732</v>
      </c>
      <c r="J72" s="204">
        <f>+J70/E70-1</f>
        <v>-0.16753100338218707</v>
      </c>
      <c r="K72" s="204">
        <f>+K70/F70-1</f>
        <v>-0.16070577014783027</v>
      </c>
      <c r="L72" s="204">
        <f>+L70/G70-1</f>
        <v>-0.17349218168279967</v>
      </c>
      <c r="M72" s="203"/>
      <c r="N72" s="204">
        <f>+N70/I70-1</f>
        <v>-0.18851823118696664</v>
      </c>
      <c r="O72" s="204">
        <f>+O70/J70-1</f>
        <v>-0.19528710725893828</v>
      </c>
      <c r="P72" s="204">
        <f>+P70/K70-1</f>
        <v>-0.19659090909090915</v>
      </c>
      <c r="Q72" s="204">
        <f>+Q70/L70-1</f>
        <v>-0.18738738738738747</v>
      </c>
      <c r="R72" s="203"/>
      <c r="S72" s="204">
        <f>+S70/N70-1</f>
        <v>-0.18260038240917786</v>
      </c>
      <c r="T72" s="204">
        <f>+T70/O70-1</f>
        <v>-0.18848872433524066</v>
      </c>
      <c r="U72" s="204">
        <f>+U70/P70-1</f>
        <v>-0.19519094766619527</v>
      </c>
      <c r="V72" s="210">
        <v>-0.185</v>
      </c>
      <c r="W72" s="203"/>
      <c r="X72" s="210">
        <f>AVERAGE(S72,T72,U72,V72)</f>
        <v>-0.18782001360265344</v>
      </c>
      <c r="Y72" s="210">
        <f>AVERAGE(T72,U72,V72,X72)</f>
        <v>-0.18912492140102236</v>
      </c>
      <c r="Z72" s="210">
        <f>AVERAGE(U72,V72,X72,Y72)</f>
        <v>-0.18928397066746774</v>
      </c>
      <c r="AA72" s="210">
        <f>AVERAGE(V72,X72,Y72,Z72)</f>
        <v>-0.18780722641778588</v>
      </c>
      <c r="AB72" s="203"/>
      <c r="AC72" s="303"/>
      <c r="AD72" s="303"/>
      <c r="AE72" s="303"/>
      <c r="AF72" s="303"/>
      <c r="AG72" s="441"/>
      <c r="AH72" s="303"/>
      <c r="AI72" s="303"/>
      <c r="AJ72" s="303"/>
      <c r="AK72" s="303"/>
      <c r="AL72" s="441"/>
      <c r="AM72" s="303"/>
      <c r="AN72" s="303"/>
      <c r="AO72" s="303"/>
      <c r="AP72" s="303"/>
      <c r="AQ72" s="441"/>
      <c r="AR72" s="303"/>
      <c r="AS72" s="303"/>
      <c r="AT72" s="303"/>
      <c r="AU72" s="303"/>
      <c r="AV72" s="441"/>
      <c r="AW72" s="303"/>
      <c r="AX72" s="303"/>
      <c r="AY72" s="303"/>
      <c r="AZ72" s="303"/>
      <c r="BA72" s="441"/>
    </row>
    <row r="73" spans="2:53" ht="18" outlineLevel="1" x14ac:dyDescent="0.4">
      <c r="B73" s="108" t="s">
        <v>209</v>
      </c>
      <c r="C73" s="179"/>
      <c r="D73" s="46"/>
      <c r="E73" s="46">
        <f>+AVERAGE(E70,D70)</f>
        <v>4.5410000000000004</v>
      </c>
      <c r="F73" s="46">
        <f>+AVERAGE(F70,E70)</f>
        <v>4.3144999999999998</v>
      </c>
      <c r="G73" s="46">
        <f>+AVERAGE(G70,F70)</f>
        <v>4.1114999999999995</v>
      </c>
      <c r="H73" s="47"/>
      <c r="I73" s="191">
        <f>+AVERAGE(I70,G70)</f>
        <v>3.948</v>
      </c>
      <c r="J73" s="46">
        <f>+AVERAGE(J70,I70)</f>
        <v>3.7795000000000001</v>
      </c>
      <c r="K73" s="46">
        <f>+AVERAGE(K70,J70)</f>
        <v>3.6059999999999999</v>
      </c>
      <c r="L73" s="46">
        <f>+AVERAGE(L70,K70)</f>
        <v>3.4249999999999998</v>
      </c>
      <c r="M73" s="26"/>
      <c r="N73" s="191">
        <f>+AVERAGE(N70,L70)</f>
        <v>3.234</v>
      </c>
      <c r="O73" s="46">
        <f>+AVERAGE(O70,N70)</f>
        <v>3.0545</v>
      </c>
      <c r="P73" s="46">
        <f>+AVERAGE(P70,O70)</f>
        <v>2.8994999999999997</v>
      </c>
      <c r="Q73" s="46">
        <f>+AVERAGE(Q70,P70)</f>
        <v>2.7669999999999999</v>
      </c>
      <c r="R73" s="26"/>
      <c r="S73" s="191">
        <f>+AVERAGE(S70,Q70)</f>
        <v>2.6355</v>
      </c>
      <c r="T73" s="46">
        <f>+AVERAGE(T70,S70)</f>
        <v>2.488</v>
      </c>
      <c r="U73" s="46">
        <f>+AVERAGE(U70,T70)</f>
        <v>2.3434999999999997</v>
      </c>
      <c r="V73" s="46">
        <f>+AVERAGE(V70,U70)</f>
        <v>2.2406949999999997</v>
      </c>
      <c r="W73" s="26"/>
      <c r="X73" s="191">
        <f>+AVERAGE(X70,V70)</f>
        <v>2.144315832554597</v>
      </c>
      <c r="Y73" s="46">
        <f>+AVERAGE(Y70,X70)</f>
        <v>2.0191307398056644</v>
      </c>
      <c r="Z73" s="46">
        <f>+AVERAGE(Z70,Y70)</f>
        <v>1.9001047486314893</v>
      </c>
      <c r="AA73" s="46">
        <f>+AVERAGE(AA70,Z70)</f>
        <v>1.8181957518456613</v>
      </c>
      <c r="AB73" s="26"/>
      <c r="AC73" s="442"/>
      <c r="AD73" s="398" t="s">
        <v>344</v>
      </c>
      <c r="AE73" s="400"/>
      <c r="AF73" s="423"/>
      <c r="AG73" s="282"/>
      <c r="AH73" s="423"/>
      <c r="AI73" s="398" t="s">
        <v>344</v>
      </c>
      <c r="AJ73" s="400"/>
      <c r="AK73" s="424"/>
      <c r="AL73" s="282"/>
      <c r="AM73" s="424"/>
      <c r="AN73" s="398" t="s">
        <v>344</v>
      </c>
      <c r="AO73" s="400"/>
      <c r="AP73" s="424"/>
      <c r="AQ73" s="55"/>
      <c r="AR73" s="424"/>
      <c r="AS73" s="398" t="s">
        <v>344</v>
      </c>
      <c r="AT73" s="400"/>
      <c r="AU73" s="424"/>
      <c r="AV73" s="55"/>
      <c r="AW73" s="424"/>
      <c r="AX73" s="398" t="s">
        <v>344</v>
      </c>
      <c r="AY73" s="400"/>
      <c r="AZ73" s="275"/>
      <c r="BA73" s="440"/>
    </row>
    <row r="74" spans="2:53" s="28" customFormat="1" outlineLevel="1" x14ac:dyDescent="0.25">
      <c r="B74" s="199" t="s">
        <v>224</v>
      </c>
      <c r="C74" s="53"/>
      <c r="D74" s="57">
        <v>144.74700000000001</v>
      </c>
      <c r="E74" s="57">
        <v>138.732</v>
      </c>
      <c r="F74" s="57">
        <v>132.375</v>
      </c>
      <c r="G74" s="57">
        <v>126.413</v>
      </c>
      <c r="H74" s="58"/>
      <c r="I74" s="57">
        <v>120.39400000000001</v>
      </c>
      <c r="J74" s="57">
        <v>114.73699999999999</v>
      </c>
      <c r="K74" s="57">
        <v>110.214</v>
      </c>
      <c r="L74" s="57">
        <v>105.152</v>
      </c>
      <c r="M74" s="203"/>
      <c r="N74" s="57">
        <v>98.751000000000005</v>
      </c>
      <c r="O74" s="57">
        <v>92.903999999999996</v>
      </c>
      <c r="P74" s="57">
        <v>88.777000000000001</v>
      </c>
      <c r="Q74" s="57">
        <v>85.156999999999996</v>
      </c>
      <c r="R74" s="203"/>
      <c r="S74" s="57">
        <v>80.688000000000002</v>
      </c>
      <c r="T74" s="57">
        <v>76.2</v>
      </c>
      <c r="U74" s="57">
        <v>71.876999999999995</v>
      </c>
      <c r="V74" s="57">
        <f t="shared" ref="V74" si="221">+V75*V73</f>
        <v>68.565266999999992</v>
      </c>
      <c r="W74" s="203"/>
      <c r="X74" s="57">
        <f>+X75*X73</f>
        <v>65.401632892915202</v>
      </c>
      <c r="Y74" s="57">
        <f t="shared" ref="Y74:AA74" si="222">+Y75*Y73</f>
        <v>61.583487564072762</v>
      </c>
      <c r="Z74" s="57">
        <f t="shared" si="222"/>
        <v>57.953194833260426</v>
      </c>
      <c r="AA74" s="57">
        <f t="shared" si="222"/>
        <v>55.454970431292672</v>
      </c>
      <c r="AB74" s="203"/>
      <c r="AC74" s="269"/>
      <c r="AD74" s="401"/>
      <c r="AE74" s="403"/>
      <c r="AF74" s="417"/>
      <c r="AG74" s="278"/>
      <c r="AH74" s="417"/>
      <c r="AI74" s="401"/>
      <c r="AJ74" s="403"/>
      <c r="AK74" s="418"/>
      <c r="AL74" s="278"/>
      <c r="AM74" s="418"/>
      <c r="AN74" s="401"/>
      <c r="AO74" s="403"/>
      <c r="AP74" s="418"/>
      <c r="AQ74" s="58"/>
      <c r="AR74" s="418"/>
      <c r="AS74" s="401"/>
      <c r="AT74" s="403"/>
      <c r="AU74" s="418"/>
      <c r="AV74" s="58"/>
      <c r="AW74" s="418"/>
      <c r="AX74" s="401"/>
      <c r="AY74" s="403"/>
      <c r="AZ74" s="269"/>
      <c r="BA74" s="441"/>
    </row>
    <row r="75" spans="2:53" outlineLevel="1" x14ac:dyDescent="0.25">
      <c r="B75" s="63" t="s">
        <v>219</v>
      </c>
      <c r="C75" s="180"/>
      <c r="D75" s="46"/>
      <c r="E75" s="89">
        <f>+E74/E73</f>
        <v>30.55097996036115</v>
      </c>
      <c r="F75" s="89">
        <f t="shared" ref="F75" si="223">+F74/F73</f>
        <v>30.68142310812377</v>
      </c>
      <c r="G75" s="89">
        <f t="shared" ref="G75" si="224">+G74/G73</f>
        <v>30.746199683813696</v>
      </c>
      <c r="H75" s="92"/>
      <c r="I75" s="89">
        <f t="shared" ref="I75" si="225">+I74/I73</f>
        <v>30.494934143870317</v>
      </c>
      <c r="J75" s="89">
        <f t="shared" ref="J75" si="226">+J74/J73</f>
        <v>30.357719275036377</v>
      </c>
      <c r="K75" s="89">
        <f t="shared" ref="K75" si="227">+K74/K73</f>
        <v>30.564059900166392</v>
      </c>
      <c r="L75" s="89">
        <f t="shared" ref="L75" si="228">+L74/L73</f>
        <v>30.701313868613141</v>
      </c>
      <c r="M75" s="92"/>
      <c r="N75" s="89">
        <f t="shared" ref="N75" si="229">+N74/N73</f>
        <v>30.535250463821892</v>
      </c>
      <c r="O75" s="89">
        <f t="shared" ref="O75" si="230">+O74/O73</f>
        <v>30.415452610901948</v>
      </c>
      <c r="P75" s="89">
        <f t="shared" ref="P75" si="231">+P74/P73</f>
        <v>30.618037592688399</v>
      </c>
      <c r="Q75" s="89">
        <f t="shared" ref="Q75" si="232">+Q74/Q73</f>
        <v>30.775930610769787</v>
      </c>
      <c r="R75" s="26"/>
      <c r="S75" s="89">
        <f t="shared" ref="S75:U75" si="233">+S74/S73</f>
        <v>30.615822424587368</v>
      </c>
      <c r="T75" s="89">
        <f t="shared" si="233"/>
        <v>30.627009646302252</v>
      </c>
      <c r="U75" s="89">
        <f t="shared" si="233"/>
        <v>30.670791551098787</v>
      </c>
      <c r="V75" s="91">
        <v>30.6</v>
      </c>
      <c r="W75" s="26"/>
      <c r="X75" s="91">
        <v>30.5</v>
      </c>
      <c r="Y75" s="91">
        <v>30.5</v>
      </c>
      <c r="Z75" s="91">
        <v>30.5</v>
      </c>
      <c r="AA75" s="91">
        <v>30.5</v>
      </c>
      <c r="AB75" s="26"/>
      <c r="AC75" s="290"/>
      <c r="AD75" s="401"/>
      <c r="AE75" s="403"/>
      <c r="AF75" s="426"/>
      <c r="AG75" s="427"/>
      <c r="AH75" s="426"/>
      <c r="AI75" s="401"/>
      <c r="AJ75" s="403"/>
      <c r="AK75" s="428"/>
      <c r="AL75" s="427"/>
      <c r="AM75" s="428"/>
      <c r="AN75" s="401"/>
      <c r="AO75" s="403"/>
      <c r="AP75" s="428"/>
      <c r="AQ75" s="429"/>
      <c r="AR75" s="428"/>
      <c r="AS75" s="401"/>
      <c r="AT75" s="403"/>
      <c r="AU75" s="428"/>
      <c r="AV75" s="429"/>
      <c r="AW75" s="428"/>
      <c r="AX75" s="401"/>
      <c r="AY75" s="403"/>
      <c r="AZ75" s="290"/>
      <c r="BA75" s="440"/>
    </row>
    <row r="76" spans="2:53" ht="17.25" outlineLevel="1" x14ac:dyDescent="0.4">
      <c r="B76" s="63" t="s">
        <v>214</v>
      </c>
      <c r="C76" s="180"/>
      <c r="D76" s="46">
        <v>73.094999999999999</v>
      </c>
      <c r="E76" s="46">
        <v>67.83</v>
      </c>
      <c r="F76" s="46">
        <v>63.670999999999999</v>
      </c>
      <c r="G76" s="46">
        <v>58.146000000000001</v>
      </c>
      <c r="H76" s="47"/>
      <c r="I76" s="46">
        <v>60.219000000000001</v>
      </c>
      <c r="J76" s="46">
        <v>52.734000000000002</v>
      </c>
      <c r="K76" s="46">
        <v>47.087000000000003</v>
      </c>
      <c r="L76" s="46">
        <v>42.484999999999999</v>
      </c>
      <c r="M76" s="29"/>
      <c r="N76" s="46">
        <v>42.393000000000001</v>
      </c>
      <c r="O76" s="46">
        <v>39.923999999999999</v>
      </c>
      <c r="P76" s="46">
        <v>37.100999999999999</v>
      </c>
      <c r="Q76" s="46">
        <v>33.679000000000002</v>
      </c>
      <c r="R76" s="211"/>
      <c r="S76" s="46">
        <v>33.957999999999998</v>
      </c>
      <c r="T76" s="46">
        <v>30.347000000000001</v>
      </c>
      <c r="U76" s="46">
        <v>27.792999999999999</v>
      </c>
      <c r="V76" s="46">
        <f t="shared" ref="V76" si="234">+V74*(1-V77)</f>
        <v>27.288976265999999</v>
      </c>
      <c r="W76" s="29"/>
      <c r="X76" s="46">
        <f>+X74*(1-X77)</f>
        <v>26.160653157166081</v>
      </c>
      <c r="Y76" s="46">
        <f t="shared" ref="Y76:AA76" si="235">+Y74*(1-Y77)</f>
        <v>24.633395025629106</v>
      </c>
      <c r="Z76" s="46">
        <f t="shared" si="235"/>
        <v>23.181277933304173</v>
      </c>
      <c r="AA76" s="46">
        <f t="shared" si="235"/>
        <v>22.18198817251707</v>
      </c>
      <c r="AB76" s="29"/>
      <c r="AC76" s="275"/>
      <c r="AD76" s="437"/>
      <c r="AE76" s="438"/>
      <c r="AF76" s="431"/>
      <c r="AG76" s="286"/>
      <c r="AH76" s="431"/>
      <c r="AI76" s="437"/>
      <c r="AJ76" s="438"/>
      <c r="AK76" s="432"/>
      <c r="AL76" s="286"/>
      <c r="AM76" s="432"/>
      <c r="AN76" s="437"/>
      <c r="AO76" s="438"/>
      <c r="AP76" s="432"/>
      <c r="AQ76" s="254"/>
      <c r="AR76" s="432"/>
      <c r="AS76" s="437"/>
      <c r="AT76" s="438"/>
      <c r="AU76" s="432"/>
      <c r="AV76" s="254"/>
      <c r="AW76" s="432"/>
      <c r="AX76" s="437"/>
      <c r="AY76" s="438"/>
      <c r="AZ76" s="275"/>
      <c r="BA76" s="444"/>
    </row>
    <row r="77" spans="2:53" s="28" customFormat="1" outlineLevel="1" x14ac:dyDescent="0.25">
      <c r="B77" s="110" t="s">
        <v>215</v>
      </c>
      <c r="C77" s="53"/>
      <c r="D77" s="204">
        <f>+(D74-D76)/D74</f>
        <v>0.49501544073452303</v>
      </c>
      <c r="E77" s="204">
        <f t="shared" ref="E77" si="236">+(E74-E76)/E74</f>
        <v>0.51107170659977508</v>
      </c>
      <c r="F77" s="204">
        <f t="shared" ref="F77" si="237">+(F74-F76)/F74</f>
        <v>0.51901038715769598</v>
      </c>
      <c r="G77" s="204">
        <f t="shared" ref="G77" si="238">+(G74-G76)/G74</f>
        <v>0.54003148410369184</v>
      </c>
      <c r="H77" s="207"/>
      <c r="I77" s="204">
        <f t="shared" ref="I77" si="239">+(I74-I76)/I74</f>
        <v>0.49981726664119475</v>
      </c>
      <c r="J77" s="204">
        <f t="shared" ref="J77" si="240">+(J74-J76)/J74</f>
        <v>0.54039237560682252</v>
      </c>
      <c r="K77" s="204">
        <f t="shared" ref="K77" si="241">+(K74-K76)/K74</f>
        <v>0.57276752499682437</v>
      </c>
      <c r="L77" s="204">
        <f t="shared" ref="L77" si="242">+(L74-L76)/L74</f>
        <v>0.59596583992696284</v>
      </c>
      <c r="M77" s="207"/>
      <c r="N77" s="204">
        <f t="shared" ref="N77" si="243">+(N74-N76)/N74</f>
        <v>0.5707081447276483</v>
      </c>
      <c r="O77" s="204">
        <f t="shared" ref="O77" si="244">+(O74-O76)/O74</f>
        <v>0.57026608111599064</v>
      </c>
      <c r="P77" s="204">
        <f t="shared" ref="P77" si="245">+(P74-P76)/P74</f>
        <v>0.58208770289602041</v>
      </c>
      <c r="Q77" s="204">
        <f>+(Q74-Q76)/Q74</f>
        <v>0.60450696947990179</v>
      </c>
      <c r="R77" s="181"/>
      <c r="S77" s="204">
        <f t="shared" ref="S77:U77" si="246">+(S74-S76)/S74</f>
        <v>0.57914435851675594</v>
      </c>
      <c r="T77" s="204">
        <f t="shared" si="246"/>
        <v>0.60174540682414701</v>
      </c>
      <c r="U77" s="204">
        <f t="shared" si="246"/>
        <v>0.61332554224578095</v>
      </c>
      <c r="V77" s="210">
        <v>0.60199999999999998</v>
      </c>
      <c r="W77" s="181"/>
      <c r="X77" s="210">
        <v>0.6</v>
      </c>
      <c r="Y77" s="210">
        <v>0.6</v>
      </c>
      <c r="Z77" s="210">
        <v>0.6</v>
      </c>
      <c r="AA77" s="210">
        <v>0.6</v>
      </c>
      <c r="AB77" s="181"/>
      <c r="AC77" s="303"/>
      <c r="AD77" s="303"/>
      <c r="AE77" s="303"/>
      <c r="AF77" s="303"/>
      <c r="AG77" s="445"/>
      <c r="AH77" s="303"/>
      <c r="AI77" s="303"/>
      <c r="AJ77" s="303"/>
      <c r="AK77" s="303"/>
      <c r="AL77" s="445"/>
      <c r="AM77" s="303"/>
      <c r="AN77" s="303"/>
      <c r="AO77" s="303"/>
      <c r="AP77" s="303"/>
      <c r="AQ77" s="445"/>
      <c r="AR77" s="303"/>
      <c r="AS77" s="303"/>
      <c r="AT77" s="303"/>
      <c r="AU77" s="303"/>
      <c r="AV77" s="445"/>
      <c r="AW77" s="303"/>
      <c r="AX77" s="303"/>
      <c r="AY77" s="303"/>
      <c r="AZ77" s="303"/>
      <c r="BA77" s="445"/>
    </row>
    <row r="78" spans="2:53" outlineLevel="1" x14ac:dyDescent="0.25">
      <c r="B78" s="178" t="s">
        <v>220</v>
      </c>
      <c r="C78" s="180"/>
      <c r="D78" s="46">
        <f>+D74-D76</f>
        <v>71.652000000000015</v>
      </c>
      <c r="E78" s="46">
        <f t="shared" ref="E78:V78" si="247">+E74-E76</f>
        <v>70.902000000000001</v>
      </c>
      <c r="F78" s="46">
        <f t="shared" si="247"/>
        <v>68.704000000000008</v>
      </c>
      <c r="G78" s="46">
        <f t="shared" si="247"/>
        <v>68.266999999999996</v>
      </c>
      <c r="H78" s="47"/>
      <c r="I78" s="46">
        <f t="shared" si="247"/>
        <v>60.175000000000004</v>
      </c>
      <c r="J78" s="46">
        <f t="shared" si="247"/>
        <v>62.002999999999993</v>
      </c>
      <c r="K78" s="46">
        <f t="shared" si="247"/>
        <v>63.126999999999995</v>
      </c>
      <c r="L78" s="46">
        <f t="shared" si="247"/>
        <v>62.667000000000002</v>
      </c>
      <c r="M78" s="47"/>
      <c r="N78" s="46">
        <f t="shared" si="247"/>
        <v>56.358000000000004</v>
      </c>
      <c r="O78" s="46">
        <f t="shared" si="247"/>
        <v>52.98</v>
      </c>
      <c r="P78" s="46">
        <f t="shared" si="247"/>
        <v>51.676000000000002</v>
      </c>
      <c r="Q78" s="46">
        <f>+Q74-Q76</f>
        <v>51.477999999999994</v>
      </c>
      <c r="R78" s="26"/>
      <c r="S78" s="46">
        <f>+S74-S76</f>
        <v>46.730000000000004</v>
      </c>
      <c r="T78" s="46">
        <f t="shared" si="247"/>
        <v>45.853000000000002</v>
      </c>
      <c r="U78" s="46">
        <f t="shared" si="247"/>
        <v>44.083999999999996</v>
      </c>
      <c r="V78" s="46">
        <f t="shared" si="247"/>
        <v>41.276290733999993</v>
      </c>
      <c r="W78" s="26"/>
      <c r="X78" s="46">
        <f t="shared" ref="X78:AA78" si="248">+X74-X76</f>
        <v>39.240979735749121</v>
      </c>
      <c r="Y78" s="46">
        <f t="shared" si="248"/>
        <v>36.950092538443656</v>
      </c>
      <c r="Z78" s="46">
        <f t="shared" si="248"/>
        <v>34.771916899956253</v>
      </c>
      <c r="AA78" s="46">
        <f t="shared" si="248"/>
        <v>33.272982258775599</v>
      </c>
      <c r="AB78" s="26"/>
      <c r="AC78" s="275"/>
      <c r="AD78" s="275"/>
      <c r="AE78" s="275"/>
      <c r="AF78" s="275"/>
      <c r="AG78" s="440"/>
      <c r="AH78" s="275"/>
      <c r="AI78" s="275"/>
      <c r="AJ78" s="275"/>
      <c r="AK78" s="275"/>
      <c r="AL78" s="440"/>
      <c r="AM78" s="275"/>
      <c r="AN78" s="275"/>
      <c r="AO78" s="275"/>
      <c r="AP78" s="275"/>
      <c r="AQ78" s="440"/>
      <c r="AR78" s="275"/>
      <c r="AS78" s="275"/>
      <c r="AT78" s="275"/>
      <c r="AU78" s="275"/>
      <c r="AV78" s="440"/>
      <c r="AW78" s="275"/>
      <c r="AX78" s="275"/>
      <c r="AY78" s="275"/>
      <c r="AZ78" s="275"/>
      <c r="BA78" s="440"/>
    </row>
    <row r="79" spans="2:53" s="28" customFormat="1" outlineLevel="1" x14ac:dyDescent="0.25">
      <c r="B79" s="178" t="s">
        <v>210</v>
      </c>
      <c r="C79" s="53"/>
      <c r="D79" s="204">
        <f>+D78/D74</f>
        <v>0.49501544073452303</v>
      </c>
      <c r="E79" s="204">
        <f>+E78/E74</f>
        <v>0.51107170659977508</v>
      </c>
      <c r="F79" s="204">
        <f>+F78/F74</f>
        <v>0.51901038715769598</v>
      </c>
      <c r="G79" s="204">
        <f>+G78/G74</f>
        <v>0.54003148410369184</v>
      </c>
      <c r="H79" s="207"/>
      <c r="I79" s="204">
        <f>+I78/I74</f>
        <v>0.49981726664119475</v>
      </c>
      <c r="J79" s="204">
        <f>+J78/J74</f>
        <v>0.54039237560682252</v>
      </c>
      <c r="K79" s="204">
        <f>+K78/K74</f>
        <v>0.57276752499682437</v>
      </c>
      <c r="L79" s="204">
        <f>+L78/L74</f>
        <v>0.59596583992696284</v>
      </c>
      <c r="M79" s="207"/>
      <c r="N79" s="204">
        <f>+N78/N74</f>
        <v>0.5707081447276483</v>
      </c>
      <c r="O79" s="204">
        <f>+O78/O74</f>
        <v>0.57026608111599064</v>
      </c>
      <c r="P79" s="204">
        <f>+P78/P74</f>
        <v>0.58208770289602041</v>
      </c>
      <c r="Q79" s="204">
        <f>+Q78/Q74</f>
        <v>0.60450696947990179</v>
      </c>
      <c r="R79" s="181"/>
      <c r="S79" s="204">
        <f>+S78/S74</f>
        <v>0.57914435851675594</v>
      </c>
      <c r="T79" s="204">
        <f>+T78/T74</f>
        <v>0.60174540682414701</v>
      </c>
      <c r="U79" s="204">
        <f>+U78/U74</f>
        <v>0.61332554224578095</v>
      </c>
      <c r="V79" s="204">
        <f>+V78/V74</f>
        <v>0.60199999999999998</v>
      </c>
      <c r="W79" s="181"/>
      <c r="X79" s="204">
        <f>+X78/X74</f>
        <v>0.6</v>
      </c>
      <c r="Y79" s="204">
        <f>+Y78/Y74</f>
        <v>0.6</v>
      </c>
      <c r="Z79" s="204">
        <f>+Z78/Z74</f>
        <v>0.6</v>
      </c>
      <c r="AA79" s="204">
        <f>+AA78/AA74</f>
        <v>0.6</v>
      </c>
      <c r="AB79" s="181"/>
      <c r="AC79" s="303"/>
      <c r="AD79" s="303"/>
      <c r="AE79" s="303"/>
      <c r="AF79" s="303"/>
      <c r="AG79" s="445"/>
      <c r="AH79" s="303"/>
      <c r="AI79" s="303"/>
      <c r="AJ79" s="303"/>
      <c r="AK79" s="303"/>
      <c r="AL79" s="445"/>
      <c r="AM79" s="303"/>
      <c r="AN79" s="303"/>
      <c r="AO79" s="303"/>
      <c r="AP79" s="303"/>
      <c r="AQ79" s="445"/>
      <c r="AR79" s="303"/>
      <c r="AS79" s="303"/>
      <c r="AT79" s="303"/>
      <c r="AU79" s="303"/>
      <c r="AV79" s="445"/>
      <c r="AW79" s="303"/>
      <c r="AX79" s="303"/>
      <c r="AY79" s="303"/>
      <c r="AZ79" s="303"/>
      <c r="BA79" s="445"/>
    </row>
    <row r="80" spans="2:53" ht="18" x14ac:dyDescent="0.4">
      <c r="B80" s="332" t="s">
        <v>110</v>
      </c>
      <c r="C80" s="333"/>
      <c r="D80" s="44" t="s">
        <v>139</v>
      </c>
      <c r="E80" s="44" t="s">
        <v>140</v>
      </c>
      <c r="F80" s="44" t="s">
        <v>141</v>
      </c>
      <c r="G80" s="44" t="s">
        <v>142</v>
      </c>
      <c r="H80" s="129" t="s">
        <v>143</v>
      </c>
      <c r="I80" s="44" t="s">
        <v>130</v>
      </c>
      <c r="J80" s="44" t="s">
        <v>131</v>
      </c>
      <c r="K80" s="44" t="s">
        <v>132</v>
      </c>
      <c r="L80" s="44" t="s">
        <v>133</v>
      </c>
      <c r="M80" s="129" t="s">
        <v>134</v>
      </c>
      <c r="N80" s="44" t="s">
        <v>121</v>
      </c>
      <c r="O80" s="44" t="s">
        <v>120</v>
      </c>
      <c r="P80" s="44" t="s">
        <v>119</v>
      </c>
      <c r="Q80" s="44" t="s">
        <v>118</v>
      </c>
      <c r="R80" s="129" t="s">
        <v>117</v>
      </c>
      <c r="S80" s="44" t="s">
        <v>314</v>
      </c>
      <c r="T80" s="44" t="s">
        <v>317</v>
      </c>
      <c r="U80" s="44" t="s">
        <v>332</v>
      </c>
      <c r="V80" s="42" t="s">
        <v>181</v>
      </c>
      <c r="W80" s="131" t="s">
        <v>182</v>
      </c>
      <c r="X80" s="42" t="s">
        <v>183</v>
      </c>
      <c r="Y80" s="42" t="s">
        <v>184</v>
      </c>
      <c r="Z80" s="42" t="s">
        <v>185</v>
      </c>
      <c r="AA80" s="42" t="s">
        <v>186</v>
      </c>
      <c r="AB80" s="131" t="s">
        <v>187</v>
      </c>
      <c r="AC80" s="42" t="s">
        <v>188</v>
      </c>
      <c r="AD80" s="42" t="s">
        <v>189</v>
      </c>
      <c r="AE80" s="42" t="s">
        <v>190</v>
      </c>
      <c r="AF80" s="42" t="s">
        <v>191</v>
      </c>
      <c r="AG80" s="131" t="s">
        <v>192</v>
      </c>
      <c r="AH80" s="42" t="s">
        <v>193</v>
      </c>
      <c r="AI80" s="42" t="s">
        <v>194</v>
      </c>
      <c r="AJ80" s="42" t="s">
        <v>195</v>
      </c>
      <c r="AK80" s="42" t="s">
        <v>196</v>
      </c>
      <c r="AL80" s="131" t="s">
        <v>197</v>
      </c>
      <c r="AM80" s="42" t="s">
        <v>198</v>
      </c>
      <c r="AN80" s="42" t="s">
        <v>199</v>
      </c>
      <c r="AO80" s="42" t="s">
        <v>200</v>
      </c>
      <c r="AP80" s="42" t="s">
        <v>201</v>
      </c>
      <c r="AQ80" s="131" t="s">
        <v>202</v>
      </c>
      <c r="AR80" s="42" t="s">
        <v>324</v>
      </c>
      <c r="AS80" s="42" t="s">
        <v>325</v>
      </c>
      <c r="AT80" s="42" t="s">
        <v>326</v>
      </c>
      <c r="AU80" s="42" t="s">
        <v>327</v>
      </c>
      <c r="AV80" s="131" t="s">
        <v>328</v>
      </c>
      <c r="AW80" s="42" t="s">
        <v>339</v>
      </c>
      <c r="AX80" s="42" t="s">
        <v>340</v>
      </c>
      <c r="AY80" s="42" t="s">
        <v>341</v>
      </c>
      <c r="AZ80" s="42" t="s">
        <v>342</v>
      </c>
      <c r="BA80" s="131" t="s">
        <v>343</v>
      </c>
    </row>
    <row r="81" spans="2:53" s="75" customFormat="1" ht="15.6" customHeight="1" outlineLevel="1" x14ac:dyDescent="0.25">
      <c r="B81" s="99" t="s">
        <v>63</v>
      </c>
      <c r="C81" s="70"/>
      <c r="D81" s="46">
        <f>ROUND((D74+D60+D45-D14),0)</f>
        <v>0</v>
      </c>
      <c r="E81" s="46">
        <f>ROUND((E74+E60+E45-E14),0)</f>
        <v>0</v>
      </c>
      <c r="F81" s="46">
        <f>ROUND((F74+F60+F45-F14),0)</f>
        <v>0</v>
      </c>
      <c r="G81" s="46">
        <f>ROUND((G74+G60+G45-G14),0)</f>
        <v>0</v>
      </c>
      <c r="H81" s="26"/>
      <c r="I81" s="46">
        <f>ROUND((I74+I60+I45-I14),0)</f>
        <v>0</v>
      </c>
      <c r="J81" s="46">
        <f>ROUND((J74+J60+J45-J14),0)</f>
        <v>0</v>
      </c>
      <c r="K81" s="46">
        <f>ROUND((K74+K60+K45-K14),0)</f>
        <v>0</v>
      </c>
      <c r="L81" s="46">
        <f>ROUND((L74+L60+L45-L14),0)</f>
        <v>0</v>
      </c>
      <c r="M81" s="26"/>
      <c r="N81" s="46">
        <f>ROUND((N74+N60+N45-N14),0)</f>
        <v>0</v>
      </c>
      <c r="O81" s="46">
        <f>ROUND((O74+O60+O45-O14),0)</f>
        <v>0</v>
      </c>
      <c r="P81" s="46">
        <f>ROUND((P74+P60+P45-P14),0)</f>
        <v>0</v>
      </c>
      <c r="Q81" s="46">
        <f>ROUND((Q74+Q60+Q45-Q14),0)</f>
        <v>0</v>
      </c>
      <c r="R81" s="26"/>
      <c r="S81" s="46">
        <f t="shared" ref="S81:V81" si="249">ROUND((S74+S60+S45-S14),0)</f>
        <v>0</v>
      </c>
      <c r="T81" s="46">
        <f t="shared" si="249"/>
        <v>0</v>
      </c>
      <c r="U81" s="46">
        <f t="shared" si="249"/>
        <v>0</v>
      </c>
      <c r="V81" s="46">
        <f t="shared" si="249"/>
        <v>0</v>
      </c>
      <c r="W81" s="26"/>
      <c r="X81" s="46">
        <f t="shared" ref="X81:AA81" si="250">ROUND((X74+X60+X45-X14),0)</f>
        <v>0</v>
      </c>
      <c r="Y81" s="46">
        <f t="shared" si="250"/>
        <v>0</v>
      </c>
      <c r="Z81" s="46">
        <f t="shared" si="250"/>
        <v>0</v>
      </c>
      <c r="AA81" s="46">
        <f t="shared" si="250"/>
        <v>0</v>
      </c>
      <c r="AB81" s="26"/>
      <c r="AC81" s="46"/>
      <c r="AD81" s="46"/>
      <c r="AE81" s="46"/>
      <c r="AF81" s="46"/>
      <c r="AG81" s="26"/>
      <c r="AH81" s="46"/>
      <c r="AI81" s="46"/>
      <c r="AJ81" s="46"/>
      <c r="AK81" s="46"/>
      <c r="AL81" s="26"/>
      <c r="AM81" s="46"/>
      <c r="AN81" s="46"/>
      <c r="AO81" s="46"/>
      <c r="AP81" s="46"/>
      <c r="AQ81" s="26"/>
      <c r="AR81" s="46"/>
      <c r="AS81" s="46"/>
      <c r="AT81" s="46"/>
      <c r="AU81" s="46"/>
      <c r="AV81" s="26"/>
      <c r="AW81" s="46"/>
      <c r="AX81" s="46"/>
      <c r="AY81" s="46"/>
      <c r="AZ81" s="46"/>
      <c r="BA81" s="26"/>
    </row>
    <row r="82" spans="2:53" s="75" customFormat="1" ht="15.6" customHeight="1" outlineLevel="1" x14ac:dyDescent="0.25">
      <c r="B82" s="99" t="s">
        <v>165</v>
      </c>
      <c r="C82" s="70"/>
      <c r="D82" s="46">
        <f>ROUND((D76+D63+D48-D15),0)</f>
        <v>0</v>
      </c>
      <c r="E82" s="46">
        <f>ROUND((E76+E63+E48-E15),0)</f>
        <v>0</v>
      </c>
      <c r="F82" s="46">
        <f>ROUND((F76+F63+F48-F15),0)</f>
        <v>0</v>
      </c>
      <c r="G82" s="46">
        <f>ROUND((G76+G63+G48-G15),0)</f>
        <v>0</v>
      </c>
      <c r="H82" s="26"/>
      <c r="I82" s="46">
        <f>ROUND((I76+I63+I48-I15),0)</f>
        <v>0</v>
      </c>
      <c r="J82" s="46">
        <f>ROUND((J76+J63+J48-J15),0)</f>
        <v>0</v>
      </c>
      <c r="K82" s="46">
        <f>ROUND((K76+K63+K48-K15),0)</f>
        <v>0</v>
      </c>
      <c r="L82" s="46">
        <f>ROUND((L76+L63+L48-L15),0)</f>
        <v>0</v>
      </c>
      <c r="M82" s="26"/>
      <c r="N82" s="46">
        <f>ROUND((N76+N63+N48-N15),0)</f>
        <v>0</v>
      </c>
      <c r="O82" s="46">
        <f>ROUND((O76+O63+O48-O15),0)</f>
        <v>0</v>
      </c>
      <c r="P82" s="46">
        <f>ROUND((P76+P63+P48-P15),0)</f>
        <v>0</v>
      </c>
      <c r="Q82" s="46">
        <f>ROUND((Q76+Q63+Q48-Q15),0)</f>
        <v>0</v>
      </c>
      <c r="R82" s="26"/>
      <c r="S82" s="46">
        <f t="shared" ref="S82:V82" si="251">ROUND((S76+S63+S48-S15),0)</f>
        <v>0</v>
      </c>
      <c r="T82" s="46">
        <f t="shared" si="251"/>
        <v>0</v>
      </c>
      <c r="U82" s="46">
        <f t="shared" si="251"/>
        <v>0</v>
      </c>
      <c r="V82" s="46">
        <f t="shared" si="251"/>
        <v>0</v>
      </c>
      <c r="W82" s="26"/>
      <c r="X82" s="46">
        <f t="shared" ref="X82:AA82" si="252">ROUND((X76+X63+X48-X15),0)</f>
        <v>0</v>
      </c>
      <c r="Y82" s="46">
        <f t="shared" si="252"/>
        <v>0</v>
      </c>
      <c r="Z82" s="46">
        <f t="shared" si="252"/>
        <v>0</v>
      </c>
      <c r="AA82" s="46">
        <f t="shared" si="252"/>
        <v>0</v>
      </c>
      <c r="AB82" s="26"/>
      <c r="AC82" s="46"/>
      <c r="AD82" s="46"/>
      <c r="AE82" s="46"/>
      <c r="AF82" s="46"/>
      <c r="AG82" s="26"/>
      <c r="AH82" s="46"/>
      <c r="AI82" s="46"/>
      <c r="AJ82" s="46"/>
      <c r="AK82" s="46"/>
      <c r="AL82" s="26"/>
      <c r="AM82" s="46"/>
      <c r="AN82" s="46"/>
      <c r="AO82" s="46"/>
      <c r="AP82" s="46"/>
      <c r="AQ82" s="26"/>
      <c r="AR82" s="46"/>
      <c r="AS82" s="46"/>
      <c r="AT82" s="46"/>
      <c r="AU82" s="46"/>
      <c r="AV82" s="26"/>
      <c r="AW82" s="46"/>
      <c r="AX82" s="46"/>
      <c r="AY82" s="46"/>
      <c r="AZ82" s="46"/>
      <c r="BA82" s="26"/>
    </row>
    <row r="83" spans="2:53" s="75" customFormat="1" ht="15.6" customHeight="1" outlineLevel="1" x14ac:dyDescent="0.25">
      <c r="B83" s="99" t="s">
        <v>225</v>
      </c>
      <c r="C83" s="70"/>
      <c r="D83" s="46">
        <f>ROUND((D65+D50-D18),0)</f>
        <v>0</v>
      </c>
      <c r="E83" s="46">
        <f>ROUND((E65+E50-E18),0)</f>
        <v>0</v>
      </c>
      <c r="F83" s="46">
        <f>ROUND((F65+F50-F18),0)</f>
        <v>0</v>
      </c>
      <c r="G83" s="46">
        <f>ROUND((G65+G50-G18),0)</f>
        <v>0</v>
      </c>
      <c r="H83" s="26"/>
      <c r="I83" s="46">
        <f>ROUND((I65+I50-I18),0)</f>
        <v>0</v>
      </c>
      <c r="J83" s="46">
        <f>ROUND((J65+J50-J18),0)</f>
        <v>0</v>
      </c>
      <c r="K83" s="46">
        <f>ROUND((K65+K50-K18),0)</f>
        <v>0</v>
      </c>
      <c r="L83" s="46">
        <f>ROUND((L65+L50-L18),0)</f>
        <v>0</v>
      </c>
      <c r="M83" s="26"/>
      <c r="N83" s="46">
        <f>ROUND((N65+N50-N18),0)</f>
        <v>0</v>
      </c>
      <c r="O83" s="46">
        <f>ROUND((O65+O50-O18),0)</f>
        <v>0</v>
      </c>
      <c r="P83" s="46">
        <f>ROUND((P65+P50-P18),0)</f>
        <v>0</v>
      </c>
      <c r="Q83" s="46">
        <f>ROUND((Q65+Q50-Q18),0)</f>
        <v>0</v>
      </c>
      <c r="R83" s="26"/>
      <c r="S83" s="46">
        <f t="shared" ref="S83:V83" si="253">ROUND((S65+S50-S18),0)</f>
        <v>0</v>
      </c>
      <c r="T83" s="46">
        <f t="shared" si="253"/>
        <v>0</v>
      </c>
      <c r="U83" s="46">
        <f t="shared" si="253"/>
        <v>0</v>
      </c>
      <c r="V83" s="46">
        <f t="shared" si="253"/>
        <v>0</v>
      </c>
      <c r="W83" s="26"/>
      <c r="X83" s="46">
        <f t="shared" ref="X83:AA83" si="254">ROUND((X65+X50-X18),0)</f>
        <v>0</v>
      </c>
      <c r="Y83" s="46">
        <f t="shared" si="254"/>
        <v>0</v>
      </c>
      <c r="Z83" s="46">
        <f t="shared" si="254"/>
        <v>0</v>
      </c>
      <c r="AA83" s="46">
        <f t="shared" si="254"/>
        <v>0</v>
      </c>
      <c r="AB83" s="26"/>
      <c r="AC83" s="46"/>
      <c r="AD83" s="46"/>
      <c r="AE83" s="46"/>
      <c r="AF83" s="46"/>
      <c r="AG83" s="26"/>
      <c r="AH83" s="46"/>
      <c r="AI83" s="46"/>
      <c r="AJ83" s="46"/>
      <c r="AK83" s="46"/>
      <c r="AL83" s="26"/>
      <c r="AM83" s="46"/>
      <c r="AN83" s="46"/>
      <c r="AO83" s="46"/>
      <c r="AP83" s="46"/>
      <c r="AQ83" s="26"/>
      <c r="AR83" s="46"/>
      <c r="AS83" s="46"/>
      <c r="AT83" s="46"/>
      <c r="AU83" s="46"/>
      <c r="AV83" s="26"/>
      <c r="AW83" s="46"/>
      <c r="AX83" s="46"/>
      <c r="AY83" s="46"/>
      <c r="AZ83" s="46"/>
      <c r="BA83" s="26"/>
    </row>
    <row r="84" spans="2:53" s="75" customFormat="1" ht="15.6" customHeight="1" outlineLevel="1" x14ac:dyDescent="0.25">
      <c r="B84" s="99" t="s">
        <v>226</v>
      </c>
      <c r="C84" s="70"/>
      <c r="D84" s="46">
        <f>ROUND((D78+D67+D52-D22-D19-D20),0)</f>
        <v>0</v>
      </c>
      <c r="E84" s="46">
        <f>ROUND((E78+E67+E52-E22-E19-E20),0)</f>
        <v>0</v>
      </c>
      <c r="F84" s="46">
        <f>ROUND((F78+F67+F52-F22-F19-F20),0)</f>
        <v>0</v>
      </c>
      <c r="G84" s="46">
        <f>ROUND((G78+G67+G52-G22-G19-G20),0)</f>
        <v>0</v>
      </c>
      <c r="H84" s="26"/>
      <c r="I84" s="46">
        <f>ROUND((I78+I67+I52-I22-I19-I20),0)</f>
        <v>0</v>
      </c>
      <c r="J84" s="46">
        <f>ROUND((J78+J67+J52-J22-J19-J20),0)</f>
        <v>0</v>
      </c>
      <c r="K84" s="46">
        <f>ROUND((K78+K67+K52-K22-K19-K20),0)</f>
        <v>0</v>
      </c>
      <c r="L84" s="46">
        <f>ROUND((L78+L67+L52-L22-L19-L20),0)</f>
        <v>0</v>
      </c>
      <c r="M84" s="26"/>
      <c r="N84" s="46">
        <f>ROUND((N78+N67+N52-N22-N19-N20),0)</f>
        <v>0</v>
      </c>
      <c r="O84" s="46">
        <f>ROUND((O78+O67+O52-O22-O19-O20),0)</f>
        <v>0</v>
      </c>
      <c r="P84" s="46">
        <f>ROUND((P78+P67+P52-P22-P19-P20),0)</f>
        <v>0</v>
      </c>
      <c r="Q84" s="46">
        <f>ROUND((Q78+Q67+Q52-Q22-Q19-Q20),0)</f>
        <v>0</v>
      </c>
      <c r="R84" s="26"/>
      <c r="S84" s="46">
        <f t="shared" ref="S84:V84" si="255">ROUND((S78+S67+S52-S22-S19-S20),0)</f>
        <v>0</v>
      </c>
      <c r="T84" s="46">
        <f t="shared" si="255"/>
        <v>0</v>
      </c>
      <c r="U84" s="46">
        <f t="shared" si="255"/>
        <v>0</v>
      </c>
      <c r="V84" s="46">
        <f t="shared" si="255"/>
        <v>0</v>
      </c>
      <c r="W84" s="26"/>
      <c r="X84" s="46">
        <f t="shared" ref="X84:AA84" si="256">ROUND((X78+X67+X52-X22-X19-X20),0)</f>
        <v>0</v>
      </c>
      <c r="Y84" s="46">
        <f t="shared" si="256"/>
        <v>0</v>
      </c>
      <c r="Z84" s="46">
        <f t="shared" si="256"/>
        <v>0</v>
      </c>
      <c r="AA84" s="46">
        <f t="shared" si="256"/>
        <v>0</v>
      </c>
      <c r="AB84" s="26"/>
      <c r="AC84" s="46"/>
      <c r="AD84" s="46"/>
      <c r="AE84" s="46"/>
      <c r="AF84" s="46"/>
      <c r="AG84" s="26"/>
      <c r="AH84" s="46"/>
      <c r="AI84" s="46"/>
      <c r="AJ84" s="46"/>
      <c r="AK84" s="46"/>
      <c r="AL84" s="26"/>
      <c r="AM84" s="46"/>
      <c r="AN84" s="46"/>
      <c r="AO84" s="46"/>
      <c r="AP84" s="46"/>
      <c r="AQ84" s="26"/>
      <c r="AR84" s="46"/>
      <c r="AS84" s="46"/>
      <c r="AT84" s="46"/>
      <c r="AU84" s="46"/>
      <c r="AV84" s="26"/>
      <c r="AW84" s="46"/>
      <c r="AX84" s="46"/>
      <c r="AY84" s="46"/>
      <c r="AZ84" s="46"/>
      <c r="BA84" s="26"/>
    </row>
    <row r="85" spans="2:53" ht="15" customHeight="1" x14ac:dyDescent="0.4">
      <c r="B85" s="332" t="s">
        <v>58</v>
      </c>
      <c r="C85" s="333"/>
      <c r="D85" s="44" t="s">
        <v>139</v>
      </c>
      <c r="E85" s="44" t="s">
        <v>140</v>
      </c>
      <c r="F85" s="44" t="s">
        <v>141</v>
      </c>
      <c r="G85" s="44" t="s">
        <v>142</v>
      </c>
      <c r="H85" s="129" t="s">
        <v>143</v>
      </c>
      <c r="I85" s="44" t="s">
        <v>130</v>
      </c>
      <c r="J85" s="44" t="s">
        <v>131</v>
      </c>
      <c r="K85" s="44" t="s">
        <v>132</v>
      </c>
      <c r="L85" s="44" t="s">
        <v>133</v>
      </c>
      <c r="M85" s="129" t="s">
        <v>134</v>
      </c>
      <c r="N85" s="44" t="s">
        <v>121</v>
      </c>
      <c r="O85" s="44" t="s">
        <v>120</v>
      </c>
      <c r="P85" s="44" t="s">
        <v>119</v>
      </c>
      <c r="Q85" s="44" t="s">
        <v>118</v>
      </c>
      <c r="R85" s="129" t="s">
        <v>117</v>
      </c>
      <c r="S85" s="44" t="s">
        <v>314</v>
      </c>
      <c r="T85" s="44" t="s">
        <v>317</v>
      </c>
      <c r="U85" s="44" t="s">
        <v>332</v>
      </c>
      <c r="V85" s="42" t="s">
        <v>181</v>
      </c>
      <c r="W85" s="131" t="s">
        <v>182</v>
      </c>
      <c r="X85" s="42" t="s">
        <v>183</v>
      </c>
      <c r="Y85" s="42" t="s">
        <v>184</v>
      </c>
      <c r="Z85" s="42" t="s">
        <v>185</v>
      </c>
      <c r="AA85" s="42" t="s">
        <v>186</v>
      </c>
      <c r="AB85" s="131" t="s">
        <v>187</v>
      </c>
      <c r="AC85" s="42" t="s">
        <v>188</v>
      </c>
      <c r="AD85" s="42" t="s">
        <v>189</v>
      </c>
      <c r="AE85" s="42" t="s">
        <v>190</v>
      </c>
      <c r="AF85" s="42" t="s">
        <v>191</v>
      </c>
      <c r="AG85" s="131" t="s">
        <v>192</v>
      </c>
      <c r="AH85" s="42" t="s">
        <v>193</v>
      </c>
      <c r="AI85" s="42" t="s">
        <v>194</v>
      </c>
      <c r="AJ85" s="42" t="s">
        <v>195</v>
      </c>
      <c r="AK85" s="42" t="s">
        <v>196</v>
      </c>
      <c r="AL85" s="131" t="s">
        <v>197</v>
      </c>
      <c r="AM85" s="42" t="s">
        <v>198</v>
      </c>
      <c r="AN85" s="42" t="s">
        <v>199</v>
      </c>
      <c r="AO85" s="42" t="s">
        <v>200</v>
      </c>
      <c r="AP85" s="42" t="s">
        <v>201</v>
      </c>
      <c r="AQ85" s="131" t="s">
        <v>202</v>
      </c>
      <c r="AR85" s="42" t="s">
        <v>324</v>
      </c>
      <c r="AS85" s="42" t="s">
        <v>325</v>
      </c>
      <c r="AT85" s="42" t="s">
        <v>326</v>
      </c>
      <c r="AU85" s="42" t="s">
        <v>327</v>
      </c>
      <c r="AV85" s="131" t="s">
        <v>328</v>
      </c>
      <c r="AW85" s="42" t="s">
        <v>339</v>
      </c>
      <c r="AX85" s="42" t="s">
        <v>340</v>
      </c>
      <c r="AY85" s="42" t="s">
        <v>341</v>
      </c>
      <c r="AZ85" s="42" t="s">
        <v>342</v>
      </c>
      <c r="BA85" s="131" t="s">
        <v>343</v>
      </c>
    </row>
    <row r="86" spans="2:53" s="59" customFormat="1" outlineLevel="1" x14ac:dyDescent="0.25">
      <c r="B86" s="344" t="s">
        <v>176</v>
      </c>
      <c r="C86" s="345"/>
      <c r="D86" s="78"/>
      <c r="E86" s="78"/>
      <c r="F86" s="78"/>
      <c r="G86" s="78"/>
      <c r="H86" s="76"/>
      <c r="I86" s="78">
        <f t="shared" ref="I86:AQ86" si="257">I14/D14-1</f>
        <v>0.3467776043348032</v>
      </c>
      <c r="J86" s="78">
        <f t="shared" si="257"/>
        <v>0.32313258002549849</v>
      </c>
      <c r="K86" s="78">
        <f t="shared" si="257"/>
        <v>0.30332487987885703</v>
      </c>
      <c r="L86" s="78">
        <f t="shared" si="257"/>
        <v>0.32621619581673911</v>
      </c>
      <c r="M86" s="76">
        <f t="shared" si="257"/>
        <v>0.32410273785598775</v>
      </c>
      <c r="N86" s="78">
        <f t="shared" si="257"/>
        <v>0.40362848858488176</v>
      </c>
      <c r="O86" s="78">
        <f t="shared" si="257"/>
        <v>0.40273577400390037</v>
      </c>
      <c r="P86" s="78">
        <f t="shared" si="257"/>
        <v>0.33988707674298846</v>
      </c>
      <c r="Q86" s="78">
        <f t="shared" si="257"/>
        <v>0.27424016702401732</v>
      </c>
      <c r="R86" s="77">
        <f t="shared" si="257"/>
        <v>0.35078497180252355</v>
      </c>
      <c r="S86" s="78">
        <f t="shared" si="257"/>
        <v>0.2216071092741787</v>
      </c>
      <c r="T86" s="78">
        <f t="shared" si="257"/>
        <v>0.25998868775385375</v>
      </c>
      <c r="U86" s="78">
        <f t="shared" si="257"/>
        <v>0.31143148902803297</v>
      </c>
      <c r="V86" s="78">
        <f t="shared" si="257"/>
        <v>0.29968280787352564</v>
      </c>
      <c r="W86" s="77">
        <f t="shared" si="257"/>
        <v>0.27454372847844666</v>
      </c>
      <c r="X86" s="78">
        <f t="shared" si="257"/>
        <v>0.29125774372757474</v>
      </c>
      <c r="Y86" s="78">
        <f t="shared" si="257"/>
        <v>0.24438278877931641</v>
      </c>
      <c r="Z86" s="78">
        <f t="shared" si="257"/>
        <v>0.20300572343936829</v>
      </c>
      <c r="AA86" s="78">
        <f t="shared" si="257"/>
        <v>0.20603205262102642</v>
      </c>
      <c r="AB86" s="76">
        <f t="shared" si="257"/>
        <v>0.2337628497208013</v>
      </c>
      <c r="AC86" s="293"/>
      <c r="AD86" s="293"/>
      <c r="AE86" s="293"/>
      <c r="AF86" s="293"/>
      <c r="AG86" s="460"/>
      <c r="AH86" s="293"/>
      <c r="AI86" s="293"/>
      <c r="AJ86" s="293"/>
      <c r="AK86" s="293"/>
      <c r="AL86" s="460"/>
      <c r="AM86" s="293"/>
      <c r="AN86" s="293"/>
      <c r="AO86" s="293"/>
      <c r="AP86" s="293"/>
      <c r="AQ86" s="460"/>
      <c r="AR86" s="293"/>
      <c r="AS86" s="293"/>
      <c r="AT86" s="293"/>
      <c r="AU86" s="293"/>
      <c r="AV86" s="460"/>
      <c r="AW86" s="293"/>
      <c r="AX86" s="293"/>
      <c r="AY86" s="293"/>
      <c r="AZ86" s="293"/>
      <c r="BA86" s="460"/>
    </row>
    <row r="87" spans="2:53" s="59" customFormat="1" outlineLevel="1" x14ac:dyDescent="0.25">
      <c r="B87" s="344" t="s">
        <v>177</v>
      </c>
      <c r="C87" s="345"/>
      <c r="D87" s="78"/>
      <c r="E87" s="78">
        <f>+E14/D14-1</f>
        <v>7.5325784477580315E-2</v>
      </c>
      <c r="F87" s="78">
        <f>+F14/E14-1</f>
        <v>8.7869869143322843E-2</v>
      </c>
      <c r="G87" s="78">
        <f>+G14/F14-1</f>
        <v>8.1806821099403182E-2</v>
      </c>
      <c r="H87" s="76"/>
      <c r="I87" s="78">
        <f>+I14/G14-1</f>
        <v>6.4214477177168883E-2</v>
      </c>
      <c r="J87" s="78">
        <f>+J14/I14-1</f>
        <v>5.6446569206583197E-2</v>
      </c>
      <c r="K87" s="78">
        <f>+K14/J14-1</f>
        <v>7.1584123865898075E-2</v>
      </c>
      <c r="L87" s="78">
        <f>+L14/K14-1</f>
        <v>0.10080744182556023</v>
      </c>
      <c r="M87" s="76"/>
      <c r="N87" s="78">
        <f>+N14/L14-1</f>
        <v>0.12633352151940724</v>
      </c>
      <c r="O87" s="78">
        <f>+O14/N14-1</f>
        <v>5.5774664023674481E-2</v>
      </c>
      <c r="P87" s="78">
        <f>+P14/O14-1</f>
        <v>2.3572468756958065E-2</v>
      </c>
      <c r="Q87" s="78">
        <f>+Q14/P14-1</f>
        <v>4.6874085794426978E-2</v>
      </c>
      <c r="R87" s="77"/>
      <c r="S87" s="78">
        <f>+S14/Q14-1</f>
        <v>7.98098136518679E-2</v>
      </c>
      <c r="T87" s="78">
        <f>+T14/S14-1</f>
        <v>8.894596584112513E-2</v>
      </c>
      <c r="U87" s="78">
        <f>+U14/T14-1</f>
        <v>6.5362871807205014E-2</v>
      </c>
      <c r="V87" s="78">
        <f>+V14/U14-1</f>
        <v>3.7495486953529333E-2</v>
      </c>
      <c r="W87" s="77"/>
      <c r="X87" s="78">
        <f>+X14/V14-1</f>
        <v>7.2810054256474244E-2</v>
      </c>
      <c r="Y87" s="78">
        <f>+Y14/X14-1</f>
        <v>4.9415288609686581E-2</v>
      </c>
      <c r="Z87" s="78">
        <f>+Z14/Y14-1</f>
        <v>2.9938411138825449E-2</v>
      </c>
      <c r="AA87" s="78">
        <f>+AA14/Z14-1</f>
        <v>4.0105451982647589E-2</v>
      </c>
      <c r="AB87" s="76"/>
      <c r="AC87" s="293"/>
      <c r="AD87" s="293"/>
      <c r="AE87" s="293"/>
      <c r="AF87" s="293"/>
      <c r="AG87" s="460"/>
      <c r="AH87" s="293"/>
      <c r="AI87" s="293"/>
      <c r="AJ87" s="293"/>
      <c r="AK87" s="293"/>
      <c r="AL87" s="460"/>
      <c r="AM87" s="293"/>
      <c r="AN87" s="293"/>
      <c r="AO87" s="293"/>
      <c r="AP87" s="293"/>
      <c r="AQ87" s="460"/>
      <c r="AR87" s="293"/>
      <c r="AS87" s="293"/>
      <c r="AT87" s="293"/>
      <c r="AU87" s="293"/>
      <c r="AV87" s="460"/>
      <c r="AW87" s="293"/>
      <c r="AX87" s="293"/>
      <c r="AY87" s="293"/>
      <c r="AZ87" s="293"/>
      <c r="BA87" s="460"/>
    </row>
    <row r="88" spans="2:53" s="59" customFormat="1" ht="17.25" outlineLevel="1" x14ac:dyDescent="0.4">
      <c r="B88" s="99" t="s">
        <v>168</v>
      </c>
      <c r="C88" s="100"/>
      <c r="D88" s="78">
        <f t="shared" ref="D88:Q88" si="258">+D16/D14</f>
        <v>0.27539719349289188</v>
      </c>
      <c r="E88" s="78">
        <f t="shared" si="258"/>
        <v>0.27541606419140385</v>
      </c>
      <c r="F88" s="78">
        <f t="shared" si="258"/>
        <v>0.30408857264119804</v>
      </c>
      <c r="G88" s="78">
        <f t="shared" si="258"/>
        <v>0.30587788456376713</v>
      </c>
      <c r="H88" s="76">
        <f t="shared" si="258"/>
        <v>0.29139434396193559</v>
      </c>
      <c r="I88" s="78">
        <f t="shared" si="258"/>
        <v>0.33979068016619673</v>
      </c>
      <c r="J88" s="78">
        <f t="shared" si="258"/>
        <v>0.28496796224973653</v>
      </c>
      <c r="K88" s="78">
        <f t="shared" si="258"/>
        <v>0.3010594470291561</v>
      </c>
      <c r="L88" s="78">
        <f t="shared" si="258"/>
        <v>0.32608061160981272</v>
      </c>
      <c r="M88" s="76">
        <f t="shared" si="258"/>
        <v>0.31299092007132995</v>
      </c>
      <c r="N88" s="78">
        <f t="shared" si="258"/>
        <v>0.37836570782543283</v>
      </c>
      <c r="O88" s="78">
        <f t="shared" si="258"/>
        <v>0.38513821670885295</v>
      </c>
      <c r="P88" s="78">
        <f t="shared" si="258"/>
        <v>0.36711895411631912</v>
      </c>
      <c r="Q88" s="78">
        <f t="shared" si="258"/>
        <v>0.34714501935946462</v>
      </c>
      <c r="R88" s="77">
        <f t="shared" ref="R88:AQ88" si="259">+R16/R14</f>
        <v>0.36891713304151152</v>
      </c>
      <c r="S88" s="74">
        <f t="shared" si="259"/>
        <v>0.3650477594297889</v>
      </c>
      <c r="T88" s="74">
        <f t="shared" si="259"/>
        <v>0.38948076787140501</v>
      </c>
      <c r="U88" s="74">
        <f t="shared" si="259"/>
        <v>0.40934697577935159</v>
      </c>
      <c r="V88" s="74">
        <f t="shared" si="259"/>
        <v>0.35722070679226864</v>
      </c>
      <c r="W88" s="77">
        <f t="shared" si="259"/>
        <v>0.38044921954819461</v>
      </c>
      <c r="X88" s="78">
        <f t="shared" si="259"/>
        <v>0.39646758433644808</v>
      </c>
      <c r="Y88" s="78">
        <f t="shared" si="259"/>
        <v>0.39635875871187098</v>
      </c>
      <c r="Z88" s="78">
        <f t="shared" si="259"/>
        <v>0.39745200872719066</v>
      </c>
      <c r="AA88" s="78">
        <f t="shared" si="259"/>
        <v>0.40058462585550503</v>
      </c>
      <c r="AB88" s="77">
        <f t="shared" si="259"/>
        <v>0.39777871043337004</v>
      </c>
      <c r="AC88" s="293"/>
      <c r="AD88" s="398" t="s">
        <v>344</v>
      </c>
      <c r="AE88" s="400"/>
      <c r="AF88" s="423"/>
      <c r="AG88" s="282"/>
      <c r="AH88" s="423"/>
      <c r="AI88" s="398" t="s">
        <v>344</v>
      </c>
      <c r="AJ88" s="400"/>
      <c r="AK88" s="424"/>
      <c r="AL88" s="282"/>
      <c r="AM88" s="424"/>
      <c r="AN88" s="398" t="s">
        <v>344</v>
      </c>
      <c r="AO88" s="400"/>
      <c r="AP88" s="424"/>
      <c r="AQ88" s="55"/>
      <c r="AR88" s="424"/>
      <c r="AS88" s="398" t="s">
        <v>344</v>
      </c>
      <c r="AT88" s="400"/>
      <c r="AU88" s="424"/>
      <c r="AV88" s="55"/>
      <c r="AW88" s="424"/>
      <c r="AX88" s="398" t="s">
        <v>344</v>
      </c>
      <c r="AY88" s="400"/>
      <c r="AZ88" s="293"/>
      <c r="BA88" s="325"/>
    </row>
    <row r="89" spans="2:53" s="59" customFormat="1" outlineLevel="1" x14ac:dyDescent="0.25">
      <c r="B89" s="99" t="s">
        <v>264</v>
      </c>
      <c r="C89" s="100"/>
      <c r="D89" s="78">
        <f>+D19/D14</f>
        <v>9.5319287176616252E-2</v>
      </c>
      <c r="E89" s="78">
        <f t="shared" ref="E89:R89" si="260">+E19/E14</f>
        <v>9.0349438819230812E-2</v>
      </c>
      <c r="F89" s="78">
        <f t="shared" si="260"/>
        <v>8.624008160028783E-2</v>
      </c>
      <c r="G89" s="78">
        <f t="shared" si="260"/>
        <v>8.3111439931771058E-2</v>
      </c>
      <c r="H89" s="76">
        <f t="shared" si="260"/>
        <v>8.8354800751789017E-2</v>
      </c>
      <c r="I89" s="78">
        <f t="shared" si="260"/>
        <v>8.8700559614812061E-2</v>
      </c>
      <c r="J89" s="78">
        <f t="shared" si="260"/>
        <v>8.705335987110227E-2</v>
      </c>
      <c r="K89" s="78">
        <f t="shared" si="260"/>
        <v>7.7130276505523385E-2</v>
      </c>
      <c r="L89" s="78">
        <f t="shared" si="260"/>
        <v>7.5213154967427573E-2</v>
      </c>
      <c r="M89" s="76">
        <f t="shared" si="260"/>
        <v>8.1564475241973355E-2</v>
      </c>
      <c r="N89" s="74">
        <f t="shared" si="260"/>
        <v>7.6282351974786375E-2</v>
      </c>
      <c r="O89" s="74">
        <f t="shared" si="260"/>
        <v>7.6548331699626604E-2</v>
      </c>
      <c r="P89" s="74">
        <f t="shared" si="260"/>
        <v>7.7167076647495336E-2</v>
      </c>
      <c r="Q89" s="74">
        <f t="shared" si="260"/>
        <v>7.9245665168560242E-2</v>
      </c>
      <c r="R89" s="77">
        <f t="shared" si="260"/>
        <v>7.7357706788779595E-2</v>
      </c>
      <c r="S89" s="74">
        <f t="shared" ref="S89:T89" si="261">+S19/S14</f>
        <v>8.2451815884655402E-2</v>
      </c>
      <c r="T89" s="74">
        <f t="shared" si="261"/>
        <v>7.784358524154214E-2</v>
      </c>
      <c r="U89" s="305">
        <f t="shared" ref="U89" si="262">+U19/U14</f>
        <v>7.240855649435024E-2</v>
      </c>
      <c r="V89" s="86">
        <v>7.4825741076423258E-2</v>
      </c>
      <c r="W89" s="77"/>
      <c r="X89" s="86">
        <f>AVERAGE(S89,T89,U89,V89)</f>
        <v>7.6882424674242764E-2</v>
      </c>
      <c r="Y89" s="86">
        <f>AVERAGE(T89,U89,V89,X89)</f>
        <v>7.5490076871639597E-2</v>
      </c>
      <c r="Z89" s="86">
        <f>AVERAGE(U89,V89,X89,Y89)</f>
        <v>7.4901699779163972E-2</v>
      </c>
      <c r="AA89" s="86">
        <f>AVERAGE(V89,X89,Y89,Z89)</f>
        <v>7.5524985600367411E-2</v>
      </c>
      <c r="AB89" s="77"/>
      <c r="AC89" s="305"/>
      <c r="AD89" s="401"/>
      <c r="AE89" s="403"/>
      <c r="AF89" s="417"/>
      <c r="AG89" s="278"/>
      <c r="AH89" s="417"/>
      <c r="AI89" s="401"/>
      <c r="AJ89" s="403"/>
      <c r="AK89" s="418"/>
      <c r="AL89" s="278"/>
      <c r="AM89" s="418"/>
      <c r="AN89" s="401"/>
      <c r="AO89" s="403"/>
      <c r="AP89" s="418"/>
      <c r="AQ89" s="58"/>
      <c r="AR89" s="418"/>
      <c r="AS89" s="401"/>
      <c r="AT89" s="403"/>
      <c r="AU89" s="418"/>
      <c r="AV89" s="58"/>
      <c r="AW89" s="418"/>
      <c r="AX89" s="401"/>
      <c r="AY89" s="403"/>
      <c r="AZ89" s="293"/>
      <c r="BA89" s="325"/>
    </row>
    <row r="90" spans="2:53" s="59" customFormat="1" outlineLevel="1" x14ac:dyDescent="0.25">
      <c r="B90" s="99" t="s">
        <v>265</v>
      </c>
      <c r="C90" s="100"/>
      <c r="D90" s="78">
        <f>+D20/D14</f>
        <v>3.6586649068107241E-2</v>
      </c>
      <c r="E90" s="78">
        <f t="shared" ref="E90:R90" si="263">+E20/E14</f>
        <v>3.7356474716939543E-2</v>
      </c>
      <c r="F90" s="78">
        <f t="shared" si="263"/>
        <v>3.5744227111486046E-2</v>
      </c>
      <c r="G90" s="78">
        <f t="shared" si="263"/>
        <v>3.3715688257025811E-2</v>
      </c>
      <c r="H90" s="76">
        <f t="shared" si="263"/>
        <v>3.5746215830306842E-2</v>
      </c>
      <c r="I90" s="78">
        <f t="shared" si="263"/>
        <v>3.7526240833486615E-2</v>
      </c>
      <c r="J90" s="78">
        <f t="shared" si="263"/>
        <v>4.0322545902585709E-2</v>
      </c>
      <c r="K90" s="78">
        <f t="shared" si="263"/>
        <v>3.5956137291577255E-2</v>
      </c>
      <c r="L90" s="78">
        <f t="shared" si="263"/>
        <v>3.4226228066304397E-2</v>
      </c>
      <c r="M90" s="76">
        <f t="shared" si="263"/>
        <v>3.6864241857300355E-2</v>
      </c>
      <c r="N90" s="74">
        <f t="shared" si="263"/>
        <v>3.6373206631114527E-2</v>
      </c>
      <c r="O90" s="74">
        <f t="shared" si="263"/>
        <v>3.8780017761762049E-2</v>
      </c>
      <c r="P90" s="74">
        <f t="shared" si="263"/>
        <v>4.2163598603181397E-2</v>
      </c>
      <c r="Q90" s="74">
        <f t="shared" si="263"/>
        <v>4.1924209684580806E-2</v>
      </c>
      <c r="R90" s="77">
        <f t="shared" si="263"/>
        <v>3.9906318345285817E-2</v>
      </c>
      <c r="S90" s="74">
        <f t="shared" ref="S90:T90" si="264">+S20/S14</f>
        <v>4.4669842370877892E-2</v>
      </c>
      <c r="T90" s="74">
        <f t="shared" si="264"/>
        <v>4.5633090912340885E-2</v>
      </c>
      <c r="U90" s="305">
        <f t="shared" ref="U90" si="265">+U20/U14</f>
        <v>4.4457239930942506E-2</v>
      </c>
      <c r="V90" s="86">
        <v>4.4999999999999998E-2</v>
      </c>
      <c r="W90" s="77"/>
      <c r="X90" s="86">
        <f>AVERAGE(S90,T90,U90,V90)</f>
        <v>4.4940043303540317E-2</v>
      </c>
      <c r="Y90" s="86">
        <f>AVERAGE(T90,U90,V90,X90)</f>
        <v>4.5007593536705921E-2</v>
      </c>
      <c r="Z90" s="86">
        <f>AVERAGE(U90,V90,X90,Y90)</f>
        <v>4.4851219192797186E-2</v>
      </c>
      <c r="AA90" s="86">
        <f>AVERAGE(V90,X90,Y90,Z90)</f>
        <v>4.4949714008260859E-2</v>
      </c>
      <c r="AB90" s="77"/>
      <c r="AC90" s="305"/>
      <c r="AD90" s="401"/>
      <c r="AE90" s="403"/>
      <c r="AF90" s="426"/>
      <c r="AG90" s="427"/>
      <c r="AH90" s="426"/>
      <c r="AI90" s="401"/>
      <c r="AJ90" s="403"/>
      <c r="AK90" s="428"/>
      <c r="AL90" s="427"/>
      <c r="AM90" s="428"/>
      <c r="AN90" s="401"/>
      <c r="AO90" s="403"/>
      <c r="AP90" s="428"/>
      <c r="AQ90" s="429"/>
      <c r="AR90" s="428"/>
      <c r="AS90" s="401"/>
      <c r="AT90" s="403"/>
      <c r="AU90" s="428"/>
      <c r="AV90" s="429"/>
      <c r="AW90" s="428"/>
      <c r="AX90" s="401"/>
      <c r="AY90" s="403"/>
      <c r="AZ90" s="293"/>
      <c r="BA90" s="325"/>
    </row>
    <row r="91" spans="2:53" s="59" customFormat="1" ht="17.25" outlineLevel="1" x14ac:dyDescent="0.4">
      <c r="B91" s="99" t="s">
        <v>285</v>
      </c>
      <c r="C91" s="100"/>
      <c r="D91" s="74">
        <f>+D22/D14</f>
        <v>2.526030067383965E-2</v>
      </c>
      <c r="E91" s="74">
        <f t="shared" ref="E91:AQ91" si="266">+E22/E14</f>
        <v>3.3426689289969155E-2</v>
      </c>
      <c r="F91" s="74">
        <f t="shared" si="266"/>
        <v>4.6300129072373124E-2</v>
      </c>
      <c r="G91" s="74">
        <f t="shared" si="266"/>
        <v>6.2131766941495692E-2</v>
      </c>
      <c r="H91" s="77">
        <f t="shared" si="266"/>
        <v>4.3008406271371043E-2</v>
      </c>
      <c r="I91" s="74">
        <f t="shared" si="266"/>
        <v>9.7450727916454191E-2</v>
      </c>
      <c r="J91" s="74">
        <f t="shared" si="266"/>
        <v>4.5883558358679209E-2</v>
      </c>
      <c r="K91" s="74">
        <f t="shared" si="266"/>
        <v>6.9895093872105796E-2</v>
      </c>
      <c r="L91" s="74">
        <f t="shared" si="266"/>
        <v>7.4656509691075665E-2</v>
      </c>
      <c r="M91" s="77">
        <f t="shared" si="266"/>
        <v>7.172663863382267E-2</v>
      </c>
      <c r="N91" s="74">
        <f t="shared" si="266"/>
        <v>0.12066883985758972</v>
      </c>
      <c r="O91" s="74">
        <f t="shared" si="266"/>
        <v>0.11829563864283757</v>
      </c>
      <c r="P91" s="74">
        <f t="shared" si="266"/>
        <v>0.12018580907912081</v>
      </c>
      <c r="Q91" s="74">
        <f t="shared" si="266"/>
        <v>5.1534557916099573E-2</v>
      </c>
      <c r="R91" s="77">
        <f t="shared" si="266"/>
        <v>0.10163298361102877</v>
      </c>
      <c r="S91" s="293">
        <f t="shared" si="266"/>
        <v>0.10154497066130624</v>
      </c>
      <c r="T91" s="305">
        <f t="shared" si="266"/>
        <v>0.14349022042137538</v>
      </c>
      <c r="U91" s="305">
        <f t="shared" ref="U91" si="267">+U22/U14</f>
        <v>0.18689356623237216</v>
      </c>
      <c r="V91" s="292">
        <f t="shared" si="266"/>
        <v>8.7291059960376657E-2</v>
      </c>
      <c r="W91" s="325">
        <f t="shared" si="266"/>
        <v>0.13018711957699555</v>
      </c>
      <c r="X91" s="305">
        <f t="shared" si="266"/>
        <v>0.15221835993303093</v>
      </c>
      <c r="Y91" s="305">
        <f t="shared" si="266"/>
        <v>0.15896891228150278</v>
      </c>
      <c r="Z91" s="305">
        <f t="shared" si="266"/>
        <v>0.1691469726573617</v>
      </c>
      <c r="AA91" s="305">
        <f t="shared" si="266"/>
        <v>0.17295495239038472</v>
      </c>
      <c r="AB91" s="77">
        <f t="shared" si="266"/>
        <v>0.16366356474432581</v>
      </c>
      <c r="AC91" s="305"/>
      <c r="AD91" s="437"/>
      <c r="AE91" s="438"/>
      <c r="AF91" s="431"/>
      <c r="AG91" s="286"/>
      <c r="AH91" s="431"/>
      <c r="AI91" s="437"/>
      <c r="AJ91" s="438"/>
      <c r="AK91" s="432"/>
      <c r="AL91" s="286"/>
      <c r="AM91" s="432"/>
      <c r="AN91" s="437"/>
      <c r="AO91" s="438"/>
      <c r="AP91" s="432"/>
      <c r="AQ91" s="254"/>
      <c r="AR91" s="432"/>
      <c r="AS91" s="437"/>
      <c r="AT91" s="438"/>
      <c r="AU91" s="432"/>
      <c r="AV91" s="254"/>
      <c r="AW91" s="432"/>
      <c r="AX91" s="437"/>
      <c r="AY91" s="438"/>
      <c r="AZ91" s="305"/>
      <c r="BA91" s="325"/>
    </row>
    <row r="92" spans="2:53" s="59" customFormat="1" outlineLevel="1" x14ac:dyDescent="0.25">
      <c r="B92" s="344" t="s">
        <v>2</v>
      </c>
      <c r="C92" s="345"/>
      <c r="D92" s="74">
        <f>+D29/D28</f>
        <v>0.30645201735249017</v>
      </c>
      <c r="E92" s="74">
        <f t="shared" ref="E92:Q92" si="268">+E29/E28</f>
        <v>0.20450109306683231</v>
      </c>
      <c r="F92" s="74">
        <f t="shared" si="268"/>
        <v>0.34893272839864997</v>
      </c>
      <c r="G92" s="74">
        <f t="shared" si="268"/>
        <v>0.26056564269018101</v>
      </c>
      <c r="H92" s="77">
        <f>H29/H28</f>
        <v>0.28340505245540215</v>
      </c>
      <c r="I92" s="74">
        <f t="shared" si="268"/>
        <v>0.20362658182598106</v>
      </c>
      <c r="J92" s="74">
        <f t="shared" si="268"/>
        <v>-3.6984672682996655</v>
      </c>
      <c r="K92" s="74">
        <f t="shared" si="268"/>
        <v>-0.11487736262979963</v>
      </c>
      <c r="L92" s="74">
        <f t="shared" si="268"/>
        <v>-0.41260184268636158</v>
      </c>
      <c r="M92" s="77">
        <f>M29/M28</f>
        <v>-0.15166868938290309</v>
      </c>
      <c r="N92" s="74">
        <f t="shared" si="268"/>
        <v>3.1680551105414921E-2</v>
      </c>
      <c r="O92" s="74">
        <f t="shared" si="268"/>
        <v>0.10332076633787177</v>
      </c>
      <c r="P92" s="74">
        <f t="shared" si="268"/>
        <v>-6.3422296137905593E-2</v>
      </c>
      <c r="Q92" s="74">
        <f t="shared" si="268"/>
        <v>-0.12176287312807769</v>
      </c>
      <c r="R92" s="77">
        <f>R29/R28</f>
        <v>1.240645827252136E-2</v>
      </c>
      <c r="S92" s="74">
        <f t="shared" ref="S92:T92" si="269">+S29/S28</f>
        <v>0.13913611353679001</v>
      </c>
      <c r="T92" s="74">
        <f t="shared" si="269"/>
        <v>0.45968984819810116</v>
      </c>
      <c r="U92" s="293">
        <f t="shared" ref="U92" si="270">+U29/U28</f>
        <v>0.34285401003434679</v>
      </c>
      <c r="V92" s="85">
        <v>0.43360566652390237</v>
      </c>
      <c r="W92" s="77">
        <f>W29/W28</f>
        <v>0.3490025007951178</v>
      </c>
      <c r="X92" s="85">
        <v>0.23</v>
      </c>
      <c r="Y92" s="85">
        <v>0.23</v>
      </c>
      <c r="Z92" s="85">
        <v>0.23</v>
      </c>
      <c r="AA92" s="85">
        <v>0.23</v>
      </c>
      <c r="AB92" s="77">
        <f>AB29/AB28</f>
        <v>0.22999999999999984</v>
      </c>
      <c r="AC92" s="293"/>
      <c r="AD92" s="293"/>
      <c r="AE92" s="293"/>
      <c r="AF92" s="293"/>
      <c r="AG92" s="325"/>
      <c r="AH92" s="293"/>
      <c r="AI92" s="293"/>
      <c r="AJ92" s="293"/>
      <c r="AK92" s="293"/>
      <c r="AL92" s="325"/>
      <c r="AM92" s="293"/>
      <c r="AN92" s="293"/>
      <c r="AO92" s="293"/>
      <c r="AP92" s="293"/>
      <c r="AQ92" s="325"/>
      <c r="AR92" s="293"/>
      <c r="AS92" s="293"/>
      <c r="AT92" s="293"/>
      <c r="AU92" s="293"/>
      <c r="AV92" s="325"/>
      <c r="AW92" s="293"/>
      <c r="AX92" s="293"/>
      <c r="AY92" s="293"/>
      <c r="AZ92" s="293"/>
      <c r="BA92" s="325"/>
    </row>
    <row r="93" spans="2:53" s="59" customFormat="1" outlineLevel="1" x14ac:dyDescent="0.25">
      <c r="B93" s="99" t="s">
        <v>284</v>
      </c>
      <c r="C93" s="100"/>
      <c r="D93" s="74"/>
      <c r="E93" s="74">
        <f>-E26/(AVERAGE(E124,D124))</f>
        <v>1.4943197515522191E-2</v>
      </c>
      <c r="F93" s="74">
        <f>-F26/(AVERAGE(F124,E124))</f>
        <v>1.4971821452939944E-2</v>
      </c>
      <c r="G93" s="74">
        <f>-G26/(AVERAGE(G124,F124))</f>
        <v>1.5191319624340198E-2</v>
      </c>
      <c r="H93" s="77"/>
      <c r="I93" s="74">
        <f>-I26/(AVERAGE(I124,G124))</f>
        <v>1.3891171459470511E-2</v>
      </c>
      <c r="J93" s="74">
        <f>-J26/(AVERAGE(J124,I124))</f>
        <v>1.3529005906290624E-2</v>
      </c>
      <c r="K93" s="74">
        <f t="shared" ref="K93:L93" si="271">-K26/(AVERAGE(K124,J124))</f>
        <v>1.2480456870929748E-2</v>
      </c>
      <c r="L93" s="74">
        <f t="shared" si="271"/>
        <v>1.3222792158384787E-2</v>
      </c>
      <c r="M93" s="77"/>
      <c r="N93" s="74">
        <f>-N26/(AVERAGE(N124,L124))</f>
        <v>1.245517779172438E-2</v>
      </c>
      <c r="O93" s="74">
        <f>-O26/(AVERAGE(O124,N124))</f>
        <v>1.3652512288000088E-2</v>
      </c>
      <c r="P93" s="74">
        <f t="shared" ref="P93:Q93" si="272">-P26/(AVERAGE(P124,O124))</f>
        <v>1.30540517870358E-2</v>
      </c>
      <c r="Q93" s="74">
        <f t="shared" si="272"/>
        <v>1.3778622516425941E-2</v>
      </c>
      <c r="R93" s="77"/>
      <c r="S93" s="74">
        <f>-S26/(AVERAGE(S124,Q124))</f>
        <v>1.3116716068037673E-2</v>
      </c>
      <c r="T93" s="74">
        <f>-T26/(AVERAGE(T124,S124))</f>
        <v>1.3278479496931721E-2</v>
      </c>
      <c r="U93" s="305">
        <f>-U26/(AVERAGE(U124,T124))</f>
        <v>1.2842587061065558E-2</v>
      </c>
      <c r="V93" s="86">
        <f>AVERAGE(Q93,S93,T93,U93)</f>
        <v>1.3254101285615223E-2</v>
      </c>
      <c r="W93" s="77"/>
      <c r="X93" s="85">
        <f>AVERAGE(S93,T93,U93,V93)</f>
        <v>1.3122970977912544E-2</v>
      </c>
      <c r="Y93" s="85">
        <f>AVERAGE(T93,U93,V93,X93)</f>
        <v>1.3124534705381261E-2</v>
      </c>
      <c r="Z93" s="85">
        <f>AVERAGE(U93,V93,X93,Y93)</f>
        <v>1.3086048507493647E-2</v>
      </c>
      <c r="AA93" s="85">
        <f>AVERAGE(V93,X93,Y93,Z93)</f>
        <v>1.314691386910067E-2</v>
      </c>
      <c r="AB93" s="77"/>
      <c r="AC93" s="293"/>
      <c r="AD93" s="293"/>
      <c r="AE93" s="293"/>
      <c r="AF93" s="293"/>
      <c r="AG93" s="325"/>
      <c r="AH93" s="293"/>
      <c r="AI93" s="293"/>
      <c r="AJ93" s="293"/>
      <c r="AK93" s="293"/>
      <c r="AL93" s="325"/>
      <c r="AM93" s="293"/>
      <c r="AN93" s="293"/>
      <c r="AO93" s="293"/>
      <c r="AP93" s="293"/>
      <c r="AQ93" s="325"/>
      <c r="AR93" s="293"/>
      <c r="AS93" s="293"/>
      <c r="AT93" s="293"/>
      <c r="AU93" s="293"/>
      <c r="AV93" s="325"/>
      <c r="AW93" s="293"/>
      <c r="AX93" s="293"/>
      <c r="AY93" s="293"/>
      <c r="AZ93" s="293"/>
      <c r="BA93" s="325"/>
    </row>
    <row r="94" spans="2:53" s="59" customFormat="1" outlineLevel="1" x14ac:dyDescent="0.25">
      <c r="B94" s="344" t="s">
        <v>175</v>
      </c>
      <c r="C94" s="345"/>
      <c r="D94" s="74"/>
      <c r="E94" s="74">
        <f>+E27/(AVERAGE(E108,D108,E109,D109))</f>
        <v>1.6706687666492866E-2</v>
      </c>
      <c r="F94" s="74">
        <f>+F27/(AVERAGE(F108,E108,F109,E109))</f>
        <v>1.0860164834818995E-2</v>
      </c>
      <c r="G94" s="74">
        <f>+G27/(AVERAGE(G108,F108,G109,F109))</f>
        <v>-2.6101725100567495E-2</v>
      </c>
      <c r="H94" s="77"/>
      <c r="I94" s="74">
        <f>+I27/(AVERAGE(I108,G108,I109,G109))</f>
        <v>1.7680587158875202E-2</v>
      </c>
      <c r="J94" s="74">
        <f>+J27/(AVERAGE(J108,I108,J109,I109))</f>
        <v>-6.6583935397736133E-2</v>
      </c>
      <c r="K94" s="74">
        <f t="shared" ref="K94:L94" si="273">+K27/(AVERAGE(K108,J108,K109,J109))</f>
        <v>-3.2420345704869215E-2</v>
      </c>
      <c r="L94" s="74">
        <f t="shared" si="273"/>
        <v>-3.3861908613728599E-2</v>
      </c>
      <c r="M94" s="77"/>
      <c r="N94" s="74">
        <f>+N27/(AVERAGE(N108,L108,N109,L109))</f>
        <v>-4.8550520348988012E-2</v>
      </c>
      <c r="O94" s="74">
        <f>+O27/(AVERAGE(O108,N108,O109,N109))</f>
        <v>4.1863236483932441E-2</v>
      </c>
      <c r="P94" s="74">
        <f t="shared" ref="P94:Q94" si="274">+P27/(AVERAGE(P108,O108,P109,O109))</f>
        <v>4.0172695558333216E-3</v>
      </c>
      <c r="Q94" s="74">
        <f t="shared" si="274"/>
        <v>1.8907560269815712E-2</v>
      </c>
      <c r="R94" s="77"/>
      <c r="S94" s="74">
        <f>+S27/(AVERAGE(S108,Q108,S109,Q109))</f>
        <v>4.2617149000985559E-2</v>
      </c>
      <c r="T94" s="74">
        <f>+T27/(AVERAGE(T108,S108))</f>
        <v>-1.2802886312189289E-2</v>
      </c>
      <c r="U94" s="293">
        <f>+U27/(AVERAGE(U108,T108))</f>
        <v>4.0838772934121463E-2</v>
      </c>
      <c r="V94" s="85">
        <f>AVERAGE(Q94,S94,T94,U94)</f>
        <v>2.2390148973183359E-2</v>
      </c>
      <c r="W94" s="77"/>
      <c r="X94" s="85">
        <f>AVERAGE(S94,T94,U94,V94)</f>
        <v>2.3260796149025272E-2</v>
      </c>
      <c r="Y94" s="85">
        <f>AVERAGE(T94,U94,V94,X94)</f>
        <v>1.8421707936035203E-2</v>
      </c>
      <c r="Z94" s="85">
        <f>AVERAGE(U94,V94,X94,Y94)</f>
        <v>2.6227856498091326E-2</v>
      </c>
      <c r="AA94" s="85">
        <f>AVERAGE(V94,X94,Y94,Z94)</f>
        <v>2.257512738908379E-2</v>
      </c>
      <c r="AB94" s="77"/>
      <c r="AC94" s="293"/>
      <c r="AD94" s="293"/>
      <c r="AE94" s="293"/>
      <c r="AF94" s="293"/>
      <c r="AG94" s="325"/>
      <c r="AH94" s="293"/>
      <c r="AI94" s="293"/>
      <c r="AJ94" s="293"/>
      <c r="AK94" s="293"/>
      <c r="AL94" s="325"/>
      <c r="AM94" s="293"/>
      <c r="AN94" s="293"/>
      <c r="AO94" s="293"/>
      <c r="AP94" s="293"/>
      <c r="AQ94" s="325"/>
      <c r="AR94" s="293"/>
      <c r="AS94" s="293"/>
      <c r="AT94" s="293"/>
      <c r="AU94" s="293"/>
      <c r="AV94" s="325"/>
      <c r="AW94" s="293"/>
      <c r="AX94" s="293"/>
      <c r="AY94" s="293"/>
      <c r="AZ94" s="293"/>
      <c r="BA94" s="325"/>
    </row>
    <row r="95" spans="2:53" ht="18" x14ac:dyDescent="0.4">
      <c r="B95" s="332" t="s">
        <v>62</v>
      </c>
      <c r="C95" s="333"/>
      <c r="D95" s="44" t="s">
        <v>139</v>
      </c>
      <c r="E95" s="44" t="s">
        <v>140</v>
      </c>
      <c r="F95" s="44" t="s">
        <v>141</v>
      </c>
      <c r="G95" s="44" t="s">
        <v>142</v>
      </c>
      <c r="H95" s="129" t="s">
        <v>143</v>
      </c>
      <c r="I95" s="44" t="s">
        <v>130</v>
      </c>
      <c r="J95" s="44" t="s">
        <v>131</v>
      </c>
      <c r="K95" s="44" t="s">
        <v>132</v>
      </c>
      <c r="L95" s="44" t="s">
        <v>133</v>
      </c>
      <c r="M95" s="129" t="s">
        <v>134</v>
      </c>
      <c r="N95" s="44" t="s">
        <v>121</v>
      </c>
      <c r="O95" s="44" t="s">
        <v>120</v>
      </c>
      <c r="P95" s="44" t="s">
        <v>119</v>
      </c>
      <c r="Q95" s="44" t="s">
        <v>118</v>
      </c>
      <c r="R95" s="129" t="s">
        <v>117</v>
      </c>
      <c r="S95" s="44" t="s">
        <v>314</v>
      </c>
      <c r="T95" s="44" t="s">
        <v>317</v>
      </c>
      <c r="U95" s="44" t="s">
        <v>332</v>
      </c>
      <c r="V95" s="42" t="s">
        <v>181</v>
      </c>
      <c r="W95" s="131" t="s">
        <v>182</v>
      </c>
      <c r="X95" s="42" t="s">
        <v>183</v>
      </c>
      <c r="Y95" s="42" t="s">
        <v>184</v>
      </c>
      <c r="Z95" s="42" t="s">
        <v>185</v>
      </c>
      <c r="AA95" s="42" t="s">
        <v>186</v>
      </c>
      <c r="AB95" s="131" t="s">
        <v>187</v>
      </c>
      <c r="AC95" s="42" t="s">
        <v>188</v>
      </c>
      <c r="AD95" s="42" t="s">
        <v>189</v>
      </c>
      <c r="AE95" s="42" t="s">
        <v>190</v>
      </c>
      <c r="AF95" s="42" t="s">
        <v>191</v>
      </c>
      <c r="AG95" s="131" t="s">
        <v>192</v>
      </c>
      <c r="AH95" s="42" t="s">
        <v>193</v>
      </c>
      <c r="AI95" s="42" t="s">
        <v>194</v>
      </c>
      <c r="AJ95" s="42" t="s">
        <v>195</v>
      </c>
      <c r="AK95" s="42" t="s">
        <v>196</v>
      </c>
      <c r="AL95" s="131" t="s">
        <v>197</v>
      </c>
      <c r="AM95" s="42" t="s">
        <v>198</v>
      </c>
      <c r="AN95" s="42" t="s">
        <v>199</v>
      </c>
      <c r="AO95" s="42" t="s">
        <v>200</v>
      </c>
      <c r="AP95" s="42" t="s">
        <v>201</v>
      </c>
      <c r="AQ95" s="131" t="s">
        <v>202</v>
      </c>
      <c r="AR95" s="42" t="s">
        <v>324</v>
      </c>
      <c r="AS95" s="42" t="s">
        <v>325</v>
      </c>
      <c r="AT95" s="42" t="s">
        <v>326</v>
      </c>
      <c r="AU95" s="42" t="s">
        <v>327</v>
      </c>
      <c r="AV95" s="131" t="s">
        <v>328</v>
      </c>
      <c r="AW95" s="42" t="s">
        <v>339</v>
      </c>
      <c r="AX95" s="42" t="s">
        <v>340</v>
      </c>
      <c r="AY95" s="42" t="s">
        <v>341</v>
      </c>
      <c r="AZ95" s="42" t="s">
        <v>342</v>
      </c>
      <c r="BA95" s="131" t="s">
        <v>343</v>
      </c>
    </row>
    <row r="96" spans="2:53" outlineLevel="1" x14ac:dyDescent="0.25">
      <c r="B96" s="344" t="s">
        <v>54</v>
      </c>
      <c r="C96" s="345"/>
      <c r="D96" s="74"/>
      <c r="E96" s="74"/>
      <c r="F96" s="74"/>
      <c r="G96" s="74"/>
      <c r="H96" s="76"/>
      <c r="I96" s="74">
        <f>(I31+I100)/G31-1</f>
        <v>2.0058733460852629E-3</v>
      </c>
      <c r="J96" s="74">
        <f>(J31+J100)/I31-1</f>
        <v>1.8485833720389699E-3</v>
      </c>
      <c r="K96" s="74">
        <f>(K31+K100)/J31-1</f>
        <v>2.3366002466411739E-3</v>
      </c>
      <c r="L96" s="74">
        <f>(L31+L100)/K31-1</f>
        <v>1.6281070480383963E-3</v>
      </c>
      <c r="M96" s="76"/>
      <c r="N96" s="74">
        <f>(N31+N100)/L31-1</f>
        <v>2.4612798655299084E-3</v>
      </c>
      <c r="O96" s="74">
        <f>(O31+O100)/N31-1</f>
        <v>2.125875800946142E-3</v>
      </c>
      <c r="P96" s="74">
        <f>(P31+P100)/O31-1</f>
        <v>1.6364167070792579E-3</v>
      </c>
      <c r="Q96" s="74">
        <f>(Q31+Q100)/P31-1</f>
        <v>1.3216799102357957E-3</v>
      </c>
      <c r="R96" s="30"/>
      <c r="S96" s="74">
        <f>(S31+S100)/Q31-1</f>
        <v>1.2878536155001008E-3</v>
      </c>
      <c r="T96" s="74">
        <f>(T31+T100)/S31-1</f>
        <v>1.4647085344445809E-3</v>
      </c>
      <c r="U96" s="74">
        <f>(U31+U100)/T31-1</f>
        <v>1.1494857022718019E-3</v>
      </c>
      <c r="V96" s="86">
        <f t="shared" ref="V96:V97" si="275">AVERAGE(Q96,S96,T96,U96)</f>
        <v>1.3059319406130698E-3</v>
      </c>
      <c r="W96" s="30"/>
      <c r="X96" s="86">
        <f t="shared" ref="X96:X97" si="276">AVERAGE(S96,T96,U96,V96)</f>
        <v>1.3019949482073884E-3</v>
      </c>
      <c r="Y96" s="86">
        <f t="shared" ref="Y96:Y97" si="277">AVERAGE(T96,U96,V96,X96)</f>
        <v>1.3055302813842103E-3</v>
      </c>
      <c r="Z96" s="86">
        <f t="shared" ref="Z96:Z97" si="278">AVERAGE(U96,V96,X96,Y96)</f>
        <v>1.2657357181191176E-3</v>
      </c>
      <c r="AA96" s="86">
        <f t="shared" ref="AA96:AA97" si="279">AVERAGE(V96,X96,Y96,Z96)</f>
        <v>1.2947982220809465E-3</v>
      </c>
      <c r="AB96" s="30"/>
      <c r="AC96" s="305"/>
      <c r="AD96" s="305"/>
      <c r="AE96" s="305"/>
      <c r="AF96" s="305"/>
      <c r="AG96" s="461"/>
      <c r="AH96" s="305"/>
      <c r="AI96" s="305"/>
      <c r="AJ96" s="305"/>
      <c r="AK96" s="305"/>
      <c r="AL96" s="461"/>
      <c r="AM96" s="305"/>
      <c r="AN96" s="305"/>
      <c r="AO96" s="305"/>
      <c r="AP96" s="305"/>
      <c r="AQ96" s="461"/>
      <c r="AR96" s="305"/>
      <c r="AS96" s="305"/>
      <c r="AT96" s="305"/>
      <c r="AU96" s="305"/>
      <c r="AV96" s="461"/>
      <c r="AW96" s="305"/>
      <c r="AX96" s="305"/>
      <c r="AY96" s="305"/>
      <c r="AZ96" s="305"/>
      <c r="BA96" s="461"/>
    </row>
    <row r="97" spans="1:53" outlineLevel="1" x14ac:dyDescent="0.25">
      <c r="B97" s="344" t="s">
        <v>55</v>
      </c>
      <c r="C97" s="345"/>
      <c r="D97" s="74"/>
      <c r="E97" s="74"/>
      <c r="F97" s="74"/>
      <c r="G97" s="74"/>
      <c r="H97" s="76"/>
      <c r="I97" s="74">
        <f>(I32+I100)/G32-1</f>
        <v>1.225960828335948E-2</v>
      </c>
      <c r="J97" s="74">
        <f>(J32+J100)/I32-1</f>
        <v>1.804883962124304E-3</v>
      </c>
      <c r="K97" s="74">
        <f>(K32+K100)/J32-1</f>
        <v>2.4649197108426169E-3</v>
      </c>
      <c r="L97" s="74">
        <f>(L32+L100)/K32-1</f>
        <v>1.7435544368988865E-3</v>
      </c>
      <c r="M97" s="76"/>
      <c r="N97" s="74">
        <f>(N32+N100)/L32-1</f>
        <v>4.9470926625934109E-3</v>
      </c>
      <c r="O97" s="74">
        <f>(O32+O100)/N32-1</f>
        <v>2.6489977995334257E-3</v>
      </c>
      <c r="P97" s="74">
        <f>(P32+P100)/O32-1</f>
        <v>8.1275246261780509E-4</v>
      </c>
      <c r="Q97" s="74">
        <f>(Q32+Q100)/P32-1</f>
        <v>-1.7768670934392716E-3</v>
      </c>
      <c r="R97" s="30"/>
      <c r="S97" s="74">
        <f>(S32+S100)/Q32-1</f>
        <v>1.7866801443531255E-3</v>
      </c>
      <c r="T97" s="74">
        <f>(T32+T100)/S32-1</f>
        <v>6.0408654590826671E-4</v>
      </c>
      <c r="U97" s="74">
        <f>(U32+U100)/T32-1</f>
        <v>-1.4219529185417468E-3</v>
      </c>
      <c r="V97" s="86">
        <f t="shared" si="275"/>
        <v>-2.0201333042990655E-4</v>
      </c>
      <c r="W97" s="30"/>
      <c r="X97" s="86">
        <f t="shared" si="276"/>
        <v>1.9170011032243472E-4</v>
      </c>
      <c r="Y97" s="86">
        <f t="shared" si="277"/>
        <v>-2.0704489818523797E-4</v>
      </c>
      <c r="Z97" s="86">
        <f t="shared" si="278"/>
        <v>-4.0982775920861414E-4</v>
      </c>
      <c r="AA97" s="86">
        <f t="shared" si="279"/>
        <v>-1.5679646937533098E-4</v>
      </c>
      <c r="AB97" s="30"/>
      <c r="AC97" s="305"/>
      <c r="AD97" s="305"/>
      <c r="AE97" s="305"/>
      <c r="AF97" s="305"/>
      <c r="AG97" s="461"/>
      <c r="AH97" s="305"/>
      <c r="AI97" s="305"/>
      <c r="AJ97" s="305"/>
      <c r="AK97" s="305"/>
      <c r="AL97" s="461"/>
      <c r="AM97" s="305"/>
      <c r="AN97" s="305"/>
      <c r="AO97" s="305"/>
      <c r="AP97" s="305"/>
      <c r="AQ97" s="461"/>
      <c r="AR97" s="305"/>
      <c r="AS97" s="305"/>
      <c r="AT97" s="305"/>
      <c r="AU97" s="305"/>
      <c r="AV97" s="461"/>
      <c r="AW97" s="305"/>
      <c r="AX97" s="305"/>
      <c r="AY97" s="305"/>
      <c r="AZ97" s="305"/>
      <c r="BA97" s="461"/>
    </row>
    <row r="98" spans="1:53" outlineLevel="1" x14ac:dyDescent="0.25">
      <c r="B98" s="344" t="s">
        <v>25</v>
      </c>
      <c r="C98" s="345"/>
      <c r="D98" s="89"/>
      <c r="E98" s="89"/>
      <c r="F98" s="89"/>
      <c r="G98" s="89"/>
      <c r="H98" s="92"/>
      <c r="I98" s="89"/>
      <c r="J98" s="89"/>
      <c r="K98" s="89"/>
      <c r="L98" s="89"/>
      <c r="M98" s="92"/>
      <c r="N98" s="89"/>
      <c r="O98" s="89"/>
      <c r="P98" s="89"/>
      <c r="Q98" s="89"/>
      <c r="R98" s="92"/>
      <c r="S98" s="89"/>
      <c r="T98" s="146"/>
      <c r="U98" s="89"/>
      <c r="V98" s="89"/>
      <c r="W98" s="90"/>
      <c r="X98" s="89"/>
      <c r="Y98" s="89"/>
      <c r="Z98" s="89"/>
      <c r="AA98" s="89"/>
      <c r="AB98" s="90"/>
      <c r="AC98" s="290"/>
      <c r="AD98" s="290"/>
      <c r="AE98" s="290"/>
      <c r="AF98" s="290"/>
      <c r="AG98" s="462"/>
      <c r="AH98" s="290"/>
      <c r="AI98" s="290"/>
      <c r="AJ98" s="290"/>
      <c r="AK98" s="290"/>
      <c r="AL98" s="462"/>
      <c r="AM98" s="290"/>
      <c r="AN98" s="290"/>
      <c r="AO98" s="290"/>
      <c r="AP98" s="290"/>
      <c r="AQ98" s="462"/>
      <c r="AR98" s="290"/>
      <c r="AS98" s="290"/>
      <c r="AT98" s="290"/>
      <c r="AU98" s="290"/>
      <c r="AV98" s="462"/>
      <c r="AW98" s="290"/>
      <c r="AX98" s="290"/>
      <c r="AY98" s="290"/>
      <c r="AZ98" s="290"/>
      <c r="BA98" s="462"/>
    </row>
    <row r="99" spans="1:53" outlineLevel="1" x14ac:dyDescent="0.25">
      <c r="B99" s="344" t="s">
        <v>26</v>
      </c>
      <c r="C99" s="345"/>
      <c r="D99" s="46"/>
      <c r="E99" s="46"/>
      <c r="F99" s="46"/>
      <c r="G99" s="46"/>
      <c r="H99" s="47"/>
      <c r="I99" s="46"/>
      <c r="J99" s="46"/>
      <c r="K99" s="46"/>
      <c r="L99" s="46"/>
      <c r="M99" s="47"/>
      <c r="N99" s="46"/>
      <c r="O99" s="46"/>
      <c r="P99" s="46"/>
      <c r="Q99" s="46"/>
      <c r="R99" s="47"/>
      <c r="S99" s="46"/>
      <c r="T99" s="46"/>
      <c r="U99" s="46"/>
      <c r="V99" s="46"/>
      <c r="W99" s="47"/>
      <c r="X99" s="46"/>
      <c r="Y99" s="46"/>
      <c r="Z99" s="46"/>
      <c r="AA99" s="46"/>
      <c r="AB99" s="47"/>
      <c r="AC99" s="46"/>
      <c r="AD99" s="46"/>
      <c r="AE99" s="46"/>
      <c r="AF99" s="46"/>
      <c r="AG99" s="47"/>
      <c r="AH99" s="46"/>
      <c r="AI99" s="46"/>
      <c r="AJ99" s="46"/>
      <c r="AK99" s="46"/>
      <c r="AL99" s="47"/>
      <c r="AM99" s="46"/>
      <c r="AN99" s="46"/>
      <c r="AO99" s="46"/>
      <c r="AP99" s="46"/>
      <c r="AQ99" s="47"/>
      <c r="AR99" s="46"/>
      <c r="AS99" s="46"/>
      <c r="AT99" s="46"/>
      <c r="AU99" s="46"/>
      <c r="AV99" s="47"/>
      <c r="AW99" s="46"/>
      <c r="AX99" s="46"/>
      <c r="AY99" s="46"/>
      <c r="AZ99" s="46"/>
      <c r="BA99" s="47"/>
    </row>
    <row r="100" spans="1:53" outlineLevel="1" x14ac:dyDescent="0.25">
      <c r="B100" s="362" t="s">
        <v>59</v>
      </c>
      <c r="C100" s="363"/>
      <c r="D100" s="93"/>
      <c r="E100" s="93"/>
      <c r="F100" s="93"/>
      <c r="G100" s="93"/>
      <c r="H100" s="182"/>
      <c r="I100" s="93"/>
      <c r="J100" s="93"/>
      <c r="K100" s="93"/>
      <c r="L100" s="93"/>
      <c r="M100" s="182"/>
      <c r="N100" s="93"/>
      <c r="O100" s="93"/>
      <c r="P100" s="93"/>
      <c r="Q100" s="93"/>
      <c r="R100" s="182"/>
      <c r="S100" s="93"/>
      <c r="T100" s="93"/>
      <c r="U100" s="93"/>
      <c r="V100" s="93"/>
      <c r="W100" s="182"/>
      <c r="X100" s="93"/>
      <c r="Y100" s="93"/>
      <c r="Z100" s="93"/>
      <c r="AA100" s="93"/>
      <c r="AB100" s="182"/>
      <c r="AC100" s="93"/>
      <c r="AD100" s="93"/>
      <c r="AE100" s="93"/>
      <c r="AF100" s="93"/>
      <c r="AG100" s="182"/>
      <c r="AH100" s="93"/>
      <c r="AI100" s="93"/>
      <c r="AJ100" s="93"/>
      <c r="AK100" s="93"/>
      <c r="AL100" s="182"/>
      <c r="AM100" s="93"/>
      <c r="AN100" s="93"/>
      <c r="AO100" s="93"/>
      <c r="AP100" s="93"/>
      <c r="AQ100" s="182"/>
      <c r="AR100" s="93"/>
      <c r="AS100" s="93"/>
      <c r="AT100" s="93"/>
      <c r="AU100" s="93"/>
      <c r="AV100" s="182"/>
      <c r="AW100" s="93"/>
      <c r="AX100" s="93"/>
      <c r="AY100" s="93"/>
      <c r="AZ100" s="93"/>
      <c r="BA100" s="182"/>
    </row>
    <row r="101" spans="1:53" ht="18" x14ac:dyDescent="0.4">
      <c r="A101" s="308"/>
      <c r="B101" s="332" t="s">
        <v>79</v>
      </c>
      <c r="C101" s="333"/>
      <c r="D101" s="44" t="s">
        <v>139</v>
      </c>
      <c r="E101" s="44" t="s">
        <v>140</v>
      </c>
      <c r="F101" s="44" t="s">
        <v>141</v>
      </c>
      <c r="G101" s="44" t="s">
        <v>142</v>
      </c>
      <c r="H101" s="129" t="s">
        <v>143</v>
      </c>
      <c r="I101" s="44" t="s">
        <v>130</v>
      </c>
      <c r="J101" s="44" t="s">
        <v>131</v>
      </c>
      <c r="K101" s="44" t="s">
        <v>132</v>
      </c>
      <c r="L101" s="44" t="s">
        <v>133</v>
      </c>
      <c r="M101" s="129" t="s">
        <v>134</v>
      </c>
      <c r="N101" s="44" t="s">
        <v>121</v>
      </c>
      <c r="O101" s="44" t="s">
        <v>120</v>
      </c>
      <c r="P101" s="44" t="s">
        <v>119</v>
      </c>
      <c r="Q101" s="44" t="s">
        <v>118</v>
      </c>
      <c r="R101" s="129" t="s">
        <v>117</v>
      </c>
      <c r="S101" s="44" t="s">
        <v>314</v>
      </c>
      <c r="T101" s="44" t="s">
        <v>317</v>
      </c>
      <c r="U101" s="44" t="s">
        <v>332</v>
      </c>
      <c r="V101" s="42" t="s">
        <v>181</v>
      </c>
      <c r="W101" s="131" t="s">
        <v>182</v>
      </c>
      <c r="X101" s="42" t="s">
        <v>183</v>
      </c>
      <c r="Y101" s="42" t="s">
        <v>184</v>
      </c>
      <c r="Z101" s="42" t="s">
        <v>185</v>
      </c>
      <c r="AA101" s="42" t="s">
        <v>186</v>
      </c>
      <c r="AB101" s="131" t="s">
        <v>187</v>
      </c>
      <c r="AC101" s="42" t="s">
        <v>188</v>
      </c>
      <c r="AD101" s="42" t="s">
        <v>189</v>
      </c>
      <c r="AE101" s="42" t="s">
        <v>190</v>
      </c>
      <c r="AF101" s="42" t="s">
        <v>191</v>
      </c>
      <c r="AG101" s="131" t="s">
        <v>192</v>
      </c>
      <c r="AH101" s="42" t="s">
        <v>193</v>
      </c>
      <c r="AI101" s="42" t="s">
        <v>194</v>
      </c>
      <c r="AJ101" s="42" t="s">
        <v>195</v>
      </c>
      <c r="AK101" s="42" t="s">
        <v>196</v>
      </c>
      <c r="AL101" s="131" t="s">
        <v>197</v>
      </c>
      <c r="AM101" s="42" t="s">
        <v>198</v>
      </c>
      <c r="AN101" s="42" t="s">
        <v>199</v>
      </c>
      <c r="AO101" s="42" t="s">
        <v>200</v>
      </c>
      <c r="AP101" s="42" t="s">
        <v>201</v>
      </c>
      <c r="AQ101" s="131" t="s">
        <v>202</v>
      </c>
      <c r="AR101" s="42" t="s">
        <v>324</v>
      </c>
      <c r="AS101" s="42" t="s">
        <v>325</v>
      </c>
      <c r="AT101" s="42" t="s">
        <v>326</v>
      </c>
      <c r="AU101" s="42" t="s">
        <v>327</v>
      </c>
      <c r="AV101" s="131" t="s">
        <v>328</v>
      </c>
      <c r="AW101" s="42" t="s">
        <v>339</v>
      </c>
      <c r="AX101" s="42" t="s">
        <v>340</v>
      </c>
      <c r="AY101" s="42" t="s">
        <v>341</v>
      </c>
      <c r="AZ101" s="42" t="s">
        <v>342</v>
      </c>
      <c r="BA101" s="131" t="s">
        <v>343</v>
      </c>
    </row>
    <row r="102" spans="1:53" outlineLevel="1" x14ac:dyDescent="0.25">
      <c r="A102" s="308"/>
      <c r="B102" s="344" t="s">
        <v>262</v>
      </c>
      <c r="C102" s="345"/>
      <c r="D102" s="46">
        <v>42.421999999999997</v>
      </c>
      <c r="E102" s="46">
        <v>44.112000000000002</v>
      </c>
      <c r="F102" s="46">
        <v>43.494999999999997</v>
      </c>
      <c r="G102" s="46">
        <v>43.646000000000001</v>
      </c>
      <c r="H102" s="47"/>
      <c r="I102" s="46">
        <v>44.887999999999998</v>
      </c>
      <c r="J102" s="46">
        <v>44.027999999999999</v>
      </c>
      <c r="K102" s="46">
        <v>44.762999999999998</v>
      </c>
      <c r="L102" s="46">
        <v>48.53</v>
      </c>
      <c r="M102" s="47"/>
      <c r="N102" s="46">
        <v>68.394999999999996</v>
      </c>
      <c r="O102" s="46">
        <v>81.231999999999999</v>
      </c>
      <c r="P102" s="46">
        <v>82.316000000000003</v>
      </c>
      <c r="Q102" s="46">
        <v>88.713999999999999</v>
      </c>
      <c r="R102" s="47"/>
      <c r="S102" s="275">
        <v>101.2</v>
      </c>
      <c r="T102" s="275">
        <v>103.848</v>
      </c>
      <c r="U102" s="46">
        <v>100.262</v>
      </c>
      <c r="V102" s="84">
        <f>+V103*V14</f>
        <v>113.97803066321467</v>
      </c>
      <c r="W102" s="47"/>
      <c r="X102" s="84">
        <f>+X103*X14</f>
        <v>121.92220550305157</v>
      </c>
      <c r="Y102" s="84">
        <f>+Y103*Y14</f>
        <v>125.6506229644678</v>
      </c>
      <c r="Z102" s="84">
        <f>+Z103*Z14</f>
        <v>128.49162750789216</v>
      </c>
      <c r="AA102" s="84">
        <f>+AA103*AA14</f>
        <v>135.69277552929492</v>
      </c>
      <c r="AB102" s="47"/>
      <c r="AC102" s="275"/>
      <c r="AD102" s="275"/>
      <c r="AE102" s="275"/>
      <c r="AF102" s="275"/>
      <c r="AG102" s="271"/>
      <c r="AH102" s="275"/>
      <c r="AI102" s="275"/>
      <c r="AJ102" s="275"/>
      <c r="AK102" s="275"/>
      <c r="AL102" s="271"/>
      <c r="AM102" s="275"/>
      <c r="AN102" s="275"/>
      <c r="AO102" s="275"/>
      <c r="AP102" s="275"/>
      <c r="AQ102" s="271"/>
      <c r="AR102" s="275"/>
      <c r="AS102" s="275"/>
      <c r="AT102" s="275"/>
      <c r="AU102" s="275"/>
      <c r="AV102" s="271"/>
      <c r="AW102" s="275"/>
      <c r="AX102" s="275"/>
      <c r="AY102" s="275"/>
      <c r="AZ102" s="275"/>
      <c r="BA102" s="271"/>
    </row>
    <row r="103" spans="1:53" outlineLevel="1" x14ac:dyDescent="0.25">
      <c r="A103" s="308"/>
      <c r="B103" s="218" t="s">
        <v>263</v>
      </c>
      <c r="C103" s="174"/>
      <c r="D103" s="219">
        <f>+D102/D14</f>
        <v>2.1668907350122793E-2</v>
      </c>
      <c r="E103" s="219">
        <f>+E102/E14</f>
        <v>2.0953788801465319E-2</v>
      </c>
      <c r="F103" s="219">
        <f>+F102/F14</f>
        <v>1.8991890622079934E-2</v>
      </c>
      <c r="G103" s="219">
        <f>+G102/G14</f>
        <v>1.761666103608376E-2</v>
      </c>
      <c r="H103" s="220"/>
      <c r="I103" s="219">
        <f>+I102/I14</f>
        <v>1.7024730385510316E-2</v>
      </c>
      <c r="J103" s="219">
        <f>+J102/J14</f>
        <v>1.5806343216067411E-2</v>
      </c>
      <c r="K103" s="219">
        <f>+K102/K14</f>
        <v>1.4996688285778322E-2</v>
      </c>
      <c r="L103" s="219">
        <f>+L102/L14</f>
        <v>1.4769816982702605E-2</v>
      </c>
      <c r="M103" s="220"/>
      <c r="N103" s="219">
        <f>+N102/N14</f>
        <v>1.848085956330103E-2</v>
      </c>
      <c r="O103" s="219">
        <f>+O102/O14</f>
        <v>2.0789963324776634E-2</v>
      </c>
      <c r="P103" s="219">
        <f>+P102/P14</f>
        <v>2.0582221117604906E-2</v>
      </c>
      <c r="Q103" s="219">
        <f>+Q102/Q14</f>
        <v>2.1188767378555812E-2</v>
      </c>
      <c r="R103" s="220"/>
      <c r="S103" s="219">
        <f>+S102/S14</f>
        <v>2.2384467833608198E-2</v>
      </c>
      <c r="T103" s="219">
        <f>+T102/T14</f>
        <v>2.1093957566711813E-2</v>
      </c>
      <c r="U103" s="219">
        <f>+U102/U14</f>
        <v>1.9116075505657398E-2</v>
      </c>
      <c r="V103" s="187">
        <f>AVERAGE(Q103,S103,T103,U103)</f>
        <v>2.0945817071133306E-2</v>
      </c>
      <c r="W103" s="97"/>
      <c r="X103" s="187">
        <f>AVERAGE(S103,T103,U103,V103)</f>
        <v>2.0885079494277682E-2</v>
      </c>
      <c r="Y103" s="187">
        <f>AVERAGE(T103,U103,V103,X103)</f>
        <v>2.0510232409445051E-2</v>
      </c>
      <c r="Z103" s="187">
        <f>AVERAGE(U103,V103,X103,Y103)</f>
        <v>2.036430112012836E-2</v>
      </c>
      <c r="AA103" s="187">
        <f>AVERAGE(V103,X103,Y103,Z103)</f>
        <v>2.0676357523746101E-2</v>
      </c>
      <c r="AB103" s="97"/>
      <c r="AC103" s="463"/>
      <c r="AD103" s="463"/>
      <c r="AE103" s="463"/>
      <c r="AF103" s="463"/>
      <c r="AG103" s="464"/>
      <c r="AH103" s="463"/>
      <c r="AI103" s="463"/>
      <c r="AJ103" s="463"/>
      <c r="AK103" s="463"/>
      <c r="AL103" s="464"/>
      <c r="AM103" s="463"/>
      <c r="AN103" s="463"/>
      <c r="AO103" s="463"/>
      <c r="AP103" s="463"/>
      <c r="AQ103" s="464"/>
      <c r="AR103" s="463"/>
      <c r="AS103" s="463"/>
      <c r="AT103" s="463"/>
      <c r="AU103" s="463"/>
      <c r="AV103" s="464"/>
      <c r="AW103" s="463"/>
      <c r="AX103" s="463"/>
      <c r="AY103" s="463"/>
      <c r="AZ103" s="463"/>
      <c r="BA103" s="464"/>
    </row>
    <row r="104" spans="1:53" x14ac:dyDescent="0.25">
      <c r="B104" s="27"/>
      <c r="C104" s="27"/>
      <c r="F104" s="3"/>
      <c r="G104" s="3"/>
      <c r="H104" s="3"/>
      <c r="K104" s="3"/>
      <c r="L104" s="141"/>
      <c r="M104" s="141"/>
      <c r="N104" s="141"/>
      <c r="O104" s="141"/>
      <c r="P104" s="3"/>
      <c r="Q104" s="3"/>
      <c r="R104" s="15"/>
      <c r="S104" s="141"/>
      <c r="T104" s="141"/>
      <c r="U104" s="141"/>
      <c r="V104" s="3"/>
      <c r="W104" s="141"/>
      <c r="Z104" s="3"/>
      <c r="AA104" s="3"/>
      <c r="AB104" s="141"/>
      <c r="AE104" s="3"/>
      <c r="AF104" s="3"/>
      <c r="AG104" s="141"/>
      <c r="AJ104" s="3"/>
      <c r="AK104" s="3"/>
      <c r="AL104" s="141"/>
      <c r="AO104" s="3"/>
      <c r="AP104" s="3"/>
      <c r="AQ104" s="141"/>
      <c r="AT104" s="3"/>
      <c r="AU104" s="3"/>
      <c r="AV104" s="141"/>
      <c r="AY104" s="3"/>
      <c r="AZ104" s="3"/>
      <c r="BA104" s="141"/>
    </row>
    <row r="105" spans="1:53" ht="15.75" x14ac:dyDescent="0.25">
      <c r="B105" s="332" t="s">
        <v>204</v>
      </c>
      <c r="C105" s="333"/>
      <c r="D105" s="43" t="s">
        <v>135</v>
      </c>
      <c r="E105" s="43" t="s">
        <v>136</v>
      </c>
      <c r="F105" s="43" t="s">
        <v>137</v>
      </c>
      <c r="G105" s="43" t="s">
        <v>138</v>
      </c>
      <c r="H105" s="128" t="s">
        <v>138</v>
      </c>
      <c r="I105" s="43" t="s">
        <v>122</v>
      </c>
      <c r="J105" s="43" t="s">
        <v>127</v>
      </c>
      <c r="K105" s="43" t="s">
        <v>128</v>
      </c>
      <c r="L105" s="43" t="s">
        <v>129</v>
      </c>
      <c r="M105" s="128" t="s">
        <v>129</v>
      </c>
      <c r="N105" s="43" t="s">
        <v>124</v>
      </c>
      <c r="O105" s="43" t="s">
        <v>123</v>
      </c>
      <c r="P105" s="43" t="s">
        <v>125</v>
      </c>
      <c r="Q105" s="43" t="s">
        <v>126</v>
      </c>
      <c r="R105" s="128" t="s">
        <v>126</v>
      </c>
      <c r="S105" s="43" t="s">
        <v>144</v>
      </c>
      <c r="T105" s="43" t="s">
        <v>145</v>
      </c>
      <c r="U105" s="43" t="s">
        <v>146</v>
      </c>
      <c r="V105" s="45" t="s">
        <v>147</v>
      </c>
      <c r="W105" s="130" t="s">
        <v>147</v>
      </c>
      <c r="X105" s="45" t="s">
        <v>148</v>
      </c>
      <c r="Y105" s="45" t="s">
        <v>149</v>
      </c>
      <c r="Z105" s="45" t="s">
        <v>150</v>
      </c>
      <c r="AA105" s="45" t="s">
        <v>151</v>
      </c>
      <c r="AB105" s="130" t="s">
        <v>151</v>
      </c>
      <c r="AC105" s="45" t="s">
        <v>152</v>
      </c>
      <c r="AD105" s="45" t="s">
        <v>153</v>
      </c>
      <c r="AE105" s="45" t="s">
        <v>154</v>
      </c>
      <c r="AF105" s="45" t="s">
        <v>155</v>
      </c>
      <c r="AG105" s="130" t="s">
        <v>155</v>
      </c>
      <c r="AH105" s="45" t="s">
        <v>156</v>
      </c>
      <c r="AI105" s="45" t="s">
        <v>157</v>
      </c>
      <c r="AJ105" s="45" t="s">
        <v>158</v>
      </c>
      <c r="AK105" s="45" t="s">
        <v>159</v>
      </c>
      <c r="AL105" s="130" t="s">
        <v>159</v>
      </c>
      <c r="AM105" s="45" t="s">
        <v>160</v>
      </c>
      <c r="AN105" s="45" t="s">
        <v>161</v>
      </c>
      <c r="AO105" s="45" t="s">
        <v>162</v>
      </c>
      <c r="AP105" s="45" t="s">
        <v>163</v>
      </c>
      <c r="AQ105" s="130" t="s">
        <v>163</v>
      </c>
      <c r="AR105" s="45" t="s">
        <v>320</v>
      </c>
      <c r="AS105" s="45" t="s">
        <v>321</v>
      </c>
      <c r="AT105" s="45" t="s">
        <v>322</v>
      </c>
      <c r="AU105" s="45" t="s">
        <v>323</v>
      </c>
      <c r="AV105" s="130" t="s">
        <v>323</v>
      </c>
      <c r="AW105" s="45" t="s">
        <v>335</v>
      </c>
      <c r="AX105" s="45" t="s">
        <v>336</v>
      </c>
      <c r="AY105" s="45" t="s">
        <v>337</v>
      </c>
      <c r="AZ105" s="45" t="s">
        <v>338</v>
      </c>
      <c r="BA105" s="130" t="s">
        <v>338</v>
      </c>
    </row>
    <row r="106" spans="1:53" ht="17.25" x14ac:dyDescent="0.4">
      <c r="B106" s="103" t="s">
        <v>3</v>
      </c>
      <c r="C106" s="132"/>
      <c r="D106" s="44" t="s">
        <v>139</v>
      </c>
      <c r="E106" s="44" t="s">
        <v>140</v>
      </c>
      <c r="F106" s="44" t="s">
        <v>141</v>
      </c>
      <c r="G106" s="44" t="s">
        <v>142</v>
      </c>
      <c r="H106" s="129" t="s">
        <v>143</v>
      </c>
      <c r="I106" s="44" t="s">
        <v>130</v>
      </c>
      <c r="J106" s="44" t="s">
        <v>131</v>
      </c>
      <c r="K106" s="44" t="s">
        <v>132</v>
      </c>
      <c r="L106" s="44" t="s">
        <v>133</v>
      </c>
      <c r="M106" s="129" t="s">
        <v>134</v>
      </c>
      <c r="N106" s="44" t="s">
        <v>121</v>
      </c>
      <c r="O106" s="44" t="s">
        <v>120</v>
      </c>
      <c r="P106" s="44" t="s">
        <v>119</v>
      </c>
      <c r="Q106" s="44" t="s">
        <v>118</v>
      </c>
      <c r="R106" s="129" t="s">
        <v>117</v>
      </c>
      <c r="S106" s="44" t="s">
        <v>314</v>
      </c>
      <c r="T106" s="44" t="s">
        <v>317</v>
      </c>
      <c r="U106" s="44" t="s">
        <v>332</v>
      </c>
      <c r="V106" s="42" t="s">
        <v>181</v>
      </c>
      <c r="W106" s="131" t="s">
        <v>182</v>
      </c>
      <c r="X106" s="42" t="s">
        <v>183</v>
      </c>
      <c r="Y106" s="42" t="s">
        <v>184</v>
      </c>
      <c r="Z106" s="42" t="s">
        <v>185</v>
      </c>
      <c r="AA106" s="42" t="s">
        <v>186</v>
      </c>
      <c r="AB106" s="131" t="s">
        <v>187</v>
      </c>
      <c r="AC106" s="42" t="s">
        <v>188</v>
      </c>
      <c r="AD106" s="42" t="s">
        <v>189</v>
      </c>
      <c r="AE106" s="42" t="s">
        <v>190</v>
      </c>
      <c r="AF106" s="42" t="s">
        <v>191</v>
      </c>
      <c r="AG106" s="131" t="s">
        <v>192</v>
      </c>
      <c r="AH106" s="42" t="s">
        <v>193</v>
      </c>
      <c r="AI106" s="42" t="s">
        <v>194</v>
      </c>
      <c r="AJ106" s="42" t="s">
        <v>195</v>
      </c>
      <c r="AK106" s="42" t="s">
        <v>196</v>
      </c>
      <c r="AL106" s="131" t="s">
        <v>197</v>
      </c>
      <c r="AM106" s="42" t="s">
        <v>198</v>
      </c>
      <c r="AN106" s="42" t="s">
        <v>199</v>
      </c>
      <c r="AO106" s="42" t="s">
        <v>200</v>
      </c>
      <c r="AP106" s="42" t="s">
        <v>201</v>
      </c>
      <c r="AQ106" s="131" t="s">
        <v>202</v>
      </c>
      <c r="AR106" s="42" t="s">
        <v>324</v>
      </c>
      <c r="AS106" s="42" t="s">
        <v>325</v>
      </c>
      <c r="AT106" s="42" t="s">
        <v>326</v>
      </c>
      <c r="AU106" s="42" t="s">
        <v>327</v>
      </c>
      <c r="AV106" s="131" t="s">
        <v>328</v>
      </c>
      <c r="AW106" s="42" t="s">
        <v>339</v>
      </c>
      <c r="AX106" s="42" t="s">
        <v>340</v>
      </c>
      <c r="AY106" s="42" t="s">
        <v>341</v>
      </c>
      <c r="AZ106" s="42" t="s">
        <v>342</v>
      </c>
      <c r="BA106" s="131" t="s">
        <v>343</v>
      </c>
    </row>
    <row r="107" spans="1:53" ht="14.45" customHeight="1" x14ac:dyDescent="0.25">
      <c r="B107" s="332" t="s">
        <v>6</v>
      </c>
      <c r="C107" s="333"/>
      <c r="D107" s="43"/>
      <c r="E107" s="43"/>
      <c r="F107" s="43"/>
      <c r="G107" s="43"/>
      <c r="H107" s="128"/>
      <c r="I107" s="43"/>
      <c r="J107" s="43"/>
      <c r="K107" s="43"/>
      <c r="L107" s="43"/>
      <c r="M107" s="128"/>
      <c r="N107" s="43"/>
      <c r="O107" s="43"/>
      <c r="P107" s="43"/>
      <c r="Q107" s="43"/>
      <c r="R107" s="128"/>
      <c r="S107" s="43"/>
      <c r="T107" s="43"/>
      <c r="U107" s="43"/>
      <c r="V107" s="45"/>
      <c r="W107" s="130"/>
      <c r="X107" s="45"/>
      <c r="Y107" s="45"/>
      <c r="Z107" s="45"/>
      <c r="AA107" s="45"/>
      <c r="AB107" s="130"/>
      <c r="AC107" s="45"/>
      <c r="AD107" s="45"/>
      <c r="AE107" s="45"/>
      <c r="AF107" s="45"/>
      <c r="AG107" s="130"/>
      <c r="AH107" s="45"/>
      <c r="AI107" s="45"/>
      <c r="AJ107" s="45"/>
      <c r="AK107" s="45"/>
      <c r="AL107" s="130"/>
      <c r="AM107" s="45"/>
      <c r="AN107" s="45"/>
      <c r="AO107" s="45"/>
      <c r="AP107" s="45"/>
      <c r="AQ107" s="130"/>
      <c r="AR107" s="45"/>
      <c r="AS107" s="45"/>
      <c r="AT107" s="45"/>
      <c r="AU107" s="45"/>
      <c r="AV107" s="130"/>
      <c r="AW107" s="45"/>
      <c r="AX107" s="45"/>
      <c r="AY107" s="45"/>
      <c r="AZ107" s="45"/>
      <c r="BA107" s="130"/>
    </row>
    <row r="108" spans="1:53" ht="14.45" customHeight="1" outlineLevel="1" x14ac:dyDescent="0.25">
      <c r="B108" s="344" t="s">
        <v>38</v>
      </c>
      <c r="C108" s="345"/>
      <c r="D108" s="46">
        <v>1605.2439999999999</v>
      </c>
      <c r="E108" s="46">
        <v>1390.925</v>
      </c>
      <c r="F108" s="46">
        <v>969.15800000000002</v>
      </c>
      <c r="G108" s="46">
        <v>1467.576</v>
      </c>
      <c r="H108" s="47">
        <f>G108</f>
        <v>1467.576</v>
      </c>
      <c r="I108" s="46">
        <v>1077.8240000000001</v>
      </c>
      <c r="J108" s="46">
        <v>1918.777</v>
      </c>
      <c r="K108" s="46">
        <v>1746.4690000000001</v>
      </c>
      <c r="L108" s="46">
        <v>2822.7950000000001</v>
      </c>
      <c r="M108" s="47">
        <f>L108</f>
        <v>2822.7950000000001</v>
      </c>
      <c r="N108" s="46">
        <v>2593.6660000000002</v>
      </c>
      <c r="O108" s="46">
        <v>3906.357</v>
      </c>
      <c r="P108" s="46">
        <v>3067.5340000000001</v>
      </c>
      <c r="Q108" s="46">
        <v>3794.4830000000002</v>
      </c>
      <c r="R108" s="47">
        <f>Q108</f>
        <v>3794.4830000000002</v>
      </c>
      <c r="S108" s="46">
        <f>S188</f>
        <v>3348.5570000000025</v>
      </c>
      <c r="T108" s="46">
        <f>T188</f>
        <v>5004.2470000000003</v>
      </c>
      <c r="U108" s="46">
        <f>U188</f>
        <v>4435.0179999999991</v>
      </c>
      <c r="V108" s="275"/>
      <c r="W108" s="271"/>
      <c r="X108" s="275"/>
      <c r="Y108" s="275"/>
      <c r="Z108" s="275"/>
      <c r="AA108" s="275"/>
      <c r="AB108" s="271"/>
      <c r="AC108" s="275"/>
      <c r="AD108" s="275"/>
      <c r="AE108" s="275"/>
      <c r="AF108" s="275"/>
      <c r="AG108" s="271"/>
      <c r="AH108" s="275"/>
      <c r="AI108" s="275"/>
      <c r="AJ108" s="275"/>
      <c r="AK108" s="275"/>
      <c r="AL108" s="271"/>
      <c r="AM108" s="275"/>
      <c r="AN108" s="275"/>
      <c r="AO108" s="275"/>
      <c r="AP108" s="275"/>
      <c r="AQ108" s="271"/>
      <c r="AR108" s="275"/>
      <c r="AS108" s="275"/>
      <c r="AT108" s="275"/>
      <c r="AU108" s="275"/>
      <c r="AV108" s="271"/>
      <c r="AW108" s="275"/>
      <c r="AX108" s="275"/>
      <c r="AY108" s="275"/>
      <c r="AZ108" s="275"/>
      <c r="BA108" s="271"/>
    </row>
    <row r="109" spans="1:53" ht="14.45" customHeight="1" outlineLevel="1" x14ac:dyDescent="0.25">
      <c r="B109" s="99" t="s">
        <v>229</v>
      </c>
      <c r="C109" s="100"/>
      <c r="D109" s="46">
        <v>467.22699999999998</v>
      </c>
      <c r="E109" s="46">
        <v>443.303</v>
      </c>
      <c r="F109" s="46">
        <v>374.09800000000001</v>
      </c>
      <c r="G109" s="46">
        <v>266.20600000000002</v>
      </c>
      <c r="H109" s="47">
        <f>+G109</f>
        <v>266.20600000000002</v>
      </c>
      <c r="I109" s="46">
        <v>263.40499999999997</v>
      </c>
      <c r="J109" s="46">
        <v>246.125</v>
      </c>
      <c r="K109" s="46">
        <v>0</v>
      </c>
      <c r="L109" s="46">
        <v>0</v>
      </c>
      <c r="M109" s="47">
        <f>+L109</f>
        <v>0</v>
      </c>
      <c r="N109" s="46">
        <v>0</v>
      </c>
      <c r="O109" s="46">
        <v>0</v>
      </c>
      <c r="P109" s="46">
        <v>0</v>
      </c>
      <c r="Q109" s="46">
        <v>0</v>
      </c>
      <c r="R109" s="47">
        <f>+Q109</f>
        <v>0</v>
      </c>
      <c r="S109" s="46">
        <f>+Q109</f>
        <v>0</v>
      </c>
      <c r="T109" s="46">
        <v>0</v>
      </c>
      <c r="U109" s="46">
        <v>0</v>
      </c>
      <c r="V109" s="275"/>
      <c r="W109" s="271"/>
      <c r="X109" s="275"/>
      <c r="Y109" s="275"/>
      <c r="Z109" s="275"/>
      <c r="AA109" s="275"/>
      <c r="AB109" s="271"/>
      <c r="AC109" s="275"/>
      <c r="AD109" s="275"/>
      <c r="AE109" s="275"/>
      <c r="AF109" s="275"/>
      <c r="AG109" s="271"/>
      <c r="AH109" s="275"/>
      <c r="AI109" s="275"/>
      <c r="AJ109" s="275"/>
      <c r="AK109" s="275"/>
      <c r="AL109" s="271"/>
      <c r="AM109" s="275"/>
      <c r="AN109" s="275"/>
      <c r="AO109" s="275"/>
      <c r="AP109" s="275"/>
      <c r="AQ109" s="271"/>
      <c r="AR109" s="275"/>
      <c r="AS109" s="275"/>
      <c r="AT109" s="275"/>
      <c r="AU109" s="275"/>
      <c r="AV109" s="271"/>
      <c r="AW109" s="275"/>
      <c r="AX109" s="275"/>
      <c r="AY109" s="275"/>
      <c r="AZ109" s="275"/>
      <c r="BA109" s="271"/>
    </row>
    <row r="110" spans="1:53" ht="14.45" customHeight="1" outlineLevel="1" x14ac:dyDescent="0.4">
      <c r="B110" s="99" t="s">
        <v>230</v>
      </c>
      <c r="C110" s="100"/>
      <c r="D110" s="46">
        <v>3258.6410000000001</v>
      </c>
      <c r="E110" s="46">
        <v>3349.2620000000002</v>
      </c>
      <c r="F110" s="46">
        <v>3632.3989999999999</v>
      </c>
      <c r="G110" s="46">
        <v>3726.3069999999998</v>
      </c>
      <c r="H110" s="47">
        <f>+G110</f>
        <v>3726.3069999999998</v>
      </c>
      <c r="I110" s="46">
        <v>4026.6149999999998</v>
      </c>
      <c r="J110" s="46">
        <v>4149.1109999999999</v>
      </c>
      <c r="K110" s="46">
        <v>4223.3869999999997</v>
      </c>
      <c r="L110" s="46">
        <v>4310.9340000000002</v>
      </c>
      <c r="M110" s="47">
        <f>+L110</f>
        <v>4310.9340000000002</v>
      </c>
      <c r="N110" s="46">
        <v>4626.5219999999999</v>
      </c>
      <c r="O110" s="46">
        <v>4803.6629999999996</v>
      </c>
      <c r="P110" s="46">
        <v>4987.9160000000002</v>
      </c>
      <c r="Q110" s="46">
        <v>5151.1859999999997</v>
      </c>
      <c r="R110" s="47">
        <f>+Q110</f>
        <v>5151.1859999999997</v>
      </c>
      <c r="S110" s="46">
        <v>0</v>
      </c>
      <c r="T110" s="275">
        <v>0</v>
      </c>
      <c r="U110" s="275">
        <v>0</v>
      </c>
      <c r="V110" s="275"/>
      <c r="W110" s="271"/>
      <c r="X110" s="275"/>
      <c r="Y110" s="398" t="s">
        <v>344</v>
      </c>
      <c r="Z110" s="400"/>
      <c r="AA110" s="275"/>
      <c r="AB110" s="271"/>
      <c r="AC110" s="275"/>
      <c r="AD110" s="398" t="s">
        <v>344</v>
      </c>
      <c r="AE110" s="400"/>
      <c r="AF110" s="423"/>
      <c r="AG110" s="282"/>
      <c r="AH110" s="423"/>
      <c r="AI110" s="398" t="s">
        <v>344</v>
      </c>
      <c r="AJ110" s="400"/>
      <c r="AK110" s="424"/>
      <c r="AL110" s="282"/>
      <c r="AM110" s="424"/>
      <c r="AN110" s="398" t="s">
        <v>344</v>
      </c>
      <c r="AO110" s="400"/>
      <c r="AP110" s="424"/>
      <c r="AQ110" s="55"/>
      <c r="AR110" s="424"/>
      <c r="AS110" s="398" t="s">
        <v>344</v>
      </c>
      <c r="AT110" s="400"/>
      <c r="AU110" s="424"/>
      <c r="AV110" s="55"/>
      <c r="AW110" s="424"/>
      <c r="AX110" s="398" t="s">
        <v>344</v>
      </c>
      <c r="AY110" s="400"/>
      <c r="AZ110" s="275"/>
      <c r="BA110" s="271"/>
    </row>
    <row r="111" spans="1:53" ht="16.149999999999999" customHeight="1" outlineLevel="1" x14ac:dyDescent="0.4">
      <c r="B111" s="344" t="s">
        <v>231</v>
      </c>
      <c r="C111" s="345"/>
      <c r="D111" s="51">
        <v>212.72399999999999</v>
      </c>
      <c r="E111" s="51">
        <v>203.428</v>
      </c>
      <c r="F111" s="51">
        <v>218.238</v>
      </c>
      <c r="G111" s="51">
        <v>260.202</v>
      </c>
      <c r="H111" s="52">
        <f>G111</f>
        <v>260.202</v>
      </c>
      <c r="I111" s="51">
        <v>292.48599999999999</v>
      </c>
      <c r="J111" s="51">
        <v>386.77199999999999</v>
      </c>
      <c r="K111" s="51">
        <v>415.49200000000002</v>
      </c>
      <c r="L111" s="51">
        <v>536.245</v>
      </c>
      <c r="M111" s="52">
        <f>L111</f>
        <v>536.245</v>
      </c>
      <c r="N111" s="51">
        <v>597.38800000000003</v>
      </c>
      <c r="O111" s="51">
        <v>636.86900000000003</v>
      </c>
      <c r="P111" s="51">
        <v>674.53099999999995</v>
      </c>
      <c r="Q111" s="51">
        <v>748.46600000000001</v>
      </c>
      <c r="R111" s="52">
        <f>Q111</f>
        <v>748.46600000000001</v>
      </c>
      <c r="S111" s="276">
        <v>820.35</v>
      </c>
      <c r="T111" s="276">
        <v>872.91</v>
      </c>
      <c r="U111" s="276">
        <v>892.74</v>
      </c>
      <c r="V111" s="276"/>
      <c r="W111" s="277"/>
      <c r="X111" s="276"/>
      <c r="Y111" s="401"/>
      <c r="Z111" s="403"/>
      <c r="AA111" s="276"/>
      <c r="AB111" s="277"/>
      <c r="AC111" s="276"/>
      <c r="AD111" s="401"/>
      <c r="AE111" s="403"/>
      <c r="AF111" s="417"/>
      <c r="AG111" s="278"/>
      <c r="AH111" s="417"/>
      <c r="AI111" s="401"/>
      <c r="AJ111" s="403"/>
      <c r="AK111" s="418"/>
      <c r="AL111" s="278"/>
      <c r="AM111" s="418"/>
      <c r="AN111" s="401"/>
      <c r="AO111" s="403"/>
      <c r="AP111" s="418"/>
      <c r="AQ111" s="58"/>
      <c r="AR111" s="418"/>
      <c r="AS111" s="401"/>
      <c r="AT111" s="403"/>
      <c r="AU111" s="418"/>
      <c r="AV111" s="58"/>
      <c r="AW111" s="418"/>
      <c r="AX111" s="401"/>
      <c r="AY111" s="403"/>
      <c r="AZ111" s="276"/>
      <c r="BA111" s="277"/>
    </row>
    <row r="112" spans="1:53" ht="14.45" customHeight="1" outlineLevel="1" x14ac:dyDescent="0.25">
      <c r="B112" s="101" t="s">
        <v>4</v>
      </c>
      <c r="C112" s="102"/>
      <c r="D112" s="57">
        <f t="shared" ref="D112:W112" si="280">SUM(D108:D111)</f>
        <v>5543.8360000000002</v>
      </c>
      <c r="E112" s="57">
        <f t="shared" si="280"/>
        <v>5386.9179999999997</v>
      </c>
      <c r="F112" s="57">
        <f t="shared" si="280"/>
        <v>5193.893</v>
      </c>
      <c r="G112" s="57">
        <f t="shared" si="280"/>
        <v>5720.2910000000002</v>
      </c>
      <c r="H112" s="58">
        <f t="shared" si="280"/>
        <v>5720.2910000000002</v>
      </c>
      <c r="I112" s="57">
        <f t="shared" si="280"/>
        <v>5660.33</v>
      </c>
      <c r="J112" s="57">
        <f t="shared" si="280"/>
        <v>6700.7849999999999</v>
      </c>
      <c r="K112" s="57">
        <f t="shared" si="280"/>
        <v>6385.348</v>
      </c>
      <c r="L112" s="57">
        <f t="shared" si="280"/>
        <v>7669.9740000000002</v>
      </c>
      <c r="M112" s="58">
        <f t="shared" si="280"/>
        <v>7669.9740000000002</v>
      </c>
      <c r="N112" s="57">
        <f t="shared" si="280"/>
        <v>7817.576</v>
      </c>
      <c r="O112" s="57">
        <f t="shared" si="280"/>
        <v>9346.889000000001</v>
      </c>
      <c r="P112" s="57">
        <f t="shared" si="280"/>
        <v>8729.9809999999998</v>
      </c>
      <c r="Q112" s="57">
        <f t="shared" si="280"/>
        <v>9694.1350000000002</v>
      </c>
      <c r="R112" s="58">
        <f t="shared" si="280"/>
        <v>9694.1350000000002</v>
      </c>
      <c r="S112" s="269">
        <f>SUM(S108:S111)</f>
        <v>4168.9070000000029</v>
      </c>
      <c r="T112" s="269">
        <f t="shared" si="280"/>
        <v>5877.1570000000002</v>
      </c>
      <c r="U112" s="269">
        <f t="shared" si="280"/>
        <v>5327.7579999999989</v>
      </c>
      <c r="V112" s="269"/>
      <c r="W112" s="278"/>
      <c r="X112" s="269"/>
      <c r="Y112" s="401"/>
      <c r="Z112" s="403"/>
      <c r="AA112" s="269"/>
      <c r="AB112" s="278"/>
      <c r="AC112" s="269"/>
      <c r="AD112" s="401"/>
      <c r="AE112" s="403"/>
      <c r="AF112" s="426"/>
      <c r="AG112" s="427"/>
      <c r="AH112" s="426"/>
      <c r="AI112" s="401"/>
      <c r="AJ112" s="403"/>
      <c r="AK112" s="428"/>
      <c r="AL112" s="427"/>
      <c r="AM112" s="428"/>
      <c r="AN112" s="401"/>
      <c r="AO112" s="403"/>
      <c r="AP112" s="428"/>
      <c r="AQ112" s="429"/>
      <c r="AR112" s="428"/>
      <c r="AS112" s="401"/>
      <c r="AT112" s="403"/>
      <c r="AU112" s="428"/>
      <c r="AV112" s="429"/>
      <c r="AW112" s="428"/>
      <c r="AX112" s="401"/>
      <c r="AY112" s="403"/>
      <c r="AZ112" s="269"/>
      <c r="BA112" s="278"/>
    </row>
    <row r="113" spans="2:53" ht="14.45" customHeight="1" outlineLevel="1" x14ac:dyDescent="0.4">
      <c r="B113" s="99" t="s">
        <v>232</v>
      </c>
      <c r="C113" s="212"/>
      <c r="D113" s="46">
        <v>5260.16</v>
      </c>
      <c r="E113" s="46">
        <v>5742.9380000000001</v>
      </c>
      <c r="F113" s="46">
        <v>6677.674</v>
      </c>
      <c r="G113" s="46">
        <v>7274.5010000000002</v>
      </c>
      <c r="H113" s="47">
        <f>+G113</f>
        <v>7274.5010000000002</v>
      </c>
      <c r="I113" s="46">
        <v>8029.1120000000001</v>
      </c>
      <c r="J113" s="46">
        <v>9078.4740000000002</v>
      </c>
      <c r="K113" s="46">
        <v>9739.7039999999997</v>
      </c>
      <c r="L113" s="46">
        <v>10371.055</v>
      </c>
      <c r="M113" s="47">
        <f>+L113</f>
        <v>10371.055</v>
      </c>
      <c r="N113" s="46">
        <v>11314.803</v>
      </c>
      <c r="O113" s="46">
        <v>12292.07</v>
      </c>
      <c r="P113" s="46">
        <v>13408.442999999999</v>
      </c>
      <c r="Q113" s="46">
        <v>14960.954</v>
      </c>
      <c r="R113" s="47">
        <f>+Q113</f>
        <v>14960.954</v>
      </c>
      <c r="S113" s="275">
        <v>20888.785</v>
      </c>
      <c r="T113" s="275">
        <v>21945.74</v>
      </c>
      <c r="U113" s="275">
        <v>23234.993999999999</v>
      </c>
      <c r="V113" s="275"/>
      <c r="W113" s="271"/>
      <c r="X113" s="275"/>
      <c r="Y113" s="437"/>
      <c r="Z113" s="438"/>
      <c r="AA113" s="275"/>
      <c r="AB113" s="271"/>
      <c r="AC113" s="275"/>
      <c r="AD113" s="437"/>
      <c r="AE113" s="438"/>
      <c r="AF113" s="431"/>
      <c r="AG113" s="286"/>
      <c r="AH113" s="431"/>
      <c r="AI113" s="437"/>
      <c r="AJ113" s="438"/>
      <c r="AK113" s="432"/>
      <c r="AL113" s="286"/>
      <c r="AM113" s="432"/>
      <c r="AN113" s="437"/>
      <c r="AO113" s="438"/>
      <c r="AP113" s="432"/>
      <c r="AQ113" s="254"/>
      <c r="AR113" s="432"/>
      <c r="AS113" s="437"/>
      <c r="AT113" s="438"/>
      <c r="AU113" s="432"/>
      <c r="AV113" s="254"/>
      <c r="AW113" s="432"/>
      <c r="AX113" s="437"/>
      <c r="AY113" s="438"/>
      <c r="AZ113" s="275"/>
      <c r="BA113" s="271"/>
    </row>
    <row r="114" spans="2:53" s="28" customFormat="1" outlineLevel="1" x14ac:dyDescent="0.25">
      <c r="B114" s="99" t="s">
        <v>173</v>
      </c>
      <c r="C114" s="102"/>
      <c r="D114" s="46">
        <v>166.25399999999999</v>
      </c>
      <c r="E114" s="46">
        <v>162.864</v>
      </c>
      <c r="F114" s="46">
        <v>191.876</v>
      </c>
      <c r="G114" s="46">
        <v>250.39500000000001</v>
      </c>
      <c r="H114" s="47">
        <f>+G114</f>
        <v>250.39500000000001</v>
      </c>
      <c r="I114" s="46">
        <v>275.08300000000003</v>
      </c>
      <c r="J114" s="46">
        <v>309.83100000000002</v>
      </c>
      <c r="K114" s="46">
        <v>322.42099999999999</v>
      </c>
      <c r="L114" s="46">
        <v>319.404</v>
      </c>
      <c r="M114" s="47">
        <f>+L114</f>
        <v>319.404</v>
      </c>
      <c r="N114" s="46">
        <v>341.93200000000002</v>
      </c>
      <c r="O114" s="46">
        <v>349.64600000000002</v>
      </c>
      <c r="P114" s="46">
        <v>371.15199999999999</v>
      </c>
      <c r="Q114" s="46">
        <v>418.28100000000001</v>
      </c>
      <c r="R114" s="47">
        <f>+Q114</f>
        <v>418.28100000000001</v>
      </c>
      <c r="S114" s="275">
        <v>1246.165</v>
      </c>
      <c r="T114" s="275">
        <v>452.399</v>
      </c>
      <c r="U114" s="275">
        <v>481.99200000000002</v>
      </c>
      <c r="V114" s="275"/>
      <c r="W114" s="271"/>
      <c r="X114" s="275"/>
      <c r="Y114" s="275"/>
      <c r="Z114" s="275"/>
      <c r="AA114" s="275"/>
      <c r="AB114" s="271"/>
      <c r="AC114" s="275"/>
      <c r="AD114" s="275"/>
      <c r="AE114" s="275"/>
      <c r="AF114" s="275"/>
      <c r="AG114" s="271"/>
      <c r="AH114" s="275"/>
      <c r="AI114" s="275"/>
      <c r="AJ114" s="275"/>
      <c r="AK114" s="275"/>
      <c r="AL114" s="271"/>
      <c r="AM114" s="275"/>
      <c r="AN114" s="275"/>
      <c r="AO114" s="275"/>
      <c r="AP114" s="275"/>
      <c r="AQ114" s="271"/>
      <c r="AR114" s="275"/>
      <c r="AS114" s="275"/>
      <c r="AT114" s="275"/>
      <c r="AU114" s="275"/>
      <c r="AV114" s="271"/>
      <c r="AW114" s="275"/>
      <c r="AX114" s="275"/>
      <c r="AY114" s="275"/>
      <c r="AZ114" s="275"/>
      <c r="BA114" s="271"/>
    </row>
    <row r="115" spans="2:53" ht="17.25" outlineLevel="1" x14ac:dyDescent="0.4">
      <c r="B115" s="344" t="s">
        <v>233</v>
      </c>
      <c r="C115" s="345"/>
      <c r="D115" s="51">
        <v>292.024</v>
      </c>
      <c r="E115" s="51">
        <v>300.78699999999998</v>
      </c>
      <c r="F115" s="51">
        <v>283.89499999999998</v>
      </c>
      <c r="G115" s="51">
        <v>341.423</v>
      </c>
      <c r="H115" s="52">
        <f>G115</f>
        <v>341.423</v>
      </c>
      <c r="I115" s="51">
        <v>394.57100000000003</v>
      </c>
      <c r="J115" s="51">
        <v>428.13299999999998</v>
      </c>
      <c r="K115" s="51">
        <v>504.06700000000001</v>
      </c>
      <c r="L115" s="51">
        <v>652.30899999999997</v>
      </c>
      <c r="M115" s="52">
        <f>L115</f>
        <v>652.30899999999997</v>
      </c>
      <c r="N115" s="51">
        <v>678.48599999999999</v>
      </c>
      <c r="O115" s="51">
        <v>674.93200000000002</v>
      </c>
      <c r="P115" s="51">
        <v>856.65300000000002</v>
      </c>
      <c r="Q115" s="51">
        <v>901.03</v>
      </c>
      <c r="R115" s="52">
        <f>Q115</f>
        <v>901.03</v>
      </c>
      <c r="S115" s="276">
        <v>914.77499999999998</v>
      </c>
      <c r="T115" s="276">
        <v>1896.0429999999999</v>
      </c>
      <c r="U115" s="276">
        <v>1896.9670000000001</v>
      </c>
      <c r="V115" s="276"/>
      <c r="W115" s="277"/>
      <c r="X115" s="276"/>
      <c r="Y115" s="276"/>
      <c r="Z115" s="276"/>
      <c r="AA115" s="276"/>
      <c r="AB115" s="277"/>
      <c r="AC115" s="276"/>
      <c r="AD115" s="276"/>
      <c r="AE115" s="276"/>
      <c r="AF115" s="276"/>
      <c r="AG115" s="277"/>
      <c r="AH115" s="276"/>
      <c r="AI115" s="276"/>
      <c r="AJ115" s="276"/>
      <c r="AK115" s="276"/>
      <c r="AL115" s="277"/>
      <c r="AM115" s="276"/>
      <c r="AN115" s="276"/>
      <c r="AO115" s="276"/>
      <c r="AP115" s="276"/>
      <c r="AQ115" s="277"/>
      <c r="AR115" s="276"/>
      <c r="AS115" s="276"/>
      <c r="AT115" s="276"/>
      <c r="AU115" s="276"/>
      <c r="AV115" s="277"/>
      <c r="AW115" s="276"/>
      <c r="AX115" s="276"/>
      <c r="AY115" s="276"/>
      <c r="AZ115" s="276"/>
      <c r="BA115" s="277"/>
    </row>
    <row r="116" spans="2:53" outlineLevel="1" x14ac:dyDescent="0.25">
      <c r="B116" s="336" t="s">
        <v>5</v>
      </c>
      <c r="C116" s="337"/>
      <c r="D116" s="57">
        <f t="shared" ref="D116:W116" si="281">+SUM(D112:D115)</f>
        <v>11262.273999999999</v>
      </c>
      <c r="E116" s="57">
        <f t="shared" si="281"/>
        <v>11593.507</v>
      </c>
      <c r="F116" s="57">
        <f t="shared" si="281"/>
        <v>12347.338</v>
      </c>
      <c r="G116" s="57">
        <f t="shared" si="281"/>
        <v>13586.610000000002</v>
      </c>
      <c r="H116" s="58">
        <f t="shared" si="281"/>
        <v>13586.610000000002</v>
      </c>
      <c r="I116" s="57">
        <f t="shared" si="281"/>
        <v>14359.096</v>
      </c>
      <c r="J116" s="57">
        <f t="shared" si="281"/>
        <v>16517.223000000002</v>
      </c>
      <c r="K116" s="57">
        <f t="shared" si="281"/>
        <v>16951.539999999997</v>
      </c>
      <c r="L116" s="57">
        <f t="shared" si="281"/>
        <v>19012.742000000002</v>
      </c>
      <c r="M116" s="58">
        <f t="shared" si="281"/>
        <v>19012.742000000002</v>
      </c>
      <c r="N116" s="57">
        <f t="shared" si="281"/>
        <v>20152.797000000002</v>
      </c>
      <c r="O116" s="57">
        <f t="shared" si="281"/>
        <v>22663.537000000004</v>
      </c>
      <c r="P116" s="57">
        <f t="shared" si="281"/>
        <v>23366.228999999996</v>
      </c>
      <c r="Q116" s="57">
        <f t="shared" si="281"/>
        <v>25974.399999999998</v>
      </c>
      <c r="R116" s="58">
        <f t="shared" si="281"/>
        <v>25974.399999999998</v>
      </c>
      <c r="S116" s="57">
        <f>+SUM(S112:S115)</f>
        <v>27218.632000000005</v>
      </c>
      <c r="T116" s="57">
        <f t="shared" si="281"/>
        <v>30171.339000000004</v>
      </c>
      <c r="U116" s="57">
        <f t="shared" si="281"/>
        <v>30941.710999999996</v>
      </c>
      <c r="V116" s="269"/>
      <c r="W116" s="278"/>
      <c r="X116" s="269"/>
      <c r="Y116" s="269"/>
      <c r="Z116" s="269"/>
      <c r="AA116" s="269"/>
      <c r="AB116" s="278"/>
      <c r="AC116" s="269"/>
      <c r="AD116" s="269"/>
      <c r="AE116" s="269"/>
      <c r="AF116" s="269"/>
      <c r="AG116" s="278"/>
      <c r="AH116" s="269"/>
      <c r="AI116" s="269"/>
      <c r="AJ116" s="269"/>
      <c r="AK116" s="269"/>
      <c r="AL116" s="278"/>
      <c r="AM116" s="269"/>
      <c r="AN116" s="269"/>
      <c r="AO116" s="269"/>
      <c r="AP116" s="269"/>
      <c r="AQ116" s="278"/>
      <c r="AR116" s="269"/>
      <c r="AS116" s="269"/>
      <c r="AT116" s="269"/>
      <c r="AU116" s="269"/>
      <c r="AV116" s="278"/>
      <c r="AW116" s="269"/>
      <c r="AX116" s="269"/>
      <c r="AY116" s="269"/>
      <c r="AZ116" s="269"/>
      <c r="BA116" s="278"/>
    </row>
    <row r="117" spans="2:53" ht="18" x14ac:dyDescent="0.4">
      <c r="B117" s="332" t="s">
        <v>7</v>
      </c>
      <c r="C117" s="333"/>
      <c r="D117" s="44" t="s">
        <v>139</v>
      </c>
      <c r="E117" s="44" t="s">
        <v>140</v>
      </c>
      <c r="F117" s="44" t="s">
        <v>141</v>
      </c>
      <c r="G117" s="44" t="s">
        <v>142</v>
      </c>
      <c r="H117" s="129" t="s">
        <v>143</v>
      </c>
      <c r="I117" s="44" t="s">
        <v>130</v>
      </c>
      <c r="J117" s="44" t="s">
        <v>131</v>
      </c>
      <c r="K117" s="44" t="s">
        <v>132</v>
      </c>
      <c r="L117" s="44" t="s">
        <v>133</v>
      </c>
      <c r="M117" s="129" t="s">
        <v>134</v>
      </c>
      <c r="N117" s="44" t="s">
        <v>121</v>
      </c>
      <c r="O117" s="44" t="s">
        <v>120</v>
      </c>
      <c r="P117" s="44" t="s">
        <v>119</v>
      </c>
      <c r="Q117" s="44" t="s">
        <v>118</v>
      </c>
      <c r="R117" s="129" t="s">
        <v>117</v>
      </c>
      <c r="S117" s="44" t="s">
        <v>314</v>
      </c>
      <c r="T117" s="44" t="s">
        <v>317</v>
      </c>
      <c r="U117" s="44" t="s">
        <v>332</v>
      </c>
      <c r="V117" s="42" t="s">
        <v>181</v>
      </c>
      <c r="W117" s="131" t="s">
        <v>182</v>
      </c>
      <c r="X117" s="42" t="s">
        <v>178</v>
      </c>
      <c r="Y117" s="42" t="s">
        <v>179</v>
      </c>
      <c r="Z117" s="42" t="s">
        <v>180</v>
      </c>
      <c r="AA117" s="42" t="s">
        <v>181</v>
      </c>
      <c r="AB117" s="131" t="s">
        <v>182</v>
      </c>
      <c r="AC117" s="42" t="s">
        <v>178</v>
      </c>
      <c r="AD117" s="42" t="s">
        <v>179</v>
      </c>
      <c r="AE117" s="42" t="s">
        <v>180</v>
      </c>
      <c r="AF117" s="42" t="s">
        <v>181</v>
      </c>
      <c r="AG117" s="131" t="s">
        <v>182</v>
      </c>
      <c r="AH117" s="42" t="s">
        <v>178</v>
      </c>
      <c r="AI117" s="42" t="s">
        <v>179</v>
      </c>
      <c r="AJ117" s="42" t="s">
        <v>180</v>
      </c>
      <c r="AK117" s="42" t="s">
        <v>181</v>
      </c>
      <c r="AL117" s="131" t="s">
        <v>182</v>
      </c>
      <c r="AM117" s="42" t="s">
        <v>178</v>
      </c>
      <c r="AN117" s="42" t="s">
        <v>179</v>
      </c>
      <c r="AO117" s="42" t="s">
        <v>180</v>
      </c>
      <c r="AP117" s="42" t="s">
        <v>181</v>
      </c>
      <c r="AQ117" s="131" t="s">
        <v>182</v>
      </c>
      <c r="AR117" s="42" t="s">
        <v>324</v>
      </c>
      <c r="AS117" s="42" t="s">
        <v>325</v>
      </c>
      <c r="AT117" s="42" t="s">
        <v>326</v>
      </c>
      <c r="AU117" s="42" t="s">
        <v>327</v>
      </c>
      <c r="AV117" s="131" t="s">
        <v>328</v>
      </c>
      <c r="AW117" s="42" t="s">
        <v>339</v>
      </c>
      <c r="AX117" s="42" t="s">
        <v>340</v>
      </c>
      <c r="AY117" s="42" t="s">
        <v>341</v>
      </c>
      <c r="AZ117" s="42" t="s">
        <v>342</v>
      </c>
      <c r="BA117" s="131" t="s">
        <v>343</v>
      </c>
    </row>
    <row r="118" spans="2:53" s="59" customFormat="1" outlineLevel="1" x14ac:dyDescent="0.25">
      <c r="B118" s="346" t="s">
        <v>234</v>
      </c>
      <c r="C118" s="347"/>
      <c r="D118" s="117">
        <v>3145.8609999999999</v>
      </c>
      <c r="E118" s="117">
        <v>3242.33</v>
      </c>
      <c r="F118" s="117">
        <v>3497.2139999999999</v>
      </c>
      <c r="G118" s="117">
        <v>3632.7109999999998</v>
      </c>
      <c r="H118" s="118">
        <f>G118</f>
        <v>3632.7109999999998</v>
      </c>
      <c r="I118" s="117">
        <v>3861.4470000000001</v>
      </c>
      <c r="J118" s="117">
        <v>4095.3739999999998</v>
      </c>
      <c r="K118" s="117">
        <v>4142.0860000000002</v>
      </c>
      <c r="L118" s="117">
        <v>4173.0410000000002</v>
      </c>
      <c r="M118" s="118">
        <f>L118</f>
        <v>4173.0410000000002</v>
      </c>
      <c r="N118" s="117">
        <v>4466.0810000000001</v>
      </c>
      <c r="O118" s="117">
        <v>4541.0870000000004</v>
      </c>
      <c r="P118" s="117">
        <v>4613.0110000000004</v>
      </c>
      <c r="Q118" s="117">
        <v>4686.0190000000002</v>
      </c>
      <c r="R118" s="118">
        <f>Q118</f>
        <v>4686.0190000000002</v>
      </c>
      <c r="S118" s="117">
        <v>4863.3509999999997</v>
      </c>
      <c r="T118" s="117">
        <v>4848.201</v>
      </c>
      <c r="U118" s="117">
        <v>4860.5420000000004</v>
      </c>
      <c r="V118" s="275"/>
      <c r="W118" s="271"/>
      <c r="X118" s="275"/>
      <c r="Y118" s="275"/>
      <c r="Z118" s="275"/>
      <c r="AA118" s="275"/>
      <c r="AB118" s="271"/>
      <c r="AC118" s="275"/>
      <c r="AD118" s="275"/>
      <c r="AE118" s="275"/>
      <c r="AF118" s="275"/>
      <c r="AG118" s="271"/>
      <c r="AH118" s="275"/>
      <c r="AI118" s="275"/>
      <c r="AJ118" s="275"/>
      <c r="AK118" s="275"/>
      <c r="AL118" s="271"/>
      <c r="AM118" s="275"/>
      <c r="AN118" s="275"/>
      <c r="AO118" s="275"/>
      <c r="AP118" s="275"/>
      <c r="AQ118" s="271"/>
      <c r="AR118" s="275"/>
      <c r="AS118" s="275"/>
      <c r="AT118" s="275"/>
      <c r="AU118" s="275"/>
      <c r="AV118" s="271"/>
      <c r="AW118" s="275"/>
      <c r="AX118" s="275"/>
      <c r="AY118" s="275"/>
      <c r="AZ118" s="275"/>
      <c r="BA118" s="271"/>
    </row>
    <row r="119" spans="2:53" s="59" customFormat="1" outlineLevel="1" x14ac:dyDescent="0.25">
      <c r="B119" s="346" t="s">
        <v>39</v>
      </c>
      <c r="C119" s="347"/>
      <c r="D119" s="117">
        <v>231.91399999999999</v>
      </c>
      <c r="E119" s="117">
        <v>240.458</v>
      </c>
      <c r="F119" s="117">
        <v>285.75299999999999</v>
      </c>
      <c r="G119" s="117">
        <v>312.84199999999998</v>
      </c>
      <c r="H119" s="118">
        <f>G119</f>
        <v>312.84199999999998</v>
      </c>
      <c r="I119" s="117">
        <v>294.83100000000002</v>
      </c>
      <c r="J119" s="117">
        <v>273.39800000000002</v>
      </c>
      <c r="K119" s="117">
        <v>301.44299999999998</v>
      </c>
      <c r="L119" s="117">
        <v>359.55500000000001</v>
      </c>
      <c r="M119" s="118">
        <f>L119</f>
        <v>359.55500000000001</v>
      </c>
      <c r="N119" s="117">
        <v>436.18299999999999</v>
      </c>
      <c r="O119" s="117">
        <v>448.21899999999999</v>
      </c>
      <c r="P119" s="117">
        <v>441.42700000000002</v>
      </c>
      <c r="Q119" s="117">
        <v>562.98500000000001</v>
      </c>
      <c r="R119" s="118">
        <f>Q119</f>
        <v>562.98500000000001</v>
      </c>
      <c r="S119" s="117">
        <v>439.49599999999998</v>
      </c>
      <c r="T119" s="117">
        <v>442.19400000000002</v>
      </c>
      <c r="U119" s="117">
        <v>444.12900000000002</v>
      </c>
      <c r="V119" s="275"/>
      <c r="W119" s="271"/>
      <c r="X119" s="275"/>
      <c r="Y119" s="275"/>
      <c r="Z119" s="275"/>
      <c r="AA119" s="275"/>
      <c r="AB119" s="271"/>
      <c r="AC119" s="275"/>
      <c r="AD119" s="275"/>
      <c r="AE119" s="275"/>
      <c r="AF119" s="275"/>
      <c r="AG119" s="271"/>
      <c r="AH119" s="275"/>
      <c r="AI119" s="275"/>
      <c r="AJ119" s="275"/>
      <c r="AK119" s="275"/>
      <c r="AL119" s="271"/>
      <c r="AM119" s="275"/>
      <c r="AN119" s="275"/>
      <c r="AO119" s="275"/>
      <c r="AP119" s="275"/>
      <c r="AQ119" s="271"/>
      <c r="AR119" s="275"/>
      <c r="AS119" s="275"/>
      <c r="AT119" s="275"/>
      <c r="AU119" s="275"/>
      <c r="AV119" s="271"/>
      <c r="AW119" s="275"/>
      <c r="AX119" s="275"/>
      <c r="AY119" s="275"/>
      <c r="AZ119" s="275"/>
      <c r="BA119" s="271"/>
    </row>
    <row r="120" spans="2:53" outlineLevel="1" x14ac:dyDescent="0.25">
      <c r="B120" s="346" t="s">
        <v>235</v>
      </c>
      <c r="C120" s="347"/>
      <c r="D120" s="117">
        <v>181.63399999999999</v>
      </c>
      <c r="E120" s="117">
        <v>172.07300000000001</v>
      </c>
      <c r="F120" s="117">
        <v>201.232</v>
      </c>
      <c r="G120" s="117">
        <v>197.63200000000001</v>
      </c>
      <c r="H120" s="118">
        <f>G120</f>
        <v>197.63200000000001</v>
      </c>
      <c r="I120" s="117">
        <v>296.25799999999998</v>
      </c>
      <c r="J120" s="117">
        <v>248.87100000000001</v>
      </c>
      <c r="K120" s="117">
        <v>331.72300000000001</v>
      </c>
      <c r="L120" s="117">
        <v>315.09399999999999</v>
      </c>
      <c r="M120" s="118">
        <f>L120</f>
        <v>315.09399999999999</v>
      </c>
      <c r="N120" s="117">
        <v>429.43099999999998</v>
      </c>
      <c r="O120" s="117">
        <v>392.59500000000003</v>
      </c>
      <c r="P120" s="117">
        <v>527.07899999999995</v>
      </c>
      <c r="Q120" s="117">
        <v>477.41699999999997</v>
      </c>
      <c r="R120" s="118">
        <f>Q120</f>
        <v>477.41699999999997</v>
      </c>
      <c r="S120" s="117">
        <v>746.26800000000003</v>
      </c>
      <c r="T120" s="117">
        <v>750.81200000000001</v>
      </c>
      <c r="U120" s="117">
        <v>1037.723</v>
      </c>
      <c r="V120" s="275"/>
      <c r="W120" s="271"/>
      <c r="X120" s="275"/>
      <c r="Y120" s="275"/>
      <c r="Z120" s="275"/>
      <c r="AA120" s="275"/>
      <c r="AB120" s="271"/>
      <c r="AC120" s="275"/>
      <c r="AD120" s="275"/>
      <c r="AE120" s="275"/>
      <c r="AF120" s="275"/>
      <c r="AG120" s="271"/>
      <c r="AH120" s="275"/>
      <c r="AI120" s="275"/>
      <c r="AJ120" s="275"/>
      <c r="AK120" s="275"/>
      <c r="AL120" s="271"/>
      <c r="AM120" s="275"/>
      <c r="AN120" s="275"/>
      <c r="AO120" s="275"/>
      <c r="AP120" s="275"/>
      <c r="AQ120" s="271"/>
      <c r="AR120" s="275"/>
      <c r="AS120" s="275"/>
      <c r="AT120" s="275"/>
      <c r="AU120" s="275"/>
      <c r="AV120" s="271"/>
      <c r="AW120" s="275"/>
      <c r="AX120" s="275"/>
      <c r="AY120" s="275"/>
      <c r="AZ120" s="275"/>
      <c r="BA120" s="271"/>
    </row>
    <row r="121" spans="2:53" ht="17.25" outlineLevel="1" x14ac:dyDescent="0.4">
      <c r="B121" s="346" t="s">
        <v>236</v>
      </c>
      <c r="C121" s="347"/>
      <c r="D121" s="119">
        <v>374.22300000000001</v>
      </c>
      <c r="E121" s="119">
        <v>396.976</v>
      </c>
      <c r="F121" s="119">
        <v>427.20600000000002</v>
      </c>
      <c r="G121" s="119">
        <v>443.47199999999998</v>
      </c>
      <c r="H121" s="120">
        <f>+G121</f>
        <v>443.47199999999998</v>
      </c>
      <c r="I121" s="119">
        <v>458.69299999999998</v>
      </c>
      <c r="J121" s="119">
        <v>505.30200000000002</v>
      </c>
      <c r="K121" s="119">
        <v>535.42499999999995</v>
      </c>
      <c r="L121" s="119">
        <v>618.62199999999996</v>
      </c>
      <c r="M121" s="120">
        <f>+L121</f>
        <v>618.62199999999996</v>
      </c>
      <c r="N121" s="119">
        <v>673.89200000000005</v>
      </c>
      <c r="O121" s="119">
        <v>697.74</v>
      </c>
      <c r="P121" s="119">
        <v>716.72299999999996</v>
      </c>
      <c r="Q121" s="119">
        <v>760.899</v>
      </c>
      <c r="R121" s="120">
        <f>+Q121</f>
        <v>760.899</v>
      </c>
      <c r="S121" s="119">
        <v>808.69200000000001</v>
      </c>
      <c r="T121" s="119">
        <v>892.77700000000004</v>
      </c>
      <c r="U121" s="119">
        <v>915.50599999999997</v>
      </c>
      <c r="V121" s="276"/>
      <c r="W121" s="277"/>
      <c r="X121" s="276"/>
      <c r="Y121" s="398" t="s">
        <v>344</v>
      </c>
      <c r="Z121" s="400"/>
      <c r="AA121" s="275"/>
      <c r="AB121" s="271"/>
      <c r="AC121" s="275"/>
      <c r="AD121" s="398" t="s">
        <v>344</v>
      </c>
      <c r="AE121" s="400"/>
      <c r="AF121" s="423"/>
      <c r="AG121" s="282"/>
      <c r="AH121" s="423"/>
      <c r="AI121" s="398" t="s">
        <v>344</v>
      </c>
      <c r="AJ121" s="400"/>
      <c r="AK121" s="424"/>
      <c r="AL121" s="282"/>
      <c r="AM121" s="424"/>
      <c r="AN121" s="398" t="s">
        <v>344</v>
      </c>
      <c r="AO121" s="400"/>
      <c r="AP121" s="424"/>
      <c r="AQ121" s="55"/>
      <c r="AR121" s="424"/>
      <c r="AS121" s="398" t="s">
        <v>344</v>
      </c>
      <c r="AT121" s="400"/>
      <c r="AU121" s="424"/>
      <c r="AV121" s="55"/>
      <c r="AW121" s="424"/>
      <c r="AX121" s="398" t="s">
        <v>344</v>
      </c>
      <c r="AY121" s="400"/>
      <c r="AZ121" s="276"/>
      <c r="BA121" s="277"/>
    </row>
    <row r="122" spans="2:53" ht="17.25" outlineLevel="1" x14ac:dyDescent="0.4">
      <c r="B122" s="392" t="s">
        <v>8</v>
      </c>
      <c r="C122" s="393"/>
      <c r="D122" s="111">
        <f>SUM(D118:D121)</f>
        <v>3933.6319999999996</v>
      </c>
      <c r="E122" s="111">
        <f t="shared" ref="E122:U122" si="282">SUM(E118:E121)</f>
        <v>4051.837</v>
      </c>
      <c r="F122" s="111">
        <f t="shared" si="282"/>
        <v>4411.4049999999997</v>
      </c>
      <c r="G122" s="111">
        <f t="shared" si="282"/>
        <v>4586.6569999999992</v>
      </c>
      <c r="H122" s="112">
        <f t="shared" si="282"/>
        <v>4586.6569999999992</v>
      </c>
      <c r="I122" s="111">
        <f t="shared" si="282"/>
        <v>4911.2290000000003</v>
      </c>
      <c r="J122" s="111">
        <f t="shared" si="282"/>
        <v>5122.9449999999997</v>
      </c>
      <c r="K122" s="111">
        <f t="shared" si="282"/>
        <v>5310.6770000000006</v>
      </c>
      <c r="L122" s="111">
        <f t="shared" si="282"/>
        <v>5466.3120000000008</v>
      </c>
      <c r="M122" s="112">
        <f t="shared" si="282"/>
        <v>5466.3120000000008</v>
      </c>
      <c r="N122" s="111">
        <f t="shared" si="282"/>
        <v>6005.5869999999995</v>
      </c>
      <c r="O122" s="111">
        <f t="shared" si="282"/>
        <v>6079.6410000000005</v>
      </c>
      <c r="P122" s="111">
        <f t="shared" si="282"/>
        <v>6298.24</v>
      </c>
      <c r="Q122" s="111">
        <f t="shared" si="282"/>
        <v>6487.3200000000006</v>
      </c>
      <c r="R122" s="112">
        <f t="shared" si="282"/>
        <v>6487.3200000000006</v>
      </c>
      <c r="S122" s="111">
        <f>SUM(S118:S121)</f>
        <v>6857.8069999999998</v>
      </c>
      <c r="T122" s="111">
        <f t="shared" si="282"/>
        <v>6933.9840000000004</v>
      </c>
      <c r="U122" s="111">
        <f t="shared" si="282"/>
        <v>7257.9000000000005</v>
      </c>
      <c r="V122" s="269"/>
      <c r="W122" s="278"/>
      <c r="X122" s="269"/>
      <c r="Y122" s="401"/>
      <c r="Z122" s="403"/>
      <c r="AA122" s="276"/>
      <c r="AB122" s="277"/>
      <c r="AC122" s="276"/>
      <c r="AD122" s="401"/>
      <c r="AE122" s="403"/>
      <c r="AF122" s="417"/>
      <c r="AG122" s="278"/>
      <c r="AH122" s="417"/>
      <c r="AI122" s="401"/>
      <c r="AJ122" s="403"/>
      <c r="AK122" s="418"/>
      <c r="AL122" s="278"/>
      <c r="AM122" s="418"/>
      <c r="AN122" s="401"/>
      <c r="AO122" s="403"/>
      <c r="AP122" s="418"/>
      <c r="AQ122" s="58"/>
      <c r="AR122" s="418"/>
      <c r="AS122" s="401"/>
      <c r="AT122" s="403"/>
      <c r="AU122" s="418"/>
      <c r="AV122" s="58"/>
      <c r="AW122" s="418"/>
      <c r="AX122" s="401"/>
      <c r="AY122" s="403"/>
      <c r="AZ122" s="269"/>
      <c r="BA122" s="278"/>
    </row>
    <row r="123" spans="2:53" outlineLevel="1" x14ac:dyDescent="0.25">
      <c r="B123" s="71" t="s">
        <v>237</v>
      </c>
      <c r="C123" s="214"/>
      <c r="D123" s="117">
        <v>2586.098</v>
      </c>
      <c r="E123" s="117">
        <v>2698.52</v>
      </c>
      <c r="F123" s="117">
        <v>2975.1889999999999</v>
      </c>
      <c r="G123" s="117">
        <v>2894.654</v>
      </c>
      <c r="H123" s="118">
        <f t="shared" ref="H123:H124" si="283">G123</f>
        <v>2894.654</v>
      </c>
      <c r="I123" s="117">
        <v>3035.43</v>
      </c>
      <c r="J123" s="117">
        <v>3356.09</v>
      </c>
      <c r="K123" s="117">
        <v>3296.5039999999999</v>
      </c>
      <c r="L123" s="117">
        <v>3329.7959999999998</v>
      </c>
      <c r="M123" s="118">
        <f t="shared" ref="M123:M124" si="284">L123</f>
        <v>3329.7959999999998</v>
      </c>
      <c r="N123" s="117">
        <v>3444.4760000000001</v>
      </c>
      <c r="O123" s="117">
        <v>3604.1579999999999</v>
      </c>
      <c r="P123" s="117">
        <v>3593.8229999999999</v>
      </c>
      <c r="Q123" s="117">
        <v>3759.0259999999998</v>
      </c>
      <c r="R123" s="118">
        <f t="shared" ref="R123:R124" si="285">Q123</f>
        <v>3759.0259999999998</v>
      </c>
      <c r="S123" s="117">
        <v>3560.364</v>
      </c>
      <c r="T123" s="117">
        <v>3564.44</v>
      </c>
      <c r="U123" s="117">
        <v>3419.5520000000001</v>
      </c>
      <c r="V123" s="275"/>
      <c r="W123" s="271"/>
      <c r="X123" s="275"/>
      <c r="Y123" s="401"/>
      <c r="Z123" s="403"/>
      <c r="AA123" s="269"/>
      <c r="AB123" s="278"/>
      <c r="AC123" s="269"/>
      <c r="AD123" s="401"/>
      <c r="AE123" s="403"/>
      <c r="AF123" s="426"/>
      <c r="AG123" s="427"/>
      <c r="AH123" s="426"/>
      <c r="AI123" s="401"/>
      <c r="AJ123" s="403"/>
      <c r="AK123" s="428"/>
      <c r="AL123" s="427"/>
      <c r="AM123" s="428"/>
      <c r="AN123" s="401"/>
      <c r="AO123" s="403"/>
      <c r="AP123" s="428"/>
      <c r="AQ123" s="429"/>
      <c r="AR123" s="428"/>
      <c r="AS123" s="401"/>
      <c r="AT123" s="403"/>
      <c r="AU123" s="428"/>
      <c r="AV123" s="429"/>
      <c r="AW123" s="428"/>
      <c r="AX123" s="401"/>
      <c r="AY123" s="403"/>
      <c r="AZ123" s="275"/>
      <c r="BA123" s="271"/>
    </row>
    <row r="124" spans="2:53" ht="17.25" outlineLevel="1" x14ac:dyDescent="0.4">
      <c r="B124" s="71" t="s">
        <v>238</v>
      </c>
      <c r="C124" s="214"/>
      <c r="D124" s="117">
        <v>2372.2179999999998</v>
      </c>
      <c r="E124" s="117">
        <v>2373.085</v>
      </c>
      <c r="F124" s="117">
        <v>2373.9659999999999</v>
      </c>
      <c r="G124" s="117">
        <v>3364.3110000000001</v>
      </c>
      <c r="H124" s="118">
        <f t="shared" si="283"/>
        <v>3364.3110000000001</v>
      </c>
      <c r="I124" s="117">
        <v>3365.431</v>
      </c>
      <c r="J124" s="117">
        <v>4836.5020000000004</v>
      </c>
      <c r="K124" s="117">
        <v>4888.7830000000004</v>
      </c>
      <c r="L124" s="117">
        <v>6499.4319999999998</v>
      </c>
      <c r="M124" s="118">
        <f t="shared" si="284"/>
        <v>6499.4319999999998</v>
      </c>
      <c r="N124" s="117">
        <v>6542.3729999999996</v>
      </c>
      <c r="O124" s="117">
        <v>8342.0669999999991</v>
      </c>
      <c r="P124" s="117">
        <v>8336.5859999999993</v>
      </c>
      <c r="Q124" s="117">
        <v>10360.058000000001</v>
      </c>
      <c r="R124" s="118">
        <f t="shared" si="285"/>
        <v>10360.058000000001</v>
      </c>
      <c r="S124" s="117">
        <v>10305.022999999999</v>
      </c>
      <c r="T124" s="117">
        <v>12594.135</v>
      </c>
      <c r="U124" s="117">
        <v>12425.745999999999</v>
      </c>
      <c r="V124" s="275"/>
      <c r="W124" s="271"/>
      <c r="X124" s="275"/>
      <c r="Y124" s="437"/>
      <c r="Z124" s="438"/>
      <c r="AA124" s="275"/>
      <c r="AB124" s="271"/>
      <c r="AC124" s="275"/>
      <c r="AD124" s="437"/>
      <c r="AE124" s="438"/>
      <c r="AF124" s="431"/>
      <c r="AG124" s="286"/>
      <c r="AH124" s="431"/>
      <c r="AI124" s="437"/>
      <c r="AJ124" s="438"/>
      <c r="AK124" s="432"/>
      <c r="AL124" s="286"/>
      <c r="AM124" s="432"/>
      <c r="AN124" s="437"/>
      <c r="AO124" s="438"/>
      <c r="AP124" s="432"/>
      <c r="AQ124" s="254"/>
      <c r="AR124" s="432"/>
      <c r="AS124" s="437"/>
      <c r="AT124" s="438"/>
      <c r="AU124" s="432"/>
      <c r="AV124" s="254"/>
      <c r="AW124" s="432"/>
      <c r="AX124" s="437"/>
      <c r="AY124" s="438"/>
      <c r="AZ124" s="275"/>
      <c r="BA124" s="271"/>
    </row>
    <row r="125" spans="2:53" ht="15.75" customHeight="1" outlineLevel="1" x14ac:dyDescent="0.4">
      <c r="B125" s="346" t="s">
        <v>40</v>
      </c>
      <c r="C125" s="347"/>
      <c r="D125" s="119">
        <v>53.093000000000004</v>
      </c>
      <c r="E125" s="119">
        <v>54.231000000000002</v>
      </c>
      <c r="F125" s="119">
        <v>57.811999999999998</v>
      </c>
      <c r="G125" s="119">
        <v>61.188000000000002</v>
      </c>
      <c r="H125" s="120">
        <f t="shared" ref="H125" si="286">G125</f>
        <v>61.188000000000002</v>
      </c>
      <c r="I125" s="119">
        <v>73.322999999999993</v>
      </c>
      <c r="J125" s="119">
        <v>89.186000000000007</v>
      </c>
      <c r="K125" s="119">
        <v>128.215</v>
      </c>
      <c r="L125" s="119">
        <v>135.24600000000001</v>
      </c>
      <c r="M125" s="120">
        <f t="shared" ref="M125" si="287">L125</f>
        <v>135.24600000000001</v>
      </c>
      <c r="N125" s="119">
        <v>139.631</v>
      </c>
      <c r="O125" s="119">
        <v>141.071</v>
      </c>
      <c r="P125" s="119">
        <v>127.92700000000001</v>
      </c>
      <c r="Q125" s="119">
        <v>129.23099999999999</v>
      </c>
      <c r="R125" s="120">
        <f t="shared" ref="R125" si="288">Q125</f>
        <v>129.23099999999999</v>
      </c>
      <c r="S125" s="119">
        <v>792.38</v>
      </c>
      <c r="T125" s="119">
        <v>973.23199999999997</v>
      </c>
      <c r="U125" s="119">
        <v>977.00800000000004</v>
      </c>
      <c r="V125" s="276"/>
      <c r="W125" s="277"/>
      <c r="X125" s="276"/>
      <c r="Y125" s="276"/>
      <c r="Z125" s="276"/>
      <c r="AA125" s="276"/>
      <c r="AB125" s="277"/>
      <c r="AC125" s="276"/>
      <c r="AD125" s="276"/>
      <c r="AE125" s="276"/>
      <c r="AF125" s="276"/>
      <c r="AG125" s="277"/>
      <c r="AH125" s="276"/>
      <c r="AI125" s="276"/>
      <c r="AJ125" s="276"/>
      <c r="AK125" s="276"/>
      <c r="AL125" s="277"/>
      <c r="AM125" s="276"/>
      <c r="AN125" s="276"/>
      <c r="AO125" s="276"/>
      <c r="AP125" s="276"/>
      <c r="AQ125" s="277"/>
      <c r="AR125" s="276"/>
      <c r="AS125" s="276"/>
      <c r="AT125" s="276"/>
      <c r="AU125" s="276"/>
      <c r="AV125" s="277"/>
      <c r="AW125" s="276"/>
      <c r="AX125" s="276"/>
      <c r="AY125" s="276"/>
      <c r="AZ125" s="276"/>
      <c r="BA125" s="277"/>
    </row>
    <row r="126" spans="2:53" outlineLevel="1" x14ac:dyDescent="0.25">
      <c r="B126" s="351" t="s">
        <v>9</v>
      </c>
      <c r="C126" s="352"/>
      <c r="D126" s="111">
        <f t="shared" ref="D126:W126" si="289">SUM(D122:D125)</f>
        <v>8945.0410000000011</v>
      </c>
      <c r="E126" s="111">
        <f t="shared" si="289"/>
        <v>9177.6729999999989</v>
      </c>
      <c r="F126" s="111">
        <f t="shared" si="289"/>
        <v>9818.3719999999994</v>
      </c>
      <c r="G126" s="111">
        <f t="shared" si="289"/>
        <v>10906.81</v>
      </c>
      <c r="H126" s="112">
        <f t="shared" si="289"/>
        <v>10906.81</v>
      </c>
      <c r="I126" s="111">
        <f t="shared" si="289"/>
        <v>11385.413</v>
      </c>
      <c r="J126" s="111">
        <f t="shared" si="289"/>
        <v>13404.723</v>
      </c>
      <c r="K126" s="111">
        <f t="shared" si="289"/>
        <v>13624.179</v>
      </c>
      <c r="L126" s="111">
        <f t="shared" si="289"/>
        <v>15430.786</v>
      </c>
      <c r="M126" s="112">
        <f t="shared" si="289"/>
        <v>15430.786</v>
      </c>
      <c r="N126" s="111">
        <f t="shared" si="289"/>
        <v>16132.066999999999</v>
      </c>
      <c r="O126" s="111">
        <f t="shared" si="289"/>
        <v>18166.937000000002</v>
      </c>
      <c r="P126" s="111">
        <f t="shared" si="289"/>
        <v>18356.575999999997</v>
      </c>
      <c r="Q126" s="111">
        <f t="shared" si="289"/>
        <v>20735.635000000002</v>
      </c>
      <c r="R126" s="112">
        <f t="shared" si="289"/>
        <v>20735.635000000002</v>
      </c>
      <c r="S126" s="111">
        <f>SUM(S122:S125)</f>
        <v>21515.574000000001</v>
      </c>
      <c r="T126" s="111">
        <f t="shared" si="289"/>
        <v>24065.791000000001</v>
      </c>
      <c r="U126" s="111">
        <f t="shared" si="289"/>
        <v>24080.206000000002</v>
      </c>
      <c r="V126" s="269"/>
      <c r="W126" s="278"/>
      <c r="X126" s="269"/>
      <c r="Y126" s="269"/>
      <c r="Z126" s="269"/>
      <c r="AA126" s="269"/>
      <c r="AB126" s="278"/>
      <c r="AC126" s="269"/>
      <c r="AD126" s="269"/>
      <c r="AE126" s="269"/>
      <c r="AF126" s="269"/>
      <c r="AG126" s="278"/>
      <c r="AH126" s="269"/>
      <c r="AI126" s="269"/>
      <c r="AJ126" s="269"/>
      <c r="AK126" s="269"/>
      <c r="AL126" s="278"/>
      <c r="AM126" s="269"/>
      <c r="AN126" s="269"/>
      <c r="AO126" s="269"/>
      <c r="AP126" s="269"/>
      <c r="AQ126" s="278"/>
      <c r="AR126" s="269"/>
      <c r="AS126" s="269"/>
      <c r="AT126" s="269"/>
      <c r="AU126" s="269"/>
      <c r="AV126" s="278"/>
      <c r="AW126" s="269"/>
      <c r="AX126" s="269"/>
      <c r="AY126" s="269"/>
      <c r="AZ126" s="269"/>
      <c r="BA126" s="278"/>
    </row>
    <row r="127" spans="2:53" ht="18" x14ac:dyDescent="0.4">
      <c r="B127" s="332" t="s">
        <v>82</v>
      </c>
      <c r="C127" s="333"/>
      <c r="D127" s="44" t="s">
        <v>139</v>
      </c>
      <c r="E127" s="44" t="s">
        <v>140</v>
      </c>
      <c r="F127" s="44" t="s">
        <v>141</v>
      </c>
      <c r="G127" s="44" t="s">
        <v>142</v>
      </c>
      <c r="H127" s="129" t="s">
        <v>143</v>
      </c>
      <c r="I127" s="44" t="s">
        <v>130</v>
      </c>
      <c r="J127" s="44" t="s">
        <v>131</v>
      </c>
      <c r="K127" s="44" t="s">
        <v>132</v>
      </c>
      <c r="L127" s="44" t="s">
        <v>133</v>
      </c>
      <c r="M127" s="129" t="s">
        <v>134</v>
      </c>
      <c r="N127" s="44" t="s">
        <v>121</v>
      </c>
      <c r="O127" s="44" t="s">
        <v>120</v>
      </c>
      <c r="P127" s="44" t="s">
        <v>119</v>
      </c>
      <c r="Q127" s="44" t="s">
        <v>118</v>
      </c>
      <c r="R127" s="129" t="s">
        <v>117</v>
      </c>
      <c r="S127" s="44" t="s">
        <v>314</v>
      </c>
      <c r="T127" s="44" t="s">
        <v>317</v>
      </c>
      <c r="U127" s="44" t="s">
        <v>332</v>
      </c>
      <c r="V127" s="42" t="s">
        <v>181</v>
      </c>
      <c r="W127" s="131" t="s">
        <v>182</v>
      </c>
      <c r="X127" s="42" t="s">
        <v>178</v>
      </c>
      <c r="Y127" s="42" t="s">
        <v>179</v>
      </c>
      <c r="Z127" s="42" t="s">
        <v>180</v>
      </c>
      <c r="AA127" s="42" t="s">
        <v>181</v>
      </c>
      <c r="AB127" s="131" t="s">
        <v>182</v>
      </c>
      <c r="AC127" s="42" t="s">
        <v>178</v>
      </c>
      <c r="AD127" s="42" t="s">
        <v>179</v>
      </c>
      <c r="AE127" s="42" t="s">
        <v>180</v>
      </c>
      <c r="AF127" s="42" t="s">
        <v>181</v>
      </c>
      <c r="AG127" s="131" t="s">
        <v>182</v>
      </c>
      <c r="AH127" s="42" t="s">
        <v>178</v>
      </c>
      <c r="AI127" s="42" t="s">
        <v>179</v>
      </c>
      <c r="AJ127" s="42" t="s">
        <v>180</v>
      </c>
      <c r="AK127" s="42" t="s">
        <v>181</v>
      </c>
      <c r="AL127" s="131" t="s">
        <v>182</v>
      </c>
      <c r="AM127" s="42" t="s">
        <v>178</v>
      </c>
      <c r="AN127" s="42" t="s">
        <v>179</v>
      </c>
      <c r="AO127" s="42" t="s">
        <v>180</v>
      </c>
      <c r="AP127" s="42" t="s">
        <v>181</v>
      </c>
      <c r="AQ127" s="131" t="s">
        <v>182</v>
      </c>
      <c r="AR127" s="42" t="s">
        <v>324</v>
      </c>
      <c r="AS127" s="42" t="s">
        <v>325</v>
      </c>
      <c r="AT127" s="42" t="s">
        <v>326</v>
      </c>
      <c r="AU127" s="42" t="s">
        <v>327</v>
      </c>
      <c r="AV127" s="131" t="s">
        <v>328</v>
      </c>
      <c r="AW127" s="42" t="s">
        <v>339</v>
      </c>
      <c r="AX127" s="42" t="s">
        <v>340</v>
      </c>
      <c r="AY127" s="42" t="s">
        <v>341</v>
      </c>
      <c r="AZ127" s="42" t="s">
        <v>342</v>
      </c>
      <c r="BA127" s="131" t="s">
        <v>343</v>
      </c>
    </row>
    <row r="128" spans="2:53" outlineLevel="1" x14ac:dyDescent="0.25">
      <c r="B128" s="344" t="s">
        <v>272</v>
      </c>
      <c r="C128" s="345"/>
      <c r="D128" s="46">
        <v>1382.0509999999999</v>
      </c>
      <c r="E128" s="46">
        <v>1443.7070000000001</v>
      </c>
      <c r="F128" s="46">
        <v>1503.6410000000001</v>
      </c>
      <c r="G128" s="46">
        <v>1599.7619999999999</v>
      </c>
      <c r="H128" s="47">
        <f>G128</f>
        <v>1599.7619999999999</v>
      </c>
      <c r="I128" s="46">
        <v>1669.1320000000001</v>
      </c>
      <c r="J128" s="46">
        <v>1727.8579999999999</v>
      </c>
      <c r="K128" s="46">
        <v>1807.123</v>
      </c>
      <c r="L128" s="46">
        <v>1871.396</v>
      </c>
      <c r="M128" s="47">
        <f>L128</f>
        <v>1871.396</v>
      </c>
      <c r="N128" s="46">
        <v>1995.2249999999999</v>
      </c>
      <c r="O128" s="46">
        <v>2103.4369999999999</v>
      </c>
      <c r="P128" s="46">
        <v>2215.7359999999999</v>
      </c>
      <c r="Q128" s="46">
        <v>2315.9879999999998</v>
      </c>
      <c r="R128" s="47">
        <f>Q128</f>
        <v>2315.9879999999998</v>
      </c>
      <c r="S128" s="46">
        <v>2439.7730000000001</v>
      </c>
      <c r="T128" s="46">
        <v>2566.3649999999998</v>
      </c>
      <c r="U128" s="46">
        <v>2677.9720000000002</v>
      </c>
      <c r="V128" s="275"/>
      <c r="W128" s="271"/>
      <c r="X128" s="275"/>
      <c r="Y128" s="275"/>
      <c r="Z128" s="275"/>
      <c r="AA128" s="275"/>
      <c r="AB128" s="271"/>
      <c r="AC128" s="275"/>
      <c r="AD128" s="275"/>
      <c r="AE128" s="275"/>
      <c r="AF128" s="275"/>
      <c r="AG128" s="271"/>
      <c r="AH128" s="275"/>
      <c r="AI128" s="275"/>
      <c r="AJ128" s="275"/>
      <c r="AK128" s="275"/>
      <c r="AL128" s="271"/>
      <c r="AM128" s="275"/>
      <c r="AN128" s="275"/>
      <c r="AO128" s="275"/>
      <c r="AP128" s="275"/>
      <c r="AQ128" s="271"/>
      <c r="AR128" s="275"/>
      <c r="AS128" s="275"/>
      <c r="AT128" s="275"/>
      <c r="AU128" s="275"/>
      <c r="AV128" s="271"/>
      <c r="AW128" s="275"/>
      <c r="AX128" s="275"/>
      <c r="AY128" s="275"/>
      <c r="AZ128" s="275"/>
      <c r="BA128" s="271"/>
    </row>
    <row r="129" spans="2:53" outlineLevel="1" x14ac:dyDescent="0.25">
      <c r="B129" s="390" t="s">
        <v>239</v>
      </c>
      <c r="C129" s="391"/>
      <c r="D129" s="46">
        <v>-34.401000000000003</v>
      </c>
      <c r="E129" s="46">
        <v>-38.210999999999999</v>
      </c>
      <c r="F129" s="46">
        <v>-36.53</v>
      </c>
      <c r="G129" s="46">
        <v>-48.564999999999998</v>
      </c>
      <c r="H129" s="47">
        <f>+G129</f>
        <v>-48.564999999999998</v>
      </c>
      <c r="I129" s="46">
        <v>-45.859000000000002</v>
      </c>
      <c r="J129" s="46">
        <v>-31.367999999999999</v>
      </c>
      <c r="K129" s="46">
        <v>-25.361999999999998</v>
      </c>
      <c r="L129" s="46">
        <v>-20.556999999999999</v>
      </c>
      <c r="M129" s="47">
        <f>+L129</f>
        <v>-20.556999999999999</v>
      </c>
      <c r="N129" s="46">
        <v>4.2640000000000002</v>
      </c>
      <c r="O129" s="46">
        <v>-12.427</v>
      </c>
      <c r="P129" s="46">
        <v>-14.507999999999999</v>
      </c>
      <c r="Q129" s="46">
        <v>-19.582000000000001</v>
      </c>
      <c r="R129" s="47">
        <f>+Q129</f>
        <v>-19.582000000000001</v>
      </c>
      <c r="S129" s="275">
        <v>-25.6</v>
      </c>
      <c r="T129" s="275">
        <v>-20.352</v>
      </c>
      <c r="U129" s="275">
        <v>-41.246000000000002</v>
      </c>
      <c r="V129" s="275"/>
      <c r="W129" s="271"/>
      <c r="X129" s="275"/>
      <c r="Y129" s="275"/>
      <c r="Z129" s="275"/>
      <c r="AA129" s="275"/>
      <c r="AB129" s="271"/>
      <c r="AC129" s="275"/>
      <c r="AD129" s="275"/>
      <c r="AE129" s="275"/>
      <c r="AF129" s="275"/>
      <c r="AG129" s="271"/>
      <c r="AH129" s="275"/>
      <c r="AI129" s="275"/>
      <c r="AJ129" s="275"/>
      <c r="AK129" s="275"/>
      <c r="AL129" s="271"/>
      <c r="AM129" s="275"/>
      <c r="AN129" s="275"/>
      <c r="AO129" s="275"/>
      <c r="AP129" s="275"/>
      <c r="AQ129" s="271"/>
      <c r="AR129" s="275"/>
      <c r="AS129" s="275"/>
      <c r="AT129" s="275"/>
      <c r="AU129" s="275"/>
      <c r="AV129" s="271"/>
      <c r="AW129" s="275"/>
      <c r="AX129" s="275"/>
      <c r="AY129" s="275"/>
      <c r="AZ129" s="275"/>
      <c r="BA129" s="271"/>
    </row>
    <row r="130" spans="2:53" ht="17.25" outlineLevel="1" x14ac:dyDescent="0.4">
      <c r="B130" s="390" t="s">
        <v>41</v>
      </c>
      <c r="C130" s="391"/>
      <c r="D130" s="51">
        <v>969.58299999999997</v>
      </c>
      <c r="E130" s="51">
        <v>1010.338</v>
      </c>
      <c r="F130" s="51">
        <v>1061.855</v>
      </c>
      <c r="G130" s="51">
        <v>1128.6030000000001</v>
      </c>
      <c r="H130" s="52">
        <f>G130</f>
        <v>1128.6030000000001</v>
      </c>
      <c r="I130" s="51">
        <v>1350.41</v>
      </c>
      <c r="J130" s="51">
        <v>1416.01</v>
      </c>
      <c r="K130" s="51">
        <v>1545.6</v>
      </c>
      <c r="L130" s="51">
        <v>1731.117</v>
      </c>
      <c r="M130" s="52">
        <f>L130</f>
        <v>1731.117</v>
      </c>
      <c r="N130" s="51">
        <v>2021.241</v>
      </c>
      <c r="O130" s="51">
        <v>2405.59</v>
      </c>
      <c r="P130" s="51">
        <v>2808.4250000000002</v>
      </c>
      <c r="Q130" s="51">
        <v>2942.3589999999999</v>
      </c>
      <c r="R130" s="52">
        <f>Q130</f>
        <v>2942.3589999999999</v>
      </c>
      <c r="S130" s="51">
        <v>3288.8850000000002</v>
      </c>
      <c r="T130" s="51">
        <v>3559.5349999999999</v>
      </c>
      <c r="U130" s="51">
        <v>4224.7790000000005</v>
      </c>
      <c r="V130" s="276"/>
      <c r="W130" s="277"/>
      <c r="X130" s="276"/>
      <c r="Y130" s="276"/>
      <c r="Z130" s="276"/>
      <c r="AA130" s="276"/>
      <c r="AB130" s="277"/>
      <c r="AC130" s="276"/>
      <c r="AD130" s="276"/>
      <c r="AE130" s="276"/>
      <c r="AF130" s="276"/>
      <c r="AG130" s="277"/>
      <c r="AH130" s="276"/>
      <c r="AI130" s="276"/>
      <c r="AJ130" s="276"/>
      <c r="AK130" s="276"/>
      <c r="AL130" s="277"/>
      <c r="AM130" s="276"/>
      <c r="AN130" s="276"/>
      <c r="AO130" s="276"/>
      <c r="AP130" s="276"/>
      <c r="AQ130" s="277"/>
      <c r="AR130" s="276"/>
      <c r="AS130" s="276"/>
      <c r="AT130" s="276"/>
      <c r="AU130" s="276"/>
      <c r="AV130" s="277"/>
      <c r="AW130" s="276"/>
      <c r="AX130" s="276"/>
      <c r="AY130" s="276"/>
      <c r="AZ130" s="276"/>
      <c r="BA130" s="277"/>
    </row>
    <row r="131" spans="2:53" outlineLevel="1" x14ac:dyDescent="0.25">
      <c r="B131" s="336" t="s">
        <v>42</v>
      </c>
      <c r="C131" s="337"/>
      <c r="D131" s="57">
        <f t="shared" ref="D131:W131" si="290">SUM(D128:D130)</f>
        <v>2317.2329999999997</v>
      </c>
      <c r="E131" s="57">
        <f t="shared" si="290"/>
        <v>2415.8339999999998</v>
      </c>
      <c r="F131" s="57">
        <f t="shared" si="290"/>
        <v>2528.9660000000003</v>
      </c>
      <c r="G131" s="57">
        <f t="shared" si="290"/>
        <v>2679.8</v>
      </c>
      <c r="H131" s="58">
        <f t="shared" si="290"/>
        <v>2679.8</v>
      </c>
      <c r="I131" s="57">
        <f t="shared" si="290"/>
        <v>2973.683</v>
      </c>
      <c r="J131" s="57">
        <f t="shared" si="290"/>
        <v>3112.5</v>
      </c>
      <c r="K131" s="57">
        <f t="shared" si="290"/>
        <v>3327.3609999999999</v>
      </c>
      <c r="L131" s="57">
        <f t="shared" si="290"/>
        <v>3581.9560000000001</v>
      </c>
      <c r="M131" s="58">
        <f t="shared" si="290"/>
        <v>3581.9560000000001</v>
      </c>
      <c r="N131" s="57">
        <f t="shared" si="290"/>
        <v>4020.7299999999996</v>
      </c>
      <c r="O131" s="57">
        <f t="shared" si="290"/>
        <v>4496.6000000000004</v>
      </c>
      <c r="P131" s="57">
        <f t="shared" si="290"/>
        <v>5009.6530000000002</v>
      </c>
      <c r="Q131" s="57">
        <f t="shared" si="290"/>
        <v>5238.7649999999994</v>
      </c>
      <c r="R131" s="58">
        <f t="shared" si="290"/>
        <v>5238.7649999999994</v>
      </c>
      <c r="S131" s="57">
        <f>SUM(S128:S130)</f>
        <v>5703.0580000000009</v>
      </c>
      <c r="T131" s="57">
        <f t="shared" si="290"/>
        <v>6105.5479999999998</v>
      </c>
      <c r="U131" s="57">
        <f t="shared" si="290"/>
        <v>6861.505000000001</v>
      </c>
      <c r="V131" s="269"/>
      <c r="W131" s="278"/>
      <c r="X131" s="269"/>
      <c r="Y131" s="269"/>
      <c r="Z131" s="269"/>
      <c r="AA131" s="269"/>
      <c r="AB131" s="278"/>
      <c r="AC131" s="269"/>
      <c r="AD131" s="269"/>
      <c r="AE131" s="269"/>
      <c r="AF131" s="269"/>
      <c r="AG131" s="278"/>
      <c r="AH131" s="269"/>
      <c r="AI131" s="269"/>
      <c r="AJ131" s="269"/>
      <c r="AK131" s="269"/>
      <c r="AL131" s="278"/>
      <c r="AM131" s="269"/>
      <c r="AN131" s="269"/>
      <c r="AO131" s="269"/>
      <c r="AP131" s="269"/>
      <c r="AQ131" s="278"/>
      <c r="AR131" s="269"/>
      <c r="AS131" s="269"/>
      <c r="AT131" s="269"/>
      <c r="AU131" s="269"/>
      <c r="AV131" s="278"/>
      <c r="AW131" s="269"/>
      <c r="AX131" s="269"/>
      <c r="AY131" s="269"/>
      <c r="AZ131" s="269"/>
      <c r="BA131" s="278"/>
    </row>
    <row r="132" spans="2:53" outlineLevel="1" x14ac:dyDescent="0.25">
      <c r="B132" s="342" t="s">
        <v>10</v>
      </c>
      <c r="C132" s="343"/>
      <c r="D132" s="66">
        <f t="shared" ref="D132:W132" si="291">D131+D126</f>
        <v>11262.274000000001</v>
      </c>
      <c r="E132" s="66">
        <f t="shared" si="291"/>
        <v>11593.506999999998</v>
      </c>
      <c r="F132" s="66">
        <f t="shared" si="291"/>
        <v>12347.338</v>
      </c>
      <c r="G132" s="66">
        <f t="shared" si="291"/>
        <v>13586.61</v>
      </c>
      <c r="H132" s="67">
        <f t="shared" si="291"/>
        <v>13586.61</v>
      </c>
      <c r="I132" s="66">
        <f t="shared" si="291"/>
        <v>14359.096000000001</v>
      </c>
      <c r="J132" s="66">
        <f t="shared" si="291"/>
        <v>16517.222999999998</v>
      </c>
      <c r="K132" s="66">
        <f t="shared" si="291"/>
        <v>16951.54</v>
      </c>
      <c r="L132" s="66">
        <f t="shared" si="291"/>
        <v>19012.741999999998</v>
      </c>
      <c r="M132" s="67">
        <f t="shared" si="291"/>
        <v>19012.741999999998</v>
      </c>
      <c r="N132" s="66">
        <f t="shared" si="291"/>
        <v>20152.796999999999</v>
      </c>
      <c r="O132" s="66">
        <f t="shared" si="291"/>
        <v>22663.537000000004</v>
      </c>
      <c r="P132" s="66">
        <f t="shared" si="291"/>
        <v>23366.228999999999</v>
      </c>
      <c r="Q132" s="66">
        <f t="shared" si="291"/>
        <v>25974.400000000001</v>
      </c>
      <c r="R132" s="67">
        <f t="shared" si="291"/>
        <v>25974.400000000001</v>
      </c>
      <c r="S132" s="66">
        <f>S131+S126</f>
        <v>27218.632000000001</v>
      </c>
      <c r="T132" s="66">
        <f t="shared" si="291"/>
        <v>30171.339</v>
      </c>
      <c r="U132" s="66">
        <f t="shared" si="291"/>
        <v>30941.711000000003</v>
      </c>
      <c r="V132" s="465"/>
      <c r="W132" s="466"/>
      <c r="X132" s="465"/>
      <c r="Y132" s="465"/>
      <c r="Z132" s="465"/>
      <c r="AA132" s="465"/>
      <c r="AB132" s="466"/>
      <c r="AC132" s="465"/>
      <c r="AD132" s="465"/>
      <c r="AE132" s="465"/>
      <c r="AF132" s="465"/>
      <c r="AG132" s="466"/>
      <c r="AH132" s="465"/>
      <c r="AI132" s="465"/>
      <c r="AJ132" s="465"/>
      <c r="AK132" s="465"/>
      <c r="AL132" s="466"/>
      <c r="AM132" s="465"/>
      <c r="AN132" s="465"/>
      <c r="AO132" s="465"/>
      <c r="AP132" s="465"/>
      <c r="AQ132" s="466"/>
      <c r="AR132" s="465"/>
      <c r="AS132" s="465"/>
      <c r="AT132" s="465"/>
      <c r="AU132" s="465"/>
      <c r="AV132" s="466"/>
      <c r="AW132" s="465"/>
      <c r="AX132" s="465"/>
      <c r="AY132" s="465"/>
      <c r="AZ132" s="465"/>
      <c r="BA132" s="466"/>
    </row>
    <row r="133" spans="2:53" x14ac:dyDescent="0.25">
      <c r="B133" s="27"/>
      <c r="C133" s="23"/>
      <c r="D133" s="11">
        <f t="shared" ref="D133:P133" si="292">D132-D116</f>
        <v>0</v>
      </c>
      <c r="E133" s="11">
        <f t="shared" si="292"/>
        <v>0</v>
      </c>
      <c r="F133" s="11">
        <f t="shared" si="292"/>
        <v>0</v>
      </c>
      <c r="G133" s="11">
        <f t="shared" si="292"/>
        <v>0</v>
      </c>
      <c r="H133" s="11">
        <f t="shared" si="292"/>
        <v>0</v>
      </c>
      <c r="I133" s="11">
        <f t="shared" si="292"/>
        <v>0</v>
      </c>
      <c r="J133" s="11">
        <f t="shared" si="292"/>
        <v>0</v>
      </c>
      <c r="K133" s="11">
        <f t="shared" si="292"/>
        <v>0</v>
      </c>
      <c r="L133" s="11">
        <f t="shared" si="292"/>
        <v>0</v>
      </c>
      <c r="M133" s="11">
        <f t="shared" si="292"/>
        <v>0</v>
      </c>
      <c r="N133" s="11">
        <f t="shared" si="292"/>
        <v>0</v>
      </c>
      <c r="O133" s="11">
        <f t="shared" si="292"/>
        <v>0</v>
      </c>
      <c r="P133" s="11">
        <f t="shared" si="292"/>
        <v>0</v>
      </c>
      <c r="Q133" s="87">
        <f t="shared" ref="Q133:R133" si="293">ROUND((Q132-Q116),0)</f>
        <v>0</v>
      </c>
      <c r="R133" s="87">
        <f t="shared" si="293"/>
        <v>0</v>
      </c>
      <c r="S133" s="87">
        <f>ROUND((S132-S116),0)</f>
        <v>0</v>
      </c>
      <c r="T133" s="87">
        <f t="shared" ref="T133:AQ133" si="294">ROUND((T132-T116),0)</f>
        <v>0</v>
      </c>
      <c r="U133" s="87">
        <f t="shared" si="294"/>
        <v>0</v>
      </c>
      <c r="V133" s="467"/>
      <c r="W133" s="467"/>
      <c r="X133" s="467"/>
      <c r="Y133" s="467"/>
      <c r="Z133" s="467"/>
      <c r="AA133" s="467"/>
      <c r="AB133" s="467"/>
      <c r="AC133" s="467"/>
      <c r="AD133" s="467"/>
      <c r="AE133" s="467"/>
      <c r="AF133" s="467"/>
      <c r="AG133" s="467"/>
      <c r="AH133" s="467"/>
      <c r="AI133" s="467"/>
      <c r="AJ133" s="467"/>
      <c r="AK133" s="467"/>
      <c r="AL133" s="467"/>
      <c r="AM133" s="467"/>
      <c r="AN133" s="467"/>
      <c r="AO133" s="467"/>
      <c r="AP133" s="467"/>
      <c r="AQ133" s="467"/>
      <c r="AR133" s="467"/>
      <c r="AS133" s="467"/>
      <c r="AT133" s="467"/>
      <c r="AU133" s="467"/>
      <c r="AV133" s="467"/>
      <c r="AW133" s="467"/>
      <c r="AX133" s="467"/>
      <c r="AY133" s="467"/>
      <c r="AZ133" s="467"/>
      <c r="BA133" s="467"/>
    </row>
    <row r="134" spans="2:53" ht="15.75" x14ac:dyDescent="0.25">
      <c r="B134" s="332" t="s">
        <v>22</v>
      </c>
      <c r="C134" s="333"/>
      <c r="D134" s="43" t="s">
        <v>135</v>
      </c>
      <c r="E134" s="43" t="s">
        <v>136</v>
      </c>
      <c r="F134" s="43" t="s">
        <v>137</v>
      </c>
      <c r="G134" s="43" t="s">
        <v>138</v>
      </c>
      <c r="H134" s="128" t="s">
        <v>138</v>
      </c>
      <c r="I134" s="43" t="s">
        <v>122</v>
      </c>
      <c r="J134" s="43" t="s">
        <v>127</v>
      </c>
      <c r="K134" s="43" t="s">
        <v>128</v>
      </c>
      <c r="L134" s="43" t="s">
        <v>129</v>
      </c>
      <c r="M134" s="128" t="s">
        <v>129</v>
      </c>
      <c r="N134" s="43" t="s">
        <v>124</v>
      </c>
      <c r="O134" s="43" t="s">
        <v>123</v>
      </c>
      <c r="P134" s="43" t="s">
        <v>125</v>
      </c>
      <c r="Q134" s="43" t="s">
        <v>126</v>
      </c>
      <c r="R134" s="128" t="s">
        <v>126</v>
      </c>
      <c r="S134" s="43" t="s">
        <v>144</v>
      </c>
      <c r="T134" s="43" t="s">
        <v>145</v>
      </c>
      <c r="U134" s="43" t="s">
        <v>146</v>
      </c>
      <c r="V134" s="45" t="s">
        <v>147</v>
      </c>
      <c r="W134" s="130" t="s">
        <v>147</v>
      </c>
      <c r="X134" s="45" t="s">
        <v>148</v>
      </c>
      <c r="Y134" s="45" t="s">
        <v>149</v>
      </c>
      <c r="Z134" s="45" t="s">
        <v>150</v>
      </c>
      <c r="AA134" s="45" t="s">
        <v>151</v>
      </c>
      <c r="AB134" s="130" t="s">
        <v>151</v>
      </c>
      <c r="AC134" s="45" t="s">
        <v>152</v>
      </c>
      <c r="AD134" s="45" t="s">
        <v>153</v>
      </c>
      <c r="AE134" s="45" t="s">
        <v>154</v>
      </c>
      <c r="AF134" s="45" t="s">
        <v>155</v>
      </c>
      <c r="AG134" s="130" t="s">
        <v>155</v>
      </c>
      <c r="AH134" s="45" t="s">
        <v>156</v>
      </c>
      <c r="AI134" s="45" t="s">
        <v>157</v>
      </c>
      <c r="AJ134" s="45" t="s">
        <v>158</v>
      </c>
      <c r="AK134" s="45" t="s">
        <v>159</v>
      </c>
      <c r="AL134" s="130" t="s">
        <v>159</v>
      </c>
      <c r="AM134" s="45" t="s">
        <v>160</v>
      </c>
      <c r="AN134" s="45" t="s">
        <v>161</v>
      </c>
      <c r="AO134" s="45" t="s">
        <v>162</v>
      </c>
      <c r="AP134" s="45" t="s">
        <v>163</v>
      </c>
      <c r="AQ134" s="130" t="s">
        <v>163</v>
      </c>
      <c r="AR134" s="45" t="s">
        <v>320</v>
      </c>
      <c r="AS134" s="45" t="s">
        <v>321</v>
      </c>
      <c r="AT134" s="45" t="s">
        <v>322</v>
      </c>
      <c r="AU134" s="45" t="s">
        <v>323</v>
      </c>
      <c r="AV134" s="130" t="s">
        <v>323</v>
      </c>
      <c r="AW134" s="45" t="s">
        <v>335</v>
      </c>
      <c r="AX134" s="45" t="s">
        <v>336</v>
      </c>
      <c r="AY134" s="45" t="s">
        <v>337</v>
      </c>
      <c r="AZ134" s="45" t="s">
        <v>338</v>
      </c>
      <c r="BA134" s="130" t="s">
        <v>338</v>
      </c>
    </row>
    <row r="135" spans="2:53" ht="17.25" x14ac:dyDescent="0.4">
      <c r="B135" s="340"/>
      <c r="C135" s="341"/>
      <c r="D135" s="44" t="s">
        <v>139</v>
      </c>
      <c r="E135" s="44" t="s">
        <v>140</v>
      </c>
      <c r="F135" s="44" t="s">
        <v>141</v>
      </c>
      <c r="G135" s="44" t="s">
        <v>142</v>
      </c>
      <c r="H135" s="129" t="s">
        <v>143</v>
      </c>
      <c r="I135" s="44" t="s">
        <v>130</v>
      </c>
      <c r="J135" s="44" t="s">
        <v>131</v>
      </c>
      <c r="K135" s="44" t="s">
        <v>132</v>
      </c>
      <c r="L135" s="44" t="s">
        <v>133</v>
      </c>
      <c r="M135" s="129" t="s">
        <v>134</v>
      </c>
      <c r="N135" s="44" t="s">
        <v>121</v>
      </c>
      <c r="O135" s="44" t="s">
        <v>120</v>
      </c>
      <c r="P135" s="44" t="s">
        <v>119</v>
      </c>
      <c r="Q135" s="44" t="s">
        <v>118</v>
      </c>
      <c r="R135" s="129" t="s">
        <v>117</v>
      </c>
      <c r="S135" s="44" t="s">
        <v>314</v>
      </c>
      <c r="T135" s="44" t="s">
        <v>317</v>
      </c>
      <c r="U135" s="44" t="s">
        <v>332</v>
      </c>
      <c r="V135" s="42" t="s">
        <v>181</v>
      </c>
      <c r="W135" s="131" t="s">
        <v>182</v>
      </c>
      <c r="X135" s="42" t="s">
        <v>183</v>
      </c>
      <c r="Y135" s="42" t="s">
        <v>184</v>
      </c>
      <c r="Z135" s="42" t="s">
        <v>185</v>
      </c>
      <c r="AA135" s="42" t="s">
        <v>186</v>
      </c>
      <c r="AB135" s="131" t="s">
        <v>187</v>
      </c>
      <c r="AC135" s="42" t="s">
        <v>188</v>
      </c>
      <c r="AD135" s="42" t="s">
        <v>189</v>
      </c>
      <c r="AE135" s="42" t="s">
        <v>190</v>
      </c>
      <c r="AF135" s="42" t="s">
        <v>191</v>
      </c>
      <c r="AG135" s="131" t="s">
        <v>192</v>
      </c>
      <c r="AH135" s="42" t="s">
        <v>193</v>
      </c>
      <c r="AI135" s="42" t="s">
        <v>194</v>
      </c>
      <c r="AJ135" s="42" t="s">
        <v>195</v>
      </c>
      <c r="AK135" s="42" t="s">
        <v>196</v>
      </c>
      <c r="AL135" s="131" t="s">
        <v>197</v>
      </c>
      <c r="AM135" s="42" t="s">
        <v>198</v>
      </c>
      <c r="AN135" s="42" t="s">
        <v>199</v>
      </c>
      <c r="AO135" s="42" t="s">
        <v>200</v>
      </c>
      <c r="AP135" s="42" t="s">
        <v>201</v>
      </c>
      <c r="AQ135" s="131" t="s">
        <v>202</v>
      </c>
      <c r="AR135" s="42" t="s">
        <v>324</v>
      </c>
      <c r="AS135" s="42" t="s">
        <v>325</v>
      </c>
      <c r="AT135" s="42" t="s">
        <v>326</v>
      </c>
      <c r="AU135" s="42" t="s">
        <v>327</v>
      </c>
      <c r="AV135" s="131" t="s">
        <v>328</v>
      </c>
      <c r="AW135" s="42" t="s">
        <v>339</v>
      </c>
      <c r="AX135" s="42" t="s">
        <v>340</v>
      </c>
      <c r="AY135" s="42" t="s">
        <v>341</v>
      </c>
      <c r="AZ135" s="42" t="s">
        <v>342</v>
      </c>
      <c r="BA135" s="131" t="s">
        <v>343</v>
      </c>
    </row>
    <row r="136" spans="2:53" outlineLevel="1" x14ac:dyDescent="0.25">
      <c r="B136" s="99" t="s">
        <v>174</v>
      </c>
      <c r="C136" s="224"/>
      <c r="D136" s="65">
        <v>90</v>
      </c>
      <c r="E136" s="65">
        <v>90</v>
      </c>
      <c r="F136" s="65">
        <v>90</v>
      </c>
      <c r="G136" s="65">
        <v>90</v>
      </c>
      <c r="H136" s="69"/>
      <c r="I136" s="65">
        <v>90</v>
      </c>
      <c r="J136" s="65">
        <v>90</v>
      </c>
      <c r="K136" s="65">
        <v>90</v>
      </c>
      <c r="L136" s="65">
        <v>90</v>
      </c>
      <c r="M136" s="69"/>
      <c r="N136" s="65">
        <v>90</v>
      </c>
      <c r="O136" s="65">
        <v>90</v>
      </c>
      <c r="P136" s="65">
        <v>90</v>
      </c>
      <c r="Q136" s="65">
        <v>90</v>
      </c>
      <c r="R136" s="69"/>
      <c r="S136" s="65">
        <v>90</v>
      </c>
      <c r="T136" s="65">
        <v>90</v>
      </c>
      <c r="U136" s="65">
        <v>90</v>
      </c>
      <c r="V136" s="468"/>
      <c r="W136" s="469"/>
      <c r="X136" s="468"/>
      <c r="Y136" s="468"/>
      <c r="Z136" s="468"/>
      <c r="AA136" s="468"/>
      <c r="AB136" s="469"/>
      <c r="AC136" s="468"/>
      <c r="AD136" s="468"/>
      <c r="AE136" s="468"/>
      <c r="AF136" s="468"/>
      <c r="AG136" s="469"/>
      <c r="AH136" s="468"/>
      <c r="AI136" s="468"/>
      <c r="AJ136" s="468"/>
      <c r="AK136" s="468"/>
      <c r="AL136" s="469"/>
      <c r="AM136" s="468"/>
      <c r="AN136" s="468"/>
      <c r="AO136" s="468"/>
      <c r="AP136" s="468"/>
      <c r="AQ136" s="469"/>
      <c r="AR136" s="468"/>
      <c r="AS136" s="468"/>
      <c r="AT136" s="468"/>
      <c r="AU136" s="468"/>
      <c r="AV136" s="469"/>
      <c r="AW136" s="468"/>
      <c r="AX136" s="468"/>
      <c r="AY136" s="468"/>
      <c r="AZ136" s="468"/>
      <c r="BA136" s="469"/>
    </row>
    <row r="137" spans="2:53" s="59" customFormat="1" outlineLevel="1" x14ac:dyDescent="0.25">
      <c r="B137" s="99" t="s">
        <v>267</v>
      </c>
      <c r="C137" s="100"/>
      <c r="D137" s="72">
        <f>+D110/(D110+D113)</f>
        <v>0.38252343258165089</v>
      </c>
      <c r="E137" s="72">
        <f>+E110/(E110+E113)</f>
        <v>0.36836651195530234</v>
      </c>
      <c r="F137" s="72">
        <f>+F110/(F110+F113)</f>
        <v>0.35231554616538602</v>
      </c>
      <c r="G137" s="72">
        <f>+G110/(G110+G113)</f>
        <v>0.33873030053792408</v>
      </c>
      <c r="H137" s="83"/>
      <c r="I137" s="72">
        <f>+I110/(I110+I113)</f>
        <v>0.33400018099281781</v>
      </c>
      <c r="J137" s="72">
        <f>+J110/(J110+J113)</f>
        <v>0.31367108962066775</v>
      </c>
      <c r="K137" s="72">
        <f>+K110/(K110+K113)</f>
        <v>0.30246791344409341</v>
      </c>
      <c r="L137" s="72">
        <f>+L110/(L110+L113)</f>
        <v>0.2936205714361998</v>
      </c>
      <c r="M137" s="83"/>
      <c r="N137" s="72">
        <f>+N110/(N110+N113)</f>
        <v>0.29022192320901807</v>
      </c>
      <c r="O137" s="72">
        <f>+O110/(O110+O113)</f>
        <v>0.28098607997679886</v>
      </c>
      <c r="P137" s="72">
        <f>+P110/(P110+P113)</f>
        <v>0.27113604382258466</v>
      </c>
      <c r="Q137" s="72">
        <f>+Q110/(Q110+Q113)</f>
        <v>0.25612321712159919</v>
      </c>
      <c r="R137" s="81"/>
      <c r="S137" s="72">
        <f>+S110/(S110+S113)</f>
        <v>0</v>
      </c>
      <c r="T137" s="72">
        <f>+T110/(T110+T113)</f>
        <v>0</v>
      </c>
      <c r="U137" s="72">
        <f>+U110/(U110+U113)</f>
        <v>0</v>
      </c>
      <c r="V137" s="470"/>
      <c r="W137" s="471"/>
      <c r="X137" s="470"/>
      <c r="Y137" s="470"/>
      <c r="Z137" s="470"/>
      <c r="AA137" s="470"/>
      <c r="AB137" s="471"/>
      <c r="AC137" s="470"/>
      <c r="AD137" s="470"/>
      <c r="AE137" s="470"/>
      <c r="AF137" s="470"/>
      <c r="AG137" s="471"/>
      <c r="AH137" s="470"/>
      <c r="AI137" s="470"/>
      <c r="AJ137" s="470"/>
      <c r="AK137" s="470"/>
      <c r="AL137" s="471"/>
      <c r="AM137" s="470"/>
      <c r="AN137" s="470"/>
      <c r="AO137" s="470"/>
      <c r="AP137" s="470"/>
      <c r="AQ137" s="471"/>
      <c r="AR137" s="470"/>
      <c r="AS137" s="470"/>
      <c r="AT137" s="470"/>
      <c r="AU137" s="470"/>
      <c r="AV137" s="471"/>
      <c r="AW137" s="470"/>
      <c r="AX137" s="470"/>
      <c r="AY137" s="470"/>
      <c r="AZ137" s="470"/>
      <c r="BA137" s="471"/>
    </row>
    <row r="138" spans="2:53" s="59" customFormat="1" ht="17.25" outlineLevel="1" x14ac:dyDescent="0.4">
      <c r="B138" s="272" t="s">
        <v>315</v>
      </c>
      <c r="C138" s="273"/>
      <c r="D138" s="72">
        <f>D118/(D118+D123)</f>
        <v>0.5488282452822848</v>
      </c>
      <c r="E138" s="72">
        <f>E118/(E118+E123)</f>
        <v>0.54576870313170667</v>
      </c>
      <c r="F138" s="72">
        <f>F118/(F118+F123)</f>
        <v>0.54032698520163214</v>
      </c>
      <c r="G138" s="72">
        <f>G118/(G118+G123)</f>
        <v>0.5565356005064831</v>
      </c>
      <c r="H138" s="81"/>
      <c r="I138" s="72">
        <f>I118/(I118+I123)</f>
        <v>0.55988340809905701</v>
      </c>
      <c r="J138" s="72">
        <f>J118/(J118+J123)</f>
        <v>0.54960662763719981</v>
      </c>
      <c r="K138" s="72">
        <f>K118/(K118+K123)</f>
        <v>0.55683751893840094</v>
      </c>
      <c r="L138" s="72">
        <f>L118/(L118+L123)</f>
        <v>0.55619507660902145</v>
      </c>
      <c r="M138" s="81"/>
      <c r="N138" s="72">
        <f>N118/(N118+N123)</f>
        <v>0.56457225452013049</v>
      </c>
      <c r="O138" s="72">
        <f>O118/(O118+O123)</f>
        <v>0.55751386238228562</v>
      </c>
      <c r="P138" s="72">
        <f>P118/(P118+P123)</f>
        <v>0.56209385982462912</v>
      </c>
      <c r="Q138" s="72">
        <f>Q118/(Q118+Q123)</f>
        <v>0.5548838401689985</v>
      </c>
      <c r="R138" s="81"/>
      <c r="S138" s="72">
        <f>S118/(S118+S123)</f>
        <v>0.57734040147369659</v>
      </c>
      <c r="T138" s="72">
        <f>T118/(T118+T123)</f>
        <v>0.57629952353844649</v>
      </c>
      <c r="U138" s="72">
        <f>U118/(U118+U123)</f>
        <v>0.58701531649278371</v>
      </c>
      <c r="V138" s="472"/>
      <c r="W138" s="298"/>
      <c r="X138" s="473"/>
      <c r="Y138" s="398" t="s">
        <v>344</v>
      </c>
      <c r="Z138" s="400"/>
      <c r="AA138" s="275"/>
      <c r="AB138" s="271"/>
      <c r="AC138" s="275"/>
      <c r="AD138" s="398" t="s">
        <v>344</v>
      </c>
      <c r="AE138" s="400"/>
      <c r="AF138" s="423"/>
      <c r="AG138" s="282"/>
      <c r="AH138" s="423"/>
      <c r="AI138" s="398" t="s">
        <v>344</v>
      </c>
      <c r="AJ138" s="400"/>
      <c r="AK138" s="424"/>
      <c r="AL138" s="282"/>
      <c r="AM138" s="424"/>
      <c r="AN138" s="398" t="s">
        <v>344</v>
      </c>
      <c r="AO138" s="400"/>
      <c r="AP138" s="424"/>
      <c r="AQ138" s="55"/>
      <c r="AR138" s="424"/>
      <c r="AS138" s="398" t="s">
        <v>344</v>
      </c>
      <c r="AT138" s="400"/>
      <c r="AU138" s="424"/>
      <c r="AV138" s="55"/>
      <c r="AW138" s="424"/>
      <c r="AX138" s="398" t="s">
        <v>344</v>
      </c>
      <c r="AY138" s="400"/>
      <c r="AZ138" s="474"/>
      <c r="BA138" s="471"/>
    </row>
    <row r="139" spans="2:53" s="59" customFormat="1" ht="17.25" outlineLevel="1" x14ac:dyDescent="0.4">
      <c r="B139" s="272" t="s">
        <v>316</v>
      </c>
      <c r="C139" s="273"/>
      <c r="D139" s="72">
        <f>(D118+D123)/(D110+D113)</f>
        <v>0.67285983086117407</v>
      </c>
      <c r="E139" s="72">
        <f>(E118+E123)/(E110+E113)</f>
        <v>0.65340071709817205</v>
      </c>
      <c r="F139" s="72">
        <f>(F118+F123)/(F110+F113)</f>
        <v>0.62777470149823378</v>
      </c>
      <c r="G139" s="72">
        <f>(G118+G123)/(G110+G113)</f>
        <v>0.59335323368974346</v>
      </c>
      <c r="H139" s="81"/>
      <c r="I139" s="72">
        <f>(I118+I123)/(I110+I113)</f>
        <v>0.57208304401717136</v>
      </c>
      <c r="J139" s="72">
        <f>(J118+J123)/(J110+J113)</f>
        <v>0.56332762178432427</v>
      </c>
      <c r="K139" s="72">
        <f>(K118+K123)/(K110+K113)</f>
        <v>0.53273232982582441</v>
      </c>
      <c r="L139" s="72">
        <f>(L118+L123)/(L110+L113)</f>
        <v>0.51102319992202683</v>
      </c>
      <c r="M139" s="81"/>
      <c r="N139" s="72">
        <f>(N118+N123)/(N110+N113)</f>
        <v>0.49622957941074536</v>
      </c>
      <c r="O139" s="72">
        <f>(O118+O123)/(O110+O113)</f>
        <v>0.47644900631052212</v>
      </c>
      <c r="P139" s="72">
        <f>(P118+P123)/(P110+P113)</f>
        <v>0.44611186376608547</v>
      </c>
      <c r="Q139" s="72">
        <f>(Q118+Q123)/(Q110+Q113)</f>
        <v>0.4198978825724165</v>
      </c>
      <c r="R139" s="81"/>
      <c r="S139" s="72">
        <f>(S118+S123)/(S110+S113)</f>
        <v>0.40326495772731635</v>
      </c>
      <c r="T139" s="72">
        <f>(T118+T123)/(T110+T113)</f>
        <v>0.3833382241838279</v>
      </c>
      <c r="U139" s="72">
        <f>(U118+U123)/(U110+U113)</f>
        <v>0.35636307889728747</v>
      </c>
      <c r="V139" s="472"/>
      <c r="W139" s="298"/>
      <c r="X139" s="473"/>
      <c r="Y139" s="401"/>
      <c r="Z139" s="403"/>
      <c r="AA139" s="276"/>
      <c r="AB139" s="277"/>
      <c r="AC139" s="276"/>
      <c r="AD139" s="401"/>
      <c r="AE139" s="403"/>
      <c r="AF139" s="417"/>
      <c r="AG139" s="278"/>
      <c r="AH139" s="417"/>
      <c r="AI139" s="401"/>
      <c r="AJ139" s="403"/>
      <c r="AK139" s="418"/>
      <c r="AL139" s="278"/>
      <c r="AM139" s="418"/>
      <c r="AN139" s="401"/>
      <c r="AO139" s="403"/>
      <c r="AP139" s="418"/>
      <c r="AQ139" s="58"/>
      <c r="AR139" s="418"/>
      <c r="AS139" s="401"/>
      <c r="AT139" s="403"/>
      <c r="AU139" s="418"/>
      <c r="AV139" s="58"/>
      <c r="AW139" s="418"/>
      <c r="AX139" s="401"/>
      <c r="AY139" s="403"/>
      <c r="AZ139" s="472"/>
      <c r="BA139" s="471"/>
    </row>
    <row r="140" spans="2:53" s="59" customFormat="1" outlineLevel="1" x14ac:dyDescent="0.25">
      <c r="B140" s="99" t="s">
        <v>271</v>
      </c>
      <c r="C140" s="100"/>
      <c r="D140" s="80"/>
      <c r="E140" s="72">
        <f>+(AVERAGE(E120,D120))/(E15+E18+E19+E20)</f>
        <v>8.6912986513887625E-2</v>
      </c>
      <c r="F140" s="72">
        <f>+(AVERAGE(F120,E120))/(F15+F18+F19+F20)</f>
        <v>8.5457651298993839E-2</v>
      </c>
      <c r="G140" s="72">
        <f>+(AVERAGE(G120,F120))/(G15+G18+G19+G20)</f>
        <v>8.5828627646585678E-2</v>
      </c>
      <c r="H140" s="83"/>
      <c r="I140" s="72">
        <f>+(AVERAGE(I120,G120))/(I15+I18+I19+I20)</f>
        <v>0.10377178905010015</v>
      </c>
      <c r="J140" s="72">
        <f>+(AVERAGE(J120,I120))/(J15+J18+J19+J20)</f>
        <v>0.10255819317541731</v>
      </c>
      <c r="K140" s="72">
        <f>+(AVERAGE(K120,J120))/(K15+K18+K19+K20)</f>
        <v>0.10456510839151772</v>
      </c>
      <c r="L140" s="72">
        <f>+(AVERAGE(L120,K120))/(L15+L18+L19+L20)</f>
        <v>0.10636855967467995</v>
      </c>
      <c r="M140" s="83"/>
      <c r="N140" s="72">
        <f>+(AVERAGE(N120,L120))/(N15+N18+N19+N20)</f>
        <v>0.11439173297425725</v>
      </c>
      <c r="O140" s="72">
        <f>+(AVERAGE(O120,N120))/(O15+O18+O19+O20)</f>
        <v>0.11930513776695131</v>
      </c>
      <c r="P140" s="72">
        <f>+(AVERAGE(P120,O120))/(P15+P18+P19+P20)</f>
        <v>0.13068355241955423</v>
      </c>
      <c r="Q140" s="72">
        <f>+(AVERAGE(Q120,P120))/(Q15+Q18+Q19+Q20)</f>
        <v>0.12647661564604434</v>
      </c>
      <c r="R140" s="81"/>
      <c r="S140" s="72">
        <f>+(AVERAGE(S120,Q120))/(S15+S18+S19+S20)</f>
        <v>0.15062933478552443</v>
      </c>
      <c r="T140" s="72">
        <f>+(AVERAGE(T120,R120))/(T15+T18+T19+T20)</f>
        <v>0.14563875469354332</v>
      </c>
      <c r="U140" s="72">
        <f>+(AVERAGE(U120,T120))/(U15+U18+U19+U20)</f>
        <v>0.2096922713291029</v>
      </c>
      <c r="V140" s="293"/>
      <c r="W140" s="471"/>
      <c r="X140" s="293"/>
      <c r="Y140" s="401"/>
      <c r="Z140" s="403"/>
      <c r="AA140" s="269"/>
      <c r="AB140" s="278"/>
      <c r="AC140" s="269"/>
      <c r="AD140" s="401"/>
      <c r="AE140" s="403"/>
      <c r="AF140" s="426"/>
      <c r="AG140" s="427"/>
      <c r="AH140" s="426"/>
      <c r="AI140" s="401"/>
      <c r="AJ140" s="403"/>
      <c r="AK140" s="428"/>
      <c r="AL140" s="427"/>
      <c r="AM140" s="428"/>
      <c r="AN140" s="401"/>
      <c r="AO140" s="403"/>
      <c r="AP140" s="428"/>
      <c r="AQ140" s="429"/>
      <c r="AR140" s="428"/>
      <c r="AS140" s="401"/>
      <c r="AT140" s="403"/>
      <c r="AU140" s="428"/>
      <c r="AV140" s="429"/>
      <c r="AW140" s="428"/>
      <c r="AX140" s="401"/>
      <c r="AY140" s="403"/>
      <c r="AZ140" s="293"/>
      <c r="BA140" s="471"/>
    </row>
    <row r="141" spans="2:53" s="59" customFormat="1" ht="17.25" outlineLevel="1" x14ac:dyDescent="0.4">
      <c r="B141" s="99" t="s">
        <v>270</v>
      </c>
      <c r="C141" s="100"/>
      <c r="D141" s="80"/>
      <c r="E141" s="72">
        <f>+((AVERAGE(D121,E121))/E14)</f>
        <v>0.18316490943395511</v>
      </c>
      <c r="F141" s="72">
        <f>+((AVERAGE(E121,F121))/F14)</f>
        <v>0.17993762957451528</v>
      </c>
      <c r="G141" s="72">
        <f>+((AVERAGE(F121,G121))/G14)</f>
        <v>0.17571414559839776</v>
      </c>
      <c r="H141" s="83"/>
      <c r="I141" s="72">
        <f>+((AVERAGE(G121,I121))/I14)</f>
        <v>0.17108264890665562</v>
      </c>
      <c r="J141" s="72">
        <f>+((AVERAGE(I121,J121))/J14)</f>
        <v>0.17304029059431392</v>
      </c>
      <c r="K141" s="72">
        <f>+((AVERAGE(J121,K121))/K14)</f>
        <v>0.17433436554289497</v>
      </c>
      <c r="L141" s="72">
        <f>+((AVERAGE(K121,L121))/L14)</f>
        <v>0.17561367174363274</v>
      </c>
      <c r="M141" s="81"/>
      <c r="N141" s="72">
        <f>+((AVERAGE(L121,N121))/N14)</f>
        <v>0.17462365463557622</v>
      </c>
      <c r="O141" s="72">
        <f>+((AVERAGE(N121,O121))/O14)</f>
        <v>0.1755230634176804</v>
      </c>
      <c r="P141" s="72">
        <f>+((AVERAGE(O121,P121))/P14)</f>
        <v>0.17683554976353799</v>
      </c>
      <c r="Q141" s="72">
        <f>+((AVERAGE(P121,Q121))/Q14)</f>
        <v>0.1764602477142074</v>
      </c>
      <c r="R141" s="81"/>
      <c r="S141" s="72">
        <f>+((AVERAGE(Q121,S121))/S14)</f>
        <v>0.17358922555049863</v>
      </c>
      <c r="T141" s="72">
        <f>+((AVERAGE(S121,T121))/T14)</f>
        <v>0.17280407368016518</v>
      </c>
      <c r="U141" s="72">
        <f>+((AVERAGE(T121,U121))/U14)</f>
        <v>0.17238472384151857</v>
      </c>
      <c r="V141" s="293"/>
      <c r="W141" s="471"/>
      <c r="X141" s="293"/>
      <c r="Y141" s="437"/>
      <c r="Z141" s="438"/>
      <c r="AA141" s="275"/>
      <c r="AB141" s="271"/>
      <c r="AC141" s="275"/>
      <c r="AD141" s="437"/>
      <c r="AE141" s="438"/>
      <c r="AF141" s="431"/>
      <c r="AG141" s="286"/>
      <c r="AH141" s="431"/>
      <c r="AI141" s="437"/>
      <c r="AJ141" s="438"/>
      <c r="AK141" s="432"/>
      <c r="AL141" s="286"/>
      <c r="AM141" s="432"/>
      <c r="AN141" s="437"/>
      <c r="AO141" s="438"/>
      <c r="AP141" s="432"/>
      <c r="AQ141" s="254"/>
      <c r="AR141" s="432"/>
      <c r="AS141" s="437"/>
      <c r="AT141" s="438"/>
      <c r="AU141" s="432"/>
      <c r="AV141" s="254"/>
      <c r="AW141" s="432"/>
      <c r="AX141" s="437"/>
      <c r="AY141" s="438"/>
      <c r="AZ141" s="293"/>
      <c r="BA141" s="471"/>
    </row>
    <row r="142" spans="2:53" s="59" customFormat="1" outlineLevel="1" x14ac:dyDescent="0.25">
      <c r="B142" s="346" t="s">
        <v>61</v>
      </c>
      <c r="C142" s="347"/>
      <c r="D142" s="123"/>
      <c r="E142" s="123"/>
      <c r="F142" s="123"/>
      <c r="G142" s="124"/>
      <c r="H142" s="125"/>
      <c r="I142" s="123">
        <f>I20/(AVERAGE(I119,G119))</f>
        <v>0.32564553633286325</v>
      </c>
      <c r="J142" s="123">
        <f>J20/(AVERAGE(J119,I119))</f>
        <v>0.39532301237705214</v>
      </c>
      <c r="K142" s="123">
        <f>K20/(AVERAGE(K119,J119))</f>
        <v>0.37340412392296302</v>
      </c>
      <c r="L142" s="123">
        <f>L20/(AVERAGE(L119,K119))</f>
        <v>0.34027031851836159</v>
      </c>
      <c r="M142" s="125"/>
      <c r="N142" s="123">
        <f>N20/(AVERAGE(N119,L119))</f>
        <v>0.33833246621375374</v>
      </c>
      <c r="O142" s="123">
        <f>O20/(AVERAGE(O119,N119))</f>
        <v>0.34265865522692168</v>
      </c>
      <c r="P142" s="123">
        <f>P20/(AVERAGE(P119,O119))</f>
        <v>0.37909010999880849</v>
      </c>
      <c r="Q142" s="123">
        <f>Q20/(AVERAGE(Q119,P119))</f>
        <v>0.34951792690648859</v>
      </c>
      <c r="R142" s="126"/>
      <c r="S142" s="123">
        <f>S20/(AVERAGE(S119,Q119))</f>
        <v>0.40290439419799479</v>
      </c>
      <c r="T142" s="123">
        <f>T20/(AVERAGE(T119,S119))</f>
        <v>0.50960541686987493</v>
      </c>
      <c r="U142" s="123">
        <f>U20/(AVERAGE(U119,T119))</f>
        <v>0.52616032755552999</v>
      </c>
      <c r="V142" s="475"/>
      <c r="W142" s="476"/>
      <c r="X142" s="475"/>
      <c r="Y142" s="475"/>
      <c r="Z142" s="475"/>
      <c r="AA142" s="475"/>
      <c r="AB142" s="476"/>
      <c r="AC142" s="475"/>
      <c r="AD142" s="475"/>
      <c r="AE142" s="475"/>
      <c r="AF142" s="475"/>
      <c r="AG142" s="476"/>
      <c r="AH142" s="475"/>
      <c r="AI142" s="475"/>
      <c r="AJ142" s="475"/>
      <c r="AK142" s="475"/>
      <c r="AL142" s="476"/>
      <c r="AM142" s="475"/>
      <c r="AN142" s="475"/>
      <c r="AO142" s="475"/>
      <c r="AP142" s="475"/>
      <c r="AQ142" s="471"/>
      <c r="AR142" s="475"/>
      <c r="AS142" s="475"/>
      <c r="AT142" s="475"/>
      <c r="AU142" s="475"/>
      <c r="AV142" s="471"/>
      <c r="AW142" s="475"/>
      <c r="AX142" s="475"/>
      <c r="AY142" s="475"/>
      <c r="AZ142" s="475"/>
      <c r="BA142" s="471"/>
    </row>
    <row r="143" spans="2:53" s="59" customFormat="1" outlineLevel="1" x14ac:dyDescent="0.25">
      <c r="B143" s="346" t="s">
        <v>23</v>
      </c>
      <c r="C143" s="347"/>
      <c r="D143" s="117"/>
      <c r="E143" s="117"/>
      <c r="F143" s="117"/>
      <c r="G143" s="117"/>
      <c r="H143" s="127"/>
      <c r="I143" s="117">
        <f>I136/I142</f>
        <v>276.37412449592188</v>
      </c>
      <c r="J143" s="117">
        <f>J136/J142</f>
        <v>227.66193007291866</v>
      </c>
      <c r="K143" s="117">
        <f>K136/K142</f>
        <v>241.02572583951402</v>
      </c>
      <c r="L143" s="117">
        <f>L136/L142</f>
        <v>264.49559394979508</v>
      </c>
      <c r="M143" s="127"/>
      <c r="N143" s="117">
        <f>N136/N142</f>
        <v>266.01053397914006</v>
      </c>
      <c r="O143" s="117">
        <f>O136/O142</f>
        <v>262.65205511998101</v>
      </c>
      <c r="P143" s="117">
        <f>P136/P142</f>
        <v>237.41057238418296</v>
      </c>
      <c r="Q143" s="117">
        <f>Q136/Q142</f>
        <v>257.49752179114682</v>
      </c>
      <c r="R143" s="127"/>
      <c r="S143" s="117">
        <f>S136/S142</f>
        <v>223.37805518142923</v>
      </c>
      <c r="T143" s="117">
        <f>T136/T142</f>
        <v>176.60722790743222</v>
      </c>
      <c r="U143" s="117">
        <f>U136/U142</f>
        <v>171.05052450101641</v>
      </c>
      <c r="V143" s="275"/>
      <c r="W143" s="460"/>
      <c r="X143" s="275"/>
      <c r="Y143" s="275"/>
      <c r="Z143" s="275"/>
      <c r="AA143" s="275"/>
      <c r="AB143" s="460"/>
      <c r="AC143" s="275"/>
      <c r="AD143" s="275"/>
      <c r="AE143" s="275"/>
      <c r="AF143" s="275"/>
      <c r="AG143" s="460"/>
      <c r="AH143" s="275"/>
      <c r="AI143" s="275"/>
      <c r="AJ143" s="275"/>
      <c r="AK143" s="275"/>
      <c r="AL143" s="460"/>
      <c r="AM143" s="275"/>
      <c r="AN143" s="275"/>
      <c r="AO143" s="275"/>
      <c r="AP143" s="275"/>
      <c r="AQ143" s="460"/>
      <c r="AR143" s="275"/>
      <c r="AS143" s="275"/>
      <c r="AT143" s="275"/>
      <c r="AU143" s="275"/>
      <c r="AV143" s="460"/>
      <c r="AW143" s="275"/>
      <c r="AX143" s="275"/>
      <c r="AY143" s="275"/>
      <c r="AZ143" s="275"/>
      <c r="BA143" s="460"/>
    </row>
    <row r="144" spans="2:53" s="59" customFormat="1" outlineLevel="1" x14ac:dyDescent="0.25">
      <c r="B144" s="346" t="s">
        <v>268</v>
      </c>
      <c r="C144" s="347"/>
      <c r="D144" s="222">
        <f>+D124/D131</f>
        <v>1.0237287316381218</v>
      </c>
      <c r="E144" s="222">
        <f>+E124/E131</f>
        <v>0.98230466166135599</v>
      </c>
      <c r="F144" s="222">
        <f>+F124/F131</f>
        <v>0.93871012896179684</v>
      </c>
      <c r="G144" s="222">
        <f>+G124/G131</f>
        <v>1.2554336144488394</v>
      </c>
      <c r="H144" s="223"/>
      <c r="I144" s="222">
        <f>+I124/I131</f>
        <v>1.1317383191147139</v>
      </c>
      <c r="J144" s="222">
        <f>+J124/J131</f>
        <v>1.5538962248995984</v>
      </c>
      <c r="K144" s="222">
        <f>+K124/K131</f>
        <v>1.4692673863761703</v>
      </c>
      <c r="L144" s="222">
        <f>+L124/L131</f>
        <v>1.81449241699228</v>
      </c>
      <c r="M144" s="223"/>
      <c r="N144" s="222">
        <f>+N124/N131</f>
        <v>1.6271604907566537</v>
      </c>
      <c r="O144" s="222">
        <f>+O124/O131</f>
        <v>1.8551943690788593</v>
      </c>
      <c r="P144" s="222">
        <f>+P124/P131</f>
        <v>1.664104479891122</v>
      </c>
      <c r="Q144" s="222">
        <f>+Q124/Q131</f>
        <v>1.9775763944364755</v>
      </c>
      <c r="R144" s="223"/>
      <c r="S144" s="222">
        <f>+S124/S131</f>
        <v>1.8069293701729841</v>
      </c>
      <c r="T144" s="222">
        <f>+T124/T131</f>
        <v>2.0627362195825829</v>
      </c>
      <c r="U144" s="222">
        <f>+U124/U131</f>
        <v>1.8109359389813164</v>
      </c>
      <c r="V144" s="477"/>
      <c r="W144" s="460"/>
      <c r="X144" s="477"/>
      <c r="Y144" s="477"/>
      <c r="Z144" s="477"/>
      <c r="AA144" s="477"/>
      <c r="AB144" s="460"/>
      <c r="AC144" s="477"/>
      <c r="AD144" s="477"/>
      <c r="AE144" s="477"/>
      <c r="AF144" s="477"/>
      <c r="AG144" s="460"/>
      <c r="AH144" s="477"/>
      <c r="AI144" s="477"/>
      <c r="AJ144" s="477"/>
      <c r="AK144" s="477"/>
      <c r="AL144" s="460"/>
      <c r="AM144" s="477"/>
      <c r="AN144" s="477"/>
      <c r="AO144" s="477"/>
      <c r="AP144" s="477"/>
      <c r="AQ144" s="460"/>
      <c r="AR144" s="477"/>
      <c r="AS144" s="477"/>
      <c r="AT144" s="477"/>
      <c r="AU144" s="477"/>
      <c r="AV144" s="460"/>
      <c r="AW144" s="477"/>
      <c r="AX144" s="477"/>
      <c r="AY144" s="477"/>
      <c r="AZ144" s="477"/>
      <c r="BA144" s="460"/>
    </row>
    <row r="145" spans="2:53" outlineLevel="1" x14ac:dyDescent="0.25">
      <c r="B145" s="355" t="s">
        <v>75</v>
      </c>
      <c r="C145" s="356"/>
      <c r="D145" s="185"/>
      <c r="E145" s="185">
        <f>+E155/((E114+D114)/2)</f>
        <v>8.5871936509093999E-2</v>
      </c>
      <c r="F145" s="185">
        <f>+F155/((F114+E114)/2)</f>
        <v>8.1242600214241414E-2</v>
      </c>
      <c r="G145" s="185">
        <f>+G155/((G114+F114)/2)</f>
        <v>6.4164279367175323E-2</v>
      </c>
      <c r="H145" s="186"/>
      <c r="I145" s="185">
        <f>+I155/((I114+G114)/2)</f>
        <v>5.7277374124130781E-2</v>
      </c>
      <c r="J145" s="185">
        <f>+J155/((J114+I114)/2)</f>
        <v>6.3431547201810864E-2</v>
      </c>
      <c r="K145" s="185">
        <f>+K155/((K114+J114)/2)</f>
        <v>6.0855481675028314E-2</v>
      </c>
      <c r="L145" s="185">
        <f>+L155/((L114+K114)/2)</f>
        <v>5.9433646243134811E-2</v>
      </c>
      <c r="M145" s="186"/>
      <c r="N145" s="185">
        <f>+N155/((N114+L114)/2)</f>
        <v>5.7583437163559827E-2</v>
      </c>
      <c r="O145" s="185">
        <f>+O155/((O114+N114)/2)</f>
        <v>5.7075268444051148E-2</v>
      </c>
      <c r="P145" s="185">
        <f>+P155/((P114+O114)/2)</f>
        <v>5.8715479232739273E-2</v>
      </c>
      <c r="Q145" s="185">
        <f>+Q155/((Q114+P114)/2)</f>
        <v>5.8824498089134862E-2</v>
      </c>
      <c r="R145" s="186"/>
      <c r="S145" s="185">
        <f>+S155/((S114+Q114)/2)</f>
        <v>2.8310921471768988E-2</v>
      </c>
      <c r="T145" s="185">
        <f>+T155/((T114+S114)/2)</f>
        <v>3.0020652739608283E-2</v>
      </c>
      <c r="U145" s="185">
        <f>+U155/((U114+T114)/2)</f>
        <v>5.7158084784635126E-2</v>
      </c>
      <c r="V145" s="463"/>
      <c r="W145" s="478"/>
      <c r="X145" s="479"/>
      <c r="Y145" s="479"/>
      <c r="Z145" s="463"/>
      <c r="AA145" s="463"/>
      <c r="AB145" s="478"/>
      <c r="AC145" s="479"/>
      <c r="AD145" s="479"/>
      <c r="AE145" s="463"/>
      <c r="AF145" s="463"/>
      <c r="AG145" s="478"/>
      <c r="AH145" s="479"/>
      <c r="AI145" s="479"/>
      <c r="AJ145" s="463"/>
      <c r="AK145" s="463"/>
      <c r="AL145" s="478"/>
      <c r="AM145" s="479"/>
      <c r="AN145" s="479"/>
      <c r="AO145" s="463"/>
      <c r="AP145" s="463"/>
      <c r="AQ145" s="480"/>
      <c r="AR145" s="479"/>
      <c r="AS145" s="479"/>
      <c r="AT145" s="463"/>
      <c r="AU145" s="463"/>
      <c r="AV145" s="480"/>
      <c r="AW145" s="479"/>
      <c r="AX145" s="479"/>
      <c r="AY145" s="463"/>
      <c r="AZ145" s="463"/>
      <c r="BA145" s="480"/>
    </row>
    <row r="146" spans="2:53" x14ac:dyDescent="0.25">
      <c r="B146" s="27"/>
      <c r="C146" s="27"/>
      <c r="H146" s="18"/>
      <c r="I146" s="18"/>
      <c r="J146" s="221"/>
      <c r="K146" s="221"/>
      <c r="L146" s="221"/>
      <c r="M146" s="19"/>
      <c r="N146" s="18"/>
      <c r="O146" s="221"/>
      <c r="P146" s="221"/>
      <c r="Q146" s="221"/>
      <c r="S146" s="14"/>
      <c r="U146" s="3"/>
      <c r="V146" s="3"/>
    </row>
    <row r="147" spans="2:53" ht="15.75" x14ac:dyDescent="0.25">
      <c r="B147" s="332" t="s">
        <v>205</v>
      </c>
      <c r="C147" s="333"/>
      <c r="D147" s="43" t="s">
        <v>135</v>
      </c>
      <c r="E147" s="43" t="s">
        <v>136</v>
      </c>
      <c r="F147" s="43" t="s">
        <v>137</v>
      </c>
      <c r="G147" s="43" t="s">
        <v>138</v>
      </c>
      <c r="H147" s="128" t="s">
        <v>138</v>
      </c>
      <c r="I147" s="43" t="s">
        <v>122</v>
      </c>
      <c r="J147" s="43" t="s">
        <v>127</v>
      </c>
      <c r="K147" s="43" t="s">
        <v>128</v>
      </c>
      <c r="L147" s="43" t="s">
        <v>129</v>
      </c>
      <c r="M147" s="128" t="s">
        <v>129</v>
      </c>
      <c r="N147" s="43" t="s">
        <v>124</v>
      </c>
      <c r="O147" s="43" t="s">
        <v>123</v>
      </c>
      <c r="P147" s="43" t="s">
        <v>125</v>
      </c>
      <c r="Q147" s="43" t="s">
        <v>126</v>
      </c>
      <c r="R147" s="128" t="s">
        <v>126</v>
      </c>
      <c r="S147" s="43" t="s">
        <v>144</v>
      </c>
      <c r="T147" s="43" t="s">
        <v>145</v>
      </c>
      <c r="U147" s="43" t="s">
        <v>146</v>
      </c>
      <c r="V147" s="45" t="s">
        <v>147</v>
      </c>
      <c r="W147" s="130" t="s">
        <v>147</v>
      </c>
      <c r="X147" s="45" t="s">
        <v>148</v>
      </c>
      <c r="Y147" s="45" t="s">
        <v>149</v>
      </c>
      <c r="Z147" s="45" t="s">
        <v>150</v>
      </c>
      <c r="AA147" s="45" t="s">
        <v>151</v>
      </c>
      <c r="AB147" s="130" t="s">
        <v>151</v>
      </c>
      <c r="AC147" s="45" t="s">
        <v>152</v>
      </c>
      <c r="AD147" s="45" t="s">
        <v>153</v>
      </c>
      <c r="AE147" s="45" t="s">
        <v>154</v>
      </c>
      <c r="AF147" s="45" t="s">
        <v>155</v>
      </c>
      <c r="AG147" s="130" t="s">
        <v>155</v>
      </c>
      <c r="AH147" s="45" t="s">
        <v>156</v>
      </c>
      <c r="AI147" s="45" t="s">
        <v>157</v>
      </c>
      <c r="AJ147" s="45" t="s">
        <v>158</v>
      </c>
      <c r="AK147" s="45" t="s">
        <v>159</v>
      </c>
      <c r="AL147" s="130" t="s">
        <v>159</v>
      </c>
      <c r="AM147" s="45" t="s">
        <v>160</v>
      </c>
      <c r="AN147" s="45" t="s">
        <v>161</v>
      </c>
      <c r="AO147" s="45" t="s">
        <v>162</v>
      </c>
      <c r="AP147" s="45" t="s">
        <v>163</v>
      </c>
      <c r="AQ147" s="130" t="s">
        <v>163</v>
      </c>
      <c r="AR147" s="45" t="s">
        <v>320</v>
      </c>
      <c r="AS147" s="45" t="s">
        <v>321</v>
      </c>
      <c r="AT147" s="45" t="s">
        <v>322</v>
      </c>
      <c r="AU147" s="45" t="s">
        <v>323</v>
      </c>
      <c r="AV147" s="130" t="s">
        <v>323</v>
      </c>
      <c r="AW147" s="45" t="s">
        <v>335</v>
      </c>
      <c r="AX147" s="45" t="s">
        <v>336</v>
      </c>
      <c r="AY147" s="45" t="s">
        <v>337</v>
      </c>
      <c r="AZ147" s="45" t="s">
        <v>338</v>
      </c>
      <c r="BA147" s="130" t="s">
        <v>338</v>
      </c>
    </row>
    <row r="148" spans="2:53" ht="17.25" x14ac:dyDescent="0.4">
      <c r="B148" s="103" t="s">
        <v>3</v>
      </c>
      <c r="C148" s="132"/>
      <c r="D148" s="44" t="s">
        <v>139</v>
      </c>
      <c r="E148" s="44" t="s">
        <v>140</v>
      </c>
      <c r="F148" s="44" t="s">
        <v>141</v>
      </c>
      <c r="G148" s="44" t="s">
        <v>142</v>
      </c>
      <c r="H148" s="129" t="s">
        <v>143</v>
      </c>
      <c r="I148" s="44" t="s">
        <v>130</v>
      </c>
      <c r="J148" s="44" t="s">
        <v>131</v>
      </c>
      <c r="K148" s="44" t="s">
        <v>132</v>
      </c>
      <c r="L148" s="44" t="s">
        <v>133</v>
      </c>
      <c r="M148" s="129" t="s">
        <v>134</v>
      </c>
      <c r="N148" s="44" t="s">
        <v>121</v>
      </c>
      <c r="O148" s="44" t="s">
        <v>120</v>
      </c>
      <c r="P148" s="44" t="s">
        <v>119</v>
      </c>
      <c r="Q148" s="44" t="s">
        <v>118</v>
      </c>
      <c r="R148" s="129" t="s">
        <v>117</v>
      </c>
      <c r="S148" s="44" t="s">
        <v>314</v>
      </c>
      <c r="T148" s="44" t="s">
        <v>317</v>
      </c>
      <c r="U148" s="44" t="s">
        <v>332</v>
      </c>
      <c r="V148" s="42" t="s">
        <v>181</v>
      </c>
      <c r="W148" s="131" t="s">
        <v>182</v>
      </c>
      <c r="X148" s="42" t="s">
        <v>183</v>
      </c>
      <c r="Y148" s="42" t="s">
        <v>184</v>
      </c>
      <c r="Z148" s="42" t="s">
        <v>185</v>
      </c>
      <c r="AA148" s="42" t="s">
        <v>186</v>
      </c>
      <c r="AB148" s="131" t="s">
        <v>187</v>
      </c>
      <c r="AC148" s="42" t="s">
        <v>188</v>
      </c>
      <c r="AD148" s="42" t="s">
        <v>189</v>
      </c>
      <c r="AE148" s="42" t="s">
        <v>190</v>
      </c>
      <c r="AF148" s="42" t="s">
        <v>191</v>
      </c>
      <c r="AG148" s="131" t="s">
        <v>192</v>
      </c>
      <c r="AH148" s="42" t="s">
        <v>193</v>
      </c>
      <c r="AI148" s="42" t="s">
        <v>194</v>
      </c>
      <c r="AJ148" s="42" t="s">
        <v>195</v>
      </c>
      <c r="AK148" s="42" t="s">
        <v>196</v>
      </c>
      <c r="AL148" s="131" t="s">
        <v>197</v>
      </c>
      <c r="AM148" s="42" t="s">
        <v>198</v>
      </c>
      <c r="AN148" s="42" t="s">
        <v>199</v>
      </c>
      <c r="AO148" s="42" t="s">
        <v>200</v>
      </c>
      <c r="AP148" s="42" t="s">
        <v>201</v>
      </c>
      <c r="AQ148" s="131" t="s">
        <v>202</v>
      </c>
      <c r="AR148" s="42" t="s">
        <v>324</v>
      </c>
      <c r="AS148" s="42" t="s">
        <v>325</v>
      </c>
      <c r="AT148" s="42" t="s">
        <v>326</v>
      </c>
      <c r="AU148" s="42" t="s">
        <v>327</v>
      </c>
      <c r="AV148" s="131" t="s">
        <v>328</v>
      </c>
      <c r="AW148" s="42" t="s">
        <v>339</v>
      </c>
      <c r="AX148" s="42" t="s">
        <v>340</v>
      </c>
      <c r="AY148" s="42" t="s">
        <v>341</v>
      </c>
      <c r="AZ148" s="42" t="s">
        <v>342</v>
      </c>
      <c r="BA148" s="131" t="s">
        <v>343</v>
      </c>
    </row>
    <row r="149" spans="2:53" outlineLevel="1" x14ac:dyDescent="0.25">
      <c r="B149" s="338" t="s">
        <v>11</v>
      </c>
      <c r="C149" s="339"/>
      <c r="D149" s="15"/>
      <c r="E149" s="15"/>
      <c r="F149" s="15"/>
      <c r="G149" s="15"/>
      <c r="H149" s="22"/>
      <c r="I149" s="15"/>
      <c r="J149" s="46"/>
      <c r="K149" s="15"/>
      <c r="L149" s="15"/>
      <c r="M149" s="22"/>
      <c r="N149" s="15"/>
      <c r="O149" s="15"/>
      <c r="P149" s="15"/>
      <c r="Q149" s="15"/>
      <c r="R149" s="22"/>
      <c r="S149" s="15"/>
      <c r="T149" s="15"/>
      <c r="U149" s="15"/>
      <c r="V149" s="15"/>
      <c r="W149" s="22"/>
      <c r="X149" s="15"/>
      <c r="Y149" s="15"/>
      <c r="Z149" s="15"/>
      <c r="AA149" s="15"/>
      <c r="AB149" s="22"/>
      <c r="AC149" s="15"/>
      <c r="AD149" s="15"/>
      <c r="AE149" s="15"/>
      <c r="AF149" s="15"/>
      <c r="AG149" s="22"/>
      <c r="AH149" s="15"/>
      <c r="AI149" s="15"/>
      <c r="AJ149" s="15"/>
      <c r="AK149" s="15"/>
      <c r="AL149" s="22"/>
      <c r="AM149" s="15"/>
      <c r="AN149" s="15"/>
      <c r="AO149" s="15"/>
      <c r="AP149" s="15"/>
      <c r="AQ149" s="22"/>
      <c r="AR149" s="15"/>
      <c r="AS149" s="15"/>
      <c r="AT149" s="15"/>
      <c r="AU149" s="15"/>
      <c r="AV149" s="22"/>
      <c r="AW149" s="15"/>
      <c r="AX149" s="15"/>
      <c r="AY149" s="15"/>
      <c r="AZ149" s="15"/>
      <c r="BA149" s="22"/>
    </row>
    <row r="150" spans="2:53" outlineLevel="1" x14ac:dyDescent="0.25">
      <c r="B150" s="79" t="s">
        <v>12</v>
      </c>
      <c r="C150" s="180"/>
      <c r="D150" s="46">
        <f t="shared" ref="D150:AQ150" si="295">D30</f>
        <v>27.658000000000147</v>
      </c>
      <c r="E150" s="46">
        <f t="shared" si="295"/>
        <v>40.755000000000237</v>
      </c>
      <c r="F150" s="46">
        <f t="shared" si="295"/>
        <v>51.517000000000067</v>
      </c>
      <c r="G150" s="46">
        <f t="shared" si="295"/>
        <v>66.748000000000204</v>
      </c>
      <c r="H150" s="47">
        <f t="shared" si="295"/>
        <v>186.67800000000199</v>
      </c>
      <c r="I150" s="46">
        <f t="shared" si="295"/>
        <v>178.22200000000024</v>
      </c>
      <c r="J150" s="46">
        <f t="shared" si="295"/>
        <v>65.600000000000023</v>
      </c>
      <c r="K150" s="46">
        <f t="shared" si="295"/>
        <v>129.58999999999983</v>
      </c>
      <c r="L150" s="46">
        <f t="shared" si="295"/>
        <v>185.51700000000034</v>
      </c>
      <c r="M150" s="47">
        <f t="shared" si="295"/>
        <v>558.92900000000054</v>
      </c>
      <c r="N150" s="46">
        <f t="shared" si="295"/>
        <v>290.12400000000008</v>
      </c>
      <c r="O150" s="46">
        <f t="shared" si="295"/>
        <v>384.34899999999999</v>
      </c>
      <c r="P150" s="46">
        <f t="shared" si="295"/>
        <v>402.83499999999964</v>
      </c>
      <c r="Q150" s="46">
        <f t="shared" si="295"/>
        <v>133.93400000000031</v>
      </c>
      <c r="R150" s="47">
        <f t="shared" si="295"/>
        <v>1211.2419999999997</v>
      </c>
      <c r="S150" s="46">
        <f t="shared" si="295"/>
        <v>344.05200000000025</v>
      </c>
      <c r="T150" s="46">
        <f t="shared" si="295"/>
        <v>270.64999999999986</v>
      </c>
      <c r="U150" s="46">
        <f t="shared" si="295"/>
        <v>665.24399999999991</v>
      </c>
      <c r="V150" s="411"/>
      <c r="W150" s="271"/>
      <c r="X150" s="411"/>
      <c r="Y150" s="411"/>
      <c r="Z150" s="411"/>
      <c r="AA150" s="411"/>
      <c r="AB150" s="271"/>
      <c r="AC150" s="411"/>
      <c r="AD150" s="411"/>
      <c r="AE150" s="411"/>
      <c r="AF150" s="411"/>
      <c r="AG150" s="271"/>
      <c r="AH150" s="411"/>
      <c r="AI150" s="411"/>
      <c r="AJ150" s="411"/>
      <c r="AK150" s="411"/>
      <c r="AL150" s="271"/>
      <c r="AM150" s="411"/>
      <c r="AN150" s="411"/>
      <c r="AO150" s="411"/>
      <c r="AP150" s="411"/>
      <c r="AQ150" s="271"/>
      <c r="AR150" s="411"/>
      <c r="AS150" s="411"/>
      <c r="AT150" s="411"/>
      <c r="AU150" s="411"/>
      <c r="AV150" s="271"/>
      <c r="AW150" s="411"/>
      <c r="AX150" s="411"/>
      <c r="AY150" s="411"/>
      <c r="AZ150" s="411"/>
      <c r="BA150" s="271"/>
    </row>
    <row r="151" spans="2:53" outlineLevel="1" x14ac:dyDescent="0.25">
      <c r="B151" s="63" t="s">
        <v>240</v>
      </c>
      <c r="C151" s="180"/>
      <c r="D151" s="46">
        <v>-2316.5990000000002</v>
      </c>
      <c r="E151" s="46">
        <v>-1791.7660000000001</v>
      </c>
      <c r="F151" s="46">
        <v>-2442.08</v>
      </c>
      <c r="G151" s="46">
        <v>-2102.8409999999999</v>
      </c>
      <c r="H151" s="47">
        <f t="shared" ref="H151:H154" si="296">SUM(D151:G151)</f>
        <v>-8653.2860000000001</v>
      </c>
      <c r="I151" s="46">
        <v>-2348.6660000000002</v>
      </c>
      <c r="J151" s="46">
        <v>-2664.4209999999998</v>
      </c>
      <c r="K151" s="46">
        <v>-2315.0169999999998</v>
      </c>
      <c r="L151" s="46">
        <v>-2477.6590000000001</v>
      </c>
      <c r="M151" s="47">
        <f t="shared" ref="M151:M155" si="297">SUM(I151:L151)</f>
        <v>-9805.762999999999</v>
      </c>
      <c r="N151" s="46">
        <v>-2986.7469999999998</v>
      </c>
      <c r="O151" s="46">
        <v>-3033.721</v>
      </c>
      <c r="P151" s="46">
        <v>-3238.7170000000001</v>
      </c>
      <c r="Q151" s="46">
        <v>-3784.252</v>
      </c>
      <c r="R151" s="47">
        <f t="shared" ref="R151:R155" si="298">SUM(N151:Q151)</f>
        <v>-13043.437</v>
      </c>
      <c r="S151" s="46">
        <v>-2997.7460000000001</v>
      </c>
      <c r="T151" s="46">
        <v>-3325.1030000000001</v>
      </c>
      <c r="U151" s="46">
        <v>-3648.2919999999999</v>
      </c>
      <c r="V151" s="411"/>
      <c r="W151" s="271"/>
      <c r="X151" s="411"/>
      <c r="Y151" s="411"/>
      <c r="Z151" s="411"/>
      <c r="AA151" s="411"/>
      <c r="AB151" s="271"/>
      <c r="AC151" s="411"/>
      <c r="AD151" s="411"/>
      <c r="AE151" s="411"/>
      <c r="AF151" s="411"/>
      <c r="AG151" s="271"/>
      <c r="AH151" s="411"/>
      <c r="AI151" s="411"/>
      <c r="AJ151" s="411"/>
      <c r="AK151" s="411"/>
      <c r="AL151" s="271"/>
      <c r="AM151" s="411"/>
      <c r="AN151" s="411"/>
      <c r="AO151" s="411"/>
      <c r="AP151" s="411"/>
      <c r="AQ151" s="271"/>
      <c r="AR151" s="411"/>
      <c r="AS151" s="411"/>
      <c r="AT151" s="411"/>
      <c r="AU151" s="411"/>
      <c r="AV151" s="271"/>
      <c r="AW151" s="411"/>
      <c r="AX151" s="411"/>
      <c r="AY151" s="411"/>
      <c r="AZ151" s="411"/>
      <c r="BA151" s="271"/>
    </row>
    <row r="152" spans="2:53" outlineLevel="1" x14ac:dyDescent="0.25">
      <c r="B152" s="63" t="s">
        <v>241</v>
      </c>
      <c r="C152" s="180"/>
      <c r="D152" s="46">
        <v>905.72299999999996</v>
      </c>
      <c r="E152" s="46">
        <v>238.517</v>
      </c>
      <c r="F152" s="46">
        <v>529.88499999999999</v>
      </c>
      <c r="G152" s="46">
        <v>98.525000000000006</v>
      </c>
      <c r="H152" s="47">
        <f t="shared" si="296"/>
        <v>1772.65</v>
      </c>
      <c r="I152" s="46">
        <v>366.25700000000001</v>
      </c>
      <c r="J152" s="46">
        <v>514.89</v>
      </c>
      <c r="K152" s="46">
        <v>-34.587000000000003</v>
      </c>
      <c r="L152" s="46">
        <v>53.445999999999998</v>
      </c>
      <c r="M152" s="47">
        <f t="shared" si="297"/>
        <v>900.00599999999997</v>
      </c>
      <c r="N152" s="46">
        <v>378.88499999999999</v>
      </c>
      <c r="O152" s="46">
        <v>288.47399999999999</v>
      </c>
      <c r="P152" s="46">
        <v>65.867999999999995</v>
      </c>
      <c r="Q152" s="46">
        <v>266.65300000000002</v>
      </c>
      <c r="R152" s="47">
        <f t="shared" si="298"/>
        <v>999.87999999999988</v>
      </c>
      <c r="S152" s="46">
        <v>-14.698</v>
      </c>
      <c r="T152" s="46">
        <v>-12.414</v>
      </c>
      <c r="U152" s="46">
        <v>-95.548000000000002</v>
      </c>
      <c r="V152" s="411"/>
      <c r="W152" s="271"/>
      <c r="X152" s="411"/>
      <c r="Y152" s="411"/>
      <c r="Z152" s="411"/>
      <c r="AA152" s="411"/>
      <c r="AB152" s="271"/>
      <c r="AC152" s="411"/>
      <c r="AD152" s="411"/>
      <c r="AE152" s="411"/>
      <c r="AF152" s="411"/>
      <c r="AG152" s="271"/>
      <c r="AH152" s="411"/>
      <c r="AI152" s="411"/>
      <c r="AJ152" s="411"/>
      <c r="AK152" s="411"/>
      <c r="AL152" s="271"/>
      <c r="AM152" s="411"/>
      <c r="AN152" s="411"/>
      <c r="AO152" s="411"/>
      <c r="AP152" s="411"/>
      <c r="AQ152" s="271"/>
      <c r="AR152" s="411"/>
      <c r="AS152" s="411"/>
      <c r="AT152" s="411"/>
      <c r="AU152" s="411"/>
      <c r="AV152" s="271"/>
      <c r="AW152" s="411"/>
      <c r="AX152" s="411"/>
      <c r="AY152" s="411"/>
      <c r="AZ152" s="411"/>
      <c r="BA152" s="271"/>
    </row>
    <row r="153" spans="2:53" outlineLevel="1" x14ac:dyDescent="0.25">
      <c r="B153" s="63" t="s">
        <v>242</v>
      </c>
      <c r="C153" s="180"/>
      <c r="D153" s="46">
        <v>1058.521</v>
      </c>
      <c r="E153" s="46">
        <v>1175.3610000000001</v>
      </c>
      <c r="F153" s="46">
        <v>1224.1079999999999</v>
      </c>
      <c r="G153" s="46">
        <v>1330.508</v>
      </c>
      <c r="H153" s="47">
        <f t="shared" si="296"/>
        <v>4788.4979999999996</v>
      </c>
      <c r="I153" s="46">
        <v>1305.683</v>
      </c>
      <c r="J153" s="46">
        <v>1550.7940000000001</v>
      </c>
      <c r="K153" s="46">
        <v>1627.4770000000001</v>
      </c>
      <c r="L153" s="46">
        <v>1713.8630000000001</v>
      </c>
      <c r="M153" s="47">
        <f t="shared" si="297"/>
        <v>6197.817</v>
      </c>
      <c r="N153" s="46">
        <v>1748.8440000000001</v>
      </c>
      <c r="O153" s="46">
        <v>1817.817</v>
      </c>
      <c r="P153" s="46">
        <v>1911.7670000000001</v>
      </c>
      <c r="Q153" s="46">
        <v>2053.66</v>
      </c>
      <c r="R153" s="47">
        <f t="shared" si="298"/>
        <v>7532.0879999999997</v>
      </c>
      <c r="S153" s="46">
        <v>2124.6860000000001</v>
      </c>
      <c r="T153" s="46">
        <v>2231.915</v>
      </c>
      <c r="U153" s="46">
        <v>2279.9769999999999</v>
      </c>
      <c r="V153" s="411"/>
      <c r="W153" s="271"/>
      <c r="X153" s="411"/>
      <c r="Y153" s="411"/>
      <c r="Z153" s="411"/>
      <c r="AA153" s="411"/>
      <c r="AB153" s="271"/>
      <c r="AC153" s="411"/>
      <c r="AD153" s="411"/>
      <c r="AE153" s="411"/>
      <c r="AF153" s="411"/>
      <c r="AG153" s="271"/>
      <c r="AH153" s="411"/>
      <c r="AI153" s="411"/>
      <c r="AJ153" s="411"/>
      <c r="AK153" s="411"/>
      <c r="AL153" s="271"/>
      <c r="AM153" s="411"/>
      <c r="AN153" s="411"/>
      <c r="AO153" s="411"/>
      <c r="AP153" s="411"/>
      <c r="AQ153" s="271"/>
      <c r="AR153" s="411"/>
      <c r="AS153" s="411"/>
      <c r="AT153" s="411"/>
      <c r="AU153" s="411"/>
      <c r="AV153" s="271"/>
      <c r="AW153" s="411"/>
      <c r="AX153" s="411"/>
      <c r="AY153" s="411"/>
      <c r="AZ153" s="411"/>
      <c r="BA153" s="271"/>
    </row>
    <row r="154" spans="2:53" outlineLevel="1" x14ac:dyDescent="0.25">
      <c r="B154" s="63" t="s">
        <v>243</v>
      </c>
      <c r="C154" s="180"/>
      <c r="D154" s="46">
        <v>20.440999999999999</v>
      </c>
      <c r="E154" s="46">
        <v>20.021000000000001</v>
      </c>
      <c r="F154" s="46">
        <v>19.283999999999999</v>
      </c>
      <c r="G154" s="46">
        <v>19.206</v>
      </c>
      <c r="H154" s="47">
        <f t="shared" si="296"/>
        <v>78.951999999999998</v>
      </c>
      <c r="I154" s="46">
        <v>18.597999999999999</v>
      </c>
      <c r="J154" s="46">
        <v>16.510999999999999</v>
      </c>
      <c r="K154" s="46">
        <v>13.259</v>
      </c>
      <c r="L154" s="46">
        <v>12.289</v>
      </c>
      <c r="M154" s="47">
        <f t="shared" si="297"/>
        <v>60.656999999999996</v>
      </c>
      <c r="N154" s="46">
        <v>11.134</v>
      </c>
      <c r="O154" s="46">
        <v>11.154</v>
      </c>
      <c r="P154" s="46">
        <v>9.9589999999999996</v>
      </c>
      <c r="Q154" s="46">
        <v>8.9649999999999999</v>
      </c>
      <c r="R154" s="47">
        <f t="shared" si="298"/>
        <v>41.212000000000003</v>
      </c>
      <c r="S154" s="275">
        <v>8.5090000000000003</v>
      </c>
      <c r="T154" s="275">
        <v>7.6559999999999997</v>
      </c>
      <c r="U154" s="275">
        <v>6.6539999999999999</v>
      </c>
      <c r="V154" s="411"/>
      <c r="W154" s="271"/>
      <c r="X154" s="449"/>
      <c r="Y154" s="411"/>
      <c r="Z154" s="411"/>
      <c r="AA154" s="411"/>
      <c r="AB154" s="271"/>
      <c r="AC154" s="449"/>
      <c r="AD154" s="411"/>
      <c r="AE154" s="411"/>
      <c r="AF154" s="411"/>
      <c r="AG154" s="271"/>
      <c r="AH154" s="449"/>
      <c r="AI154" s="411"/>
      <c r="AJ154" s="411"/>
      <c r="AK154" s="411"/>
      <c r="AL154" s="271"/>
      <c r="AM154" s="449"/>
      <c r="AN154" s="411"/>
      <c r="AO154" s="411"/>
      <c r="AP154" s="411"/>
      <c r="AQ154" s="271"/>
      <c r="AR154" s="449"/>
      <c r="AS154" s="411"/>
      <c r="AT154" s="411"/>
      <c r="AU154" s="411"/>
      <c r="AV154" s="271"/>
      <c r="AW154" s="449"/>
      <c r="AX154" s="411"/>
      <c r="AY154" s="411"/>
      <c r="AZ154" s="411"/>
      <c r="BA154" s="271"/>
    </row>
    <row r="155" spans="2:53" outlineLevel="1" x14ac:dyDescent="0.25">
      <c r="B155" s="108" t="s">
        <v>244</v>
      </c>
      <c r="C155" s="180"/>
      <c r="D155" s="46">
        <v>14.798</v>
      </c>
      <c r="E155" s="46">
        <v>14.131</v>
      </c>
      <c r="F155" s="46">
        <v>14.41</v>
      </c>
      <c r="G155" s="46">
        <v>14.189</v>
      </c>
      <c r="H155" s="47">
        <f t="shared" ref="H155:H160" si="299">SUM(D155:G155)</f>
        <v>57.527999999999999</v>
      </c>
      <c r="I155" s="46">
        <v>15.048999999999999</v>
      </c>
      <c r="J155" s="46">
        <v>18.550999999999998</v>
      </c>
      <c r="K155" s="46">
        <v>19.238</v>
      </c>
      <c r="L155" s="46">
        <v>19.073</v>
      </c>
      <c r="M155" s="47">
        <f t="shared" si="297"/>
        <v>71.911000000000001</v>
      </c>
      <c r="N155" s="46">
        <v>19.041</v>
      </c>
      <c r="O155" s="46">
        <v>19.736000000000001</v>
      </c>
      <c r="P155" s="46">
        <v>21.161000000000001</v>
      </c>
      <c r="Q155" s="46">
        <v>23.219000000000001</v>
      </c>
      <c r="R155" s="47">
        <f t="shared" si="298"/>
        <v>83.157000000000011</v>
      </c>
      <c r="S155" s="275">
        <v>23.561</v>
      </c>
      <c r="T155" s="275">
        <v>25.495999999999999</v>
      </c>
      <c r="U155" s="275">
        <v>26.704000000000001</v>
      </c>
      <c r="V155" s="411"/>
      <c r="W155" s="271"/>
      <c r="X155" s="483"/>
      <c r="Y155" s="411"/>
      <c r="Z155" s="411"/>
      <c r="AA155" s="411"/>
      <c r="AB155" s="271"/>
      <c r="AC155" s="483"/>
      <c r="AD155" s="411"/>
      <c r="AE155" s="411"/>
      <c r="AF155" s="411"/>
      <c r="AG155" s="271"/>
      <c r="AH155" s="483"/>
      <c r="AI155" s="411"/>
      <c r="AJ155" s="411"/>
      <c r="AK155" s="411"/>
      <c r="AL155" s="271"/>
      <c r="AM155" s="483"/>
      <c r="AN155" s="411"/>
      <c r="AO155" s="411"/>
      <c r="AP155" s="411"/>
      <c r="AQ155" s="271"/>
      <c r="AR155" s="483"/>
      <c r="AS155" s="411"/>
      <c r="AT155" s="411"/>
      <c r="AU155" s="411"/>
      <c r="AV155" s="271"/>
      <c r="AW155" s="483"/>
      <c r="AX155" s="411"/>
      <c r="AY155" s="411"/>
      <c r="AZ155" s="411"/>
      <c r="BA155" s="271"/>
    </row>
    <row r="156" spans="2:53" ht="17.25" outlineLevel="1" x14ac:dyDescent="0.4">
      <c r="B156" s="274" t="s">
        <v>245</v>
      </c>
      <c r="C156" s="180"/>
      <c r="D156" s="46">
        <v>42.421999999999997</v>
      </c>
      <c r="E156" s="46">
        <v>44.112000000000002</v>
      </c>
      <c r="F156" s="46">
        <v>43.494999999999997</v>
      </c>
      <c r="G156" s="46">
        <v>43.646000000000001</v>
      </c>
      <c r="H156" s="47">
        <f t="shared" si="299"/>
        <v>173.67500000000001</v>
      </c>
      <c r="I156" s="46">
        <v>44.887999999999998</v>
      </c>
      <c r="J156" s="46">
        <v>44.027999999999999</v>
      </c>
      <c r="K156" s="46">
        <v>44.762999999999998</v>
      </c>
      <c r="L156" s="46">
        <v>48.53</v>
      </c>
      <c r="M156" s="47">
        <f t="shared" ref="M156:M160" si="300">SUM(I156:L156)</f>
        <v>182.209</v>
      </c>
      <c r="N156" s="46">
        <v>68.394999999999996</v>
      </c>
      <c r="O156" s="46">
        <v>81.231999999999999</v>
      </c>
      <c r="P156" s="46">
        <v>82.316000000000003</v>
      </c>
      <c r="Q156" s="46">
        <v>88.713999999999999</v>
      </c>
      <c r="R156" s="47">
        <f t="shared" ref="R156:R160" si="301">SUM(N156:Q156)</f>
        <v>320.65700000000004</v>
      </c>
      <c r="S156" s="275">
        <v>101.2</v>
      </c>
      <c r="T156" s="275">
        <v>103.848</v>
      </c>
      <c r="U156" s="275">
        <v>100.262</v>
      </c>
      <c r="V156" s="411"/>
      <c r="W156" s="271"/>
      <c r="X156" s="411"/>
      <c r="Y156" s="398" t="s">
        <v>344</v>
      </c>
      <c r="Z156" s="400"/>
      <c r="AA156" s="275"/>
      <c r="AB156" s="271"/>
      <c r="AC156" s="275"/>
      <c r="AD156" s="398" t="s">
        <v>344</v>
      </c>
      <c r="AE156" s="400"/>
      <c r="AF156" s="423"/>
      <c r="AG156" s="282"/>
      <c r="AH156" s="423"/>
      <c r="AI156" s="398" t="s">
        <v>344</v>
      </c>
      <c r="AJ156" s="400"/>
      <c r="AK156" s="424"/>
      <c r="AL156" s="282"/>
      <c r="AM156" s="424"/>
      <c r="AN156" s="398" t="s">
        <v>344</v>
      </c>
      <c r="AO156" s="400"/>
      <c r="AP156" s="424"/>
      <c r="AQ156" s="55"/>
      <c r="AR156" s="424"/>
      <c r="AS156" s="398" t="s">
        <v>344</v>
      </c>
      <c r="AT156" s="400"/>
      <c r="AU156" s="424"/>
      <c r="AV156" s="55"/>
      <c r="AW156" s="424"/>
      <c r="AX156" s="398" t="s">
        <v>344</v>
      </c>
      <c r="AY156" s="400"/>
      <c r="AZ156" s="411"/>
      <c r="BA156" s="271"/>
    </row>
    <row r="157" spans="2:53" ht="17.25" outlineLevel="1" x14ac:dyDescent="0.4">
      <c r="B157" s="63" t="s">
        <v>247</v>
      </c>
      <c r="C157" s="180"/>
      <c r="D157" s="46">
        <v>-11.316000000000001</v>
      </c>
      <c r="E157" s="46">
        <v>-13.323</v>
      </c>
      <c r="F157" s="46">
        <v>-12.762</v>
      </c>
      <c r="G157" s="46">
        <v>-27.72</v>
      </c>
      <c r="H157" s="47">
        <f>SUM(D157:G157)</f>
        <v>-65.121000000000009</v>
      </c>
      <c r="I157" s="46">
        <v>0</v>
      </c>
      <c r="J157" s="46">
        <v>0</v>
      </c>
      <c r="K157" s="46">
        <v>0</v>
      </c>
      <c r="L157" s="46">
        <v>0</v>
      </c>
      <c r="M157" s="47">
        <f>SUM(I157:L157)</f>
        <v>0</v>
      </c>
      <c r="N157" s="46">
        <v>0</v>
      </c>
      <c r="O157" s="46">
        <v>0</v>
      </c>
      <c r="P157" s="46">
        <v>0</v>
      </c>
      <c r="Q157" s="46">
        <v>0</v>
      </c>
      <c r="R157" s="47">
        <f>SUM(N157:Q157)</f>
        <v>0</v>
      </c>
      <c r="S157" s="294">
        <v>0</v>
      </c>
      <c r="T157" s="275">
        <v>0</v>
      </c>
      <c r="U157" s="275">
        <v>0</v>
      </c>
      <c r="V157" s="411"/>
      <c r="W157" s="271"/>
      <c r="X157" s="483"/>
      <c r="Y157" s="401"/>
      <c r="Z157" s="403"/>
      <c r="AA157" s="276"/>
      <c r="AB157" s="277"/>
      <c r="AC157" s="276"/>
      <c r="AD157" s="401"/>
      <c r="AE157" s="403"/>
      <c r="AF157" s="417"/>
      <c r="AG157" s="278"/>
      <c r="AH157" s="417"/>
      <c r="AI157" s="401"/>
      <c r="AJ157" s="403"/>
      <c r="AK157" s="418"/>
      <c r="AL157" s="278"/>
      <c r="AM157" s="418"/>
      <c r="AN157" s="401"/>
      <c r="AO157" s="403"/>
      <c r="AP157" s="418"/>
      <c r="AQ157" s="58"/>
      <c r="AR157" s="418"/>
      <c r="AS157" s="401"/>
      <c r="AT157" s="403"/>
      <c r="AU157" s="418"/>
      <c r="AV157" s="58"/>
      <c r="AW157" s="418"/>
      <c r="AX157" s="401"/>
      <c r="AY157" s="403"/>
      <c r="AZ157" s="411"/>
      <c r="BA157" s="271"/>
    </row>
    <row r="158" spans="2:53" outlineLevel="1" x14ac:dyDescent="0.25">
      <c r="B158" s="63" t="s">
        <v>169</v>
      </c>
      <c r="C158" s="180"/>
      <c r="D158" s="46">
        <v>12.757</v>
      </c>
      <c r="E158" s="46">
        <v>9.0399999999999991</v>
      </c>
      <c r="F158" s="46">
        <v>9.6820000000000004</v>
      </c>
      <c r="G158" s="46">
        <v>9.43</v>
      </c>
      <c r="H158" s="47">
        <f t="shared" si="299"/>
        <v>40.908999999999999</v>
      </c>
      <c r="I158" s="46">
        <v>21.666</v>
      </c>
      <c r="J158" s="46">
        <v>11.519</v>
      </c>
      <c r="K158" s="46">
        <v>9.8960000000000008</v>
      </c>
      <c r="L158" s="46">
        <v>14.125999999999999</v>
      </c>
      <c r="M158" s="47">
        <f t="shared" si="300"/>
        <v>57.207000000000001</v>
      </c>
      <c r="N158" s="46">
        <v>8.2089999999999996</v>
      </c>
      <c r="O158" s="46">
        <v>13.920999999999999</v>
      </c>
      <c r="P158" s="46">
        <v>8.9619999999999997</v>
      </c>
      <c r="Q158" s="46">
        <v>9.3360000000000003</v>
      </c>
      <c r="R158" s="47">
        <f t="shared" si="301"/>
        <v>40.427999999999997</v>
      </c>
      <c r="S158" s="275">
        <v>0</v>
      </c>
      <c r="T158" s="275">
        <v>0</v>
      </c>
      <c r="U158" s="275">
        <v>0</v>
      </c>
      <c r="V158" s="411"/>
      <c r="W158" s="271"/>
      <c r="X158" s="483"/>
      <c r="Y158" s="401"/>
      <c r="Z158" s="403"/>
      <c r="AA158" s="269"/>
      <c r="AB158" s="278"/>
      <c r="AC158" s="269"/>
      <c r="AD158" s="401"/>
      <c r="AE158" s="403"/>
      <c r="AF158" s="426"/>
      <c r="AG158" s="427"/>
      <c r="AH158" s="426"/>
      <c r="AI158" s="401"/>
      <c r="AJ158" s="403"/>
      <c r="AK158" s="428"/>
      <c r="AL158" s="427"/>
      <c r="AM158" s="428"/>
      <c r="AN158" s="401"/>
      <c r="AO158" s="403"/>
      <c r="AP158" s="428"/>
      <c r="AQ158" s="429"/>
      <c r="AR158" s="428"/>
      <c r="AS158" s="401"/>
      <c r="AT158" s="403"/>
      <c r="AU158" s="428"/>
      <c r="AV158" s="429"/>
      <c r="AW158" s="428"/>
      <c r="AX158" s="401"/>
      <c r="AY158" s="403"/>
      <c r="AZ158" s="411"/>
      <c r="BA158" s="271"/>
    </row>
    <row r="159" spans="2:53" ht="17.25" outlineLevel="1" x14ac:dyDescent="0.4">
      <c r="B159" s="63" t="s">
        <v>74</v>
      </c>
      <c r="C159" s="180"/>
      <c r="D159" s="46">
        <v>0</v>
      </c>
      <c r="E159" s="46">
        <v>0</v>
      </c>
      <c r="F159" s="46">
        <v>0</v>
      </c>
      <c r="G159" s="46">
        <v>0</v>
      </c>
      <c r="H159" s="47">
        <f>SUM(D159:G159)</f>
        <v>0</v>
      </c>
      <c r="I159" s="46">
        <v>0</v>
      </c>
      <c r="J159" s="46">
        <v>64.22</v>
      </c>
      <c r="K159" s="46">
        <v>50.83</v>
      </c>
      <c r="L159" s="46">
        <v>25.74</v>
      </c>
      <c r="M159" s="47">
        <f>SUM(I159:L159)</f>
        <v>140.79</v>
      </c>
      <c r="N159" s="46">
        <v>41.08</v>
      </c>
      <c r="O159" s="46">
        <v>-85.41</v>
      </c>
      <c r="P159" s="46">
        <v>-7.67</v>
      </c>
      <c r="Q159" s="46">
        <v>-21.952999999999999</v>
      </c>
      <c r="R159" s="47">
        <f>SUM(N159:Q159)</f>
        <v>-73.953000000000003</v>
      </c>
      <c r="S159" s="275">
        <v>6.6269999999999998</v>
      </c>
      <c r="T159" s="275">
        <v>35.518999999999998</v>
      </c>
      <c r="U159" s="275">
        <v>52.104999999999997</v>
      </c>
      <c r="V159" s="411"/>
      <c r="W159" s="271"/>
      <c r="X159" s="411"/>
      <c r="Y159" s="437"/>
      <c r="Z159" s="438"/>
      <c r="AA159" s="275"/>
      <c r="AB159" s="271"/>
      <c r="AC159" s="275"/>
      <c r="AD159" s="437"/>
      <c r="AE159" s="438"/>
      <c r="AF159" s="431"/>
      <c r="AG159" s="286"/>
      <c r="AH159" s="431"/>
      <c r="AI159" s="437"/>
      <c r="AJ159" s="438"/>
      <c r="AK159" s="432"/>
      <c r="AL159" s="286"/>
      <c r="AM159" s="432"/>
      <c r="AN159" s="437"/>
      <c r="AO159" s="438"/>
      <c r="AP159" s="432"/>
      <c r="AQ159" s="254"/>
      <c r="AR159" s="432"/>
      <c r="AS159" s="437"/>
      <c r="AT159" s="438"/>
      <c r="AU159" s="432"/>
      <c r="AV159" s="254"/>
      <c r="AW159" s="432"/>
      <c r="AX159" s="437"/>
      <c r="AY159" s="438"/>
      <c r="AZ159" s="411"/>
      <c r="BA159" s="271"/>
    </row>
    <row r="160" spans="2:53" outlineLevel="1" x14ac:dyDescent="0.25">
      <c r="B160" s="215" t="s">
        <v>248</v>
      </c>
      <c r="C160" s="183"/>
      <c r="D160" s="46">
        <v>-16.603000000000002</v>
      </c>
      <c r="E160" s="46">
        <v>-17.876000000000001</v>
      </c>
      <c r="F160" s="46">
        <v>14.337999999999999</v>
      </c>
      <c r="G160" s="46">
        <v>-26.706</v>
      </c>
      <c r="H160" s="47">
        <f t="shared" si="299"/>
        <v>-46.846999999999994</v>
      </c>
      <c r="I160" s="46">
        <v>-26.763999999999999</v>
      </c>
      <c r="J160" s="46">
        <v>-20.702000000000002</v>
      </c>
      <c r="K160" s="46">
        <v>-57.09</v>
      </c>
      <c r="L160" s="46">
        <v>-104.13200000000001</v>
      </c>
      <c r="M160" s="47">
        <f t="shared" si="300"/>
        <v>-208.68800000000002</v>
      </c>
      <c r="N160" s="46">
        <v>-22.048999999999999</v>
      </c>
      <c r="O160" s="46">
        <v>-9.5389999999999997</v>
      </c>
      <c r="P160" s="46">
        <v>-39.453000000000003</v>
      </c>
      <c r="Q160" s="46">
        <v>-14.478999999999999</v>
      </c>
      <c r="R160" s="47">
        <f t="shared" si="301"/>
        <v>-85.52</v>
      </c>
      <c r="S160" s="275">
        <f>-57.6+37.199</f>
        <v>-20.401000000000003</v>
      </c>
      <c r="T160" s="275">
        <f>53.039+61.284</f>
        <v>114.32300000000001</v>
      </c>
      <c r="U160" s="275">
        <f>51.28-171.36</f>
        <v>-120.08000000000001</v>
      </c>
      <c r="V160" s="411"/>
      <c r="W160" s="271"/>
      <c r="X160" s="411"/>
      <c r="Y160" s="411"/>
      <c r="Z160" s="411"/>
      <c r="AA160" s="411"/>
      <c r="AB160" s="271"/>
      <c r="AC160" s="411"/>
      <c r="AD160" s="411"/>
      <c r="AE160" s="411"/>
      <c r="AF160" s="411"/>
      <c r="AG160" s="271"/>
      <c r="AH160" s="411"/>
      <c r="AI160" s="411"/>
      <c r="AJ160" s="411"/>
      <c r="AK160" s="411"/>
      <c r="AL160" s="271"/>
      <c r="AM160" s="411"/>
      <c r="AN160" s="411"/>
      <c r="AO160" s="411"/>
      <c r="AP160" s="411"/>
      <c r="AQ160" s="271"/>
      <c r="AR160" s="411"/>
      <c r="AS160" s="411"/>
      <c r="AT160" s="411"/>
      <c r="AU160" s="411"/>
      <c r="AV160" s="271"/>
      <c r="AW160" s="411"/>
      <c r="AX160" s="411"/>
      <c r="AY160" s="411"/>
      <c r="AZ160" s="411"/>
      <c r="BA160" s="271"/>
    </row>
    <row r="161" spans="2:53" outlineLevel="1" x14ac:dyDescent="0.25">
      <c r="B161" s="386" t="s">
        <v>246</v>
      </c>
      <c r="C161" s="387"/>
      <c r="D161" s="114">
        <v>0</v>
      </c>
      <c r="E161" s="114">
        <v>0</v>
      </c>
      <c r="F161" s="114">
        <v>0</v>
      </c>
      <c r="G161" s="114">
        <v>0</v>
      </c>
      <c r="H161" s="115"/>
      <c r="I161" s="114">
        <v>0</v>
      </c>
      <c r="J161" s="114">
        <v>0</v>
      </c>
      <c r="K161" s="114">
        <v>0</v>
      </c>
      <c r="L161" s="114">
        <v>0</v>
      </c>
      <c r="M161" s="115"/>
      <c r="N161" s="114">
        <v>0</v>
      </c>
      <c r="O161" s="114">
        <v>0</v>
      </c>
      <c r="P161" s="114">
        <v>0</v>
      </c>
      <c r="Q161" s="114">
        <v>0</v>
      </c>
      <c r="R161" s="115"/>
      <c r="S161" s="116"/>
      <c r="T161" s="116"/>
      <c r="U161" s="116"/>
      <c r="V161" s="420"/>
      <c r="W161" s="271"/>
      <c r="X161" s="420"/>
      <c r="Y161" s="420"/>
      <c r="Z161" s="420"/>
      <c r="AA161" s="420"/>
      <c r="AB161" s="271"/>
      <c r="AC161" s="420"/>
      <c r="AD161" s="420"/>
      <c r="AE161" s="420"/>
      <c r="AF161" s="420"/>
      <c r="AG161" s="271"/>
      <c r="AH161" s="420"/>
      <c r="AI161" s="420"/>
      <c r="AJ161" s="420"/>
      <c r="AK161" s="420"/>
      <c r="AL161" s="271"/>
      <c r="AM161" s="420"/>
      <c r="AN161" s="420"/>
      <c r="AO161" s="420"/>
      <c r="AP161" s="420"/>
      <c r="AQ161" s="271"/>
      <c r="AR161" s="420"/>
      <c r="AS161" s="420"/>
      <c r="AT161" s="420"/>
      <c r="AU161" s="420"/>
      <c r="AV161" s="271"/>
      <c r="AW161" s="420"/>
      <c r="AX161" s="420"/>
      <c r="AY161" s="420"/>
      <c r="AZ161" s="420"/>
      <c r="BA161" s="271"/>
    </row>
    <row r="162" spans="2:53" outlineLevel="1" x14ac:dyDescent="0.25">
      <c r="B162" s="226" t="s">
        <v>231</v>
      </c>
      <c r="C162" s="227"/>
      <c r="D162" s="117">
        <v>14.308</v>
      </c>
      <c r="E162" s="117">
        <v>24.091000000000001</v>
      </c>
      <c r="F162" s="117">
        <v>10.25</v>
      </c>
      <c r="G162" s="117">
        <v>-1.679</v>
      </c>
      <c r="H162" s="118">
        <f>SUM(D162:G162)</f>
        <v>46.97</v>
      </c>
      <c r="I162" s="117">
        <v>-25.402000000000001</v>
      </c>
      <c r="J162" s="117">
        <v>-80.198999999999998</v>
      </c>
      <c r="K162" s="117">
        <v>-41.399000000000001</v>
      </c>
      <c r="L162" s="117">
        <v>-87.09</v>
      </c>
      <c r="M162" s="118">
        <f>SUM(I162:L162)</f>
        <v>-234.09</v>
      </c>
      <c r="N162" s="117">
        <v>-55.905000000000001</v>
      </c>
      <c r="O162" s="117">
        <v>-25.564</v>
      </c>
      <c r="P162" s="117">
        <v>-30.364000000000001</v>
      </c>
      <c r="Q162" s="117">
        <v>-88.358999999999995</v>
      </c>
      <c r="R162" s="118">
        <f>SUM(N162:Q162)</f>
        <v>-200.19200000000001</v>
      </c>
      <c r="S162" s="117">
        <v>-32.076000000000001</v>
      </c>
      <c r="T162" s="117">
        <v>-24.231000000000002</v>
      </c>
      <c r="U162" s="117">
        <v>0.14499999999999999</v>
      </c>
      <c r="V162" s="411"/>
      <c r="W162" s="271"/>
      <c r="X162" s="411"/>
      <c r="Y162" s="411"/>
      <c r="Z162" s="411"/>
      <c r="AA162" s="411"/>
      <c r="AB162" s="271"/>
      <c r="AC162" s="411"/>
      <c r="AD162" s="411"/>
      <c r="AE162" s="411"/>
      <c r="AF162" s="411"/>
      <c r="AG162" s="271"/>
      <c r="AH162" s="411"/>
      <c r="AI162" s="411"/>
      <c r="AJ162" s="411"/>
      <c r="AK162" s="411"/>
      <c r="AL162" s="271"/>
      <c r="AM162" s="411"/>
      <c r="AN162" s="411"/>
      <c r="AO162" s="411"/>
      <c r="AP162" s="411"/>
      <c r="AQ162" s="271"/>
      <c r="AR162" s="411"/>
      <c r="AS162" s="411"/>
      <c r="AT162" s="411"/>
      <c r="AU162" s="411"/>
      <c r="AV162" s="271"/>
      <c r="AW162" s="411"/>
      <c r="AX162" s="411"/>
      <c r="AY162" s="411"/>
      <c r="AZ162" s="411"/>
      <c r="BA162" s="271"/>
    </row>
    <row r="163" spans="2:53" outlineLevel="1" x14ac:dyDescent="0.25">
      <c r="B163" s="384" t="s">
        <v>39</v>
      </c>
      <c r="C163" s="385"/>
      <c r="D163" s="117">
        <v>-19.898</v>
      </c>
      <c r="E163" s="117">
        <v>8.7949999999999999</v>
      </c>
      <c r="F163" s="117">
        <v>27.81</v>
      </c>
      <c r="G163" s="117">
        <v>15.54</v>
      </c>
      <c r="H163" s="118">
        <f>SUM(D163:G163)</f>
        <v>32.247</v>
      </c>
      <c r="I163" s="117">
        <v>-11</v>
      </c>
      <c r="J163" s="117">
        <v>-12.439</v>
      </c>
      <c r="K163" s="117">
        <v>34.029000000000003</v>
      </c>
      <c r="L163" s="117">
        <v>63.969000000000001</v>
      </c>
      <c r="M163" s="118">
        <f>SUM(I163:L163)</f>
        <v>74.558999999999997</v>
      </c>
      <c r="N163" s="117">
        <v>74.082999999999998</v>
      </c>
      <c r="O163" s="117">
        <v>7.7329999999999997</v>
      </c>
      <c r="P163" s="117">
        <v>-4.4489999999999998</v>
      </c>
      <c r="Q163" s="117">
        <v>121.831</v>
      </c>
      <c r="R163" s="118">
        <f>SUM(N163:Q163)</f>
        <v>199.19800000000001</v>
      </c>
      <c r="S163" s="117">
        <v>-124.467</v>
      </c>
      <c r="T163" s="117">
        <v>-2.6739999999999999</v>
      </c>
      <c r="U163" s="117">
        <v>-7.6429999999999998</v>
      </c>
      <c r="V163" s="411"/>
      <c r="W163" s="271"/>
      <c r="X163" s="411"/>
      <c r="Y163" s="411"/>
      <c r="Z163" s="411"/>
      <c r="AA163" s="411"/>
      <c r="AB163" s="271"/>
      <c r="AC163" s="411"/>
      <c r="AD163" s="411"/>
      <c r="AE163" s="411"/>
      <c r="AF163" s="411"/>
      <c r="AG163" s="271"/>
      <c r="AH163" s="411"/>
      <c r="AI163" s="411"/>
      <c r="AJ163" s="411"/>
      <c r="AK163" s="411"/>
      <c r="AL163" s="271"/>
      <c r="AM163" s="411"/>
      <c r="AN163" s="411"/>
      <c r="AO163" s="411"/>
      <c r="AP163" s="411"/>
      <c r="AQ163" s="271"/>
      <c r="AR163" s="411"/>
      <c r="AS163" s="411"/>
      <c r="AT163" s="411"/>
      <c r="AU163" s="411"/>
      <c r="AV163" s="271"/>
      <c r="AW163" s="411"/>
      <c r="AX163" s="411"/>
      <c r="AY163" s="411"/>
      <c r="AZ163" s="411"/>
      <c r="BA163" s="271"/>
    </row>
    <row r="164" spans="2:53" outlineLevel="1" x14ac:dyDescent="0.25">
      <c r="B164" s="226" t="s">
        <v>235</v>
      </c>
      <c r="C164" s="227"/>
      <c r="D164" s="117">
        <v>41.231999999999999</v>
      </c>
      <c r="E164" s="117">
        <v>2.0990000000000002</v>
      </c>
      <c r="F164" s="117">
        <v>28.957000000000001</v>
      </c>
      <c r="G164" s="117">
        <v>-3.5819999999999999</v>
      </c>
      <c r="H164" s="118">
        <f>SUM(D164:G164)</f>
        <v>68.706000000000017</v>
      </c>
      <c r="I164" s="117">
        <v>93.542000000000002</v>
      </c>
      <c r="J164" s="117">
        <v>-48.042000000000002</v>
      </c>
      <c r="K164" s="117">
        <v>74.006</v>
      </c>
      <c r="L164" s="117">
        <v>-5.1689999999999996</v>
      </c>
      <c r="M164" s="118">
        <f>SUM(I164:L164)</f>
        <v>114.337</v>
      </c>
      <c r="N164" s="117">
        <v>119.04900000000001</v>
      </c>
      <c r="O164" s="117">
        <v>-52.850999999999999</v>
      </c>
      <c r="P164" s="117">
        <v>134</v>
      </c>
      <c r="Q164" s="117">
        <v>-49.776000000000003</v>
      </c>
      <c r="R164" s="118">
        <f>SUM(N164:Q164)</f>
        <v>150.422</v>
      </c>
      <c r="S164" s="117">
        <v>157.64699999999999</v>
      </c>
      <c r="T164" s="117">
        <v>-26.704999999999998</v>
      </c>
      <c r="U164" s="117">
        <v>260.87200000000001</v>
      </c>
      <c r="V164" s="411"/>
      <c r="W164" s="271"/>
      <c r="X164" s="411"/>
      <c r="Y164" s="411"/>
      <c r="Z164" s="411"/>
      <c r="AA164" s="411"/>
      <c r="AB164" s="271"/>
      <c r="AC164" s="411"/>
      <c r="AD164" s="411"/>
      <c r="AE164" s="411"/>
      <c r="AF164" s="411"/>
      <c r="AG164" s="271"/>
      <c r="AH164" s="411"/>
      <c r="AI164" s="411"/>
      <c r="AJ164" s="411"/>
      <c r="AK164" s="411"/>
      <c r="AL164" s="271"/>
      <c r="AM164" s="411"/>
      <c r="AN164" s="411"/>
      <c r="AO164" s="411"/>
      <c r="AP164" s="411"/>
      <c r="AQ164" s="271"/>
      <c r="AR164" s="411"/>
      <c r="AS164" s="411"/>
      <c r="AT164" s="411"/>
      <c r="AU164" s="411"/>
      <c r="AV164" s="271"/>
      <c r="AW164" s="411"/>
      <c r="AX164" s="411"/>
      <c r="AY164" s="411"/>
      <c r="AZ164" s="411"/>
      <c r="BA164" s="271"/>
    </row>
    <row r="165" spans="2:53" outlineLevel="1" x14ac:dyDescent="0.25">
      <c r="B165" s="226" t="s">
        <v>236</v>
      </c>
      <c r="C165" s="227"/>
      <c r="D165" s="117">
        <v>27.501999999999999</v>
      </c>
      <c r="E165" s="117">
        <v>22.753</v>
      </c>
      <c r="F165" s="117">
        <v>30.23</v>
      </c>
      <c r="G165" s="117">
        <v>16.265999999999998</v>
      </c>
      <c r="H165" s="118">
        <f>SUM(D165:G165)</f>
        <v>96.751000000000005</v>
      </c>
      <c r="I165" s="117">
        <v>15.221</v>
      </c>
      <c r="J165" s="117">
        <v>46.609000000000002</v>
      </c>
      <c r="K165" s="117">
        <v>32.947000000000003</v>
      </c>
      <c r="L165" s="117">
        <v>83.197000000000003</v>
      </c>
      <c r="M165" s="118">
        <f>SUM(I165:L165)</f>
        <v>177.97399999999999</v>
      </c>
      <c r="N165" s="117">
        <v>55.27</v>
      </c>
      <c r="O165" s="117">
        <v>23.847999999999999</v>
      </c>
      <c r="P165" s="117">
        <v>18.983000000000001</v>
      </c>
      <c r="Q165" s="117">
        <v>44.176000000000002</v>
      </c>
      <c r="R165" s="118">
        <f>SUM(N165:Q165)</f>
        <v>142.27699999999999</v>
      </c>
      <c r="S165" s="117">
        <v>47.792999999999999</v>
      </c>
      <c r="T165" s="117">
        <v>84.084999999999994</v>
      </c>
      <c r="U165" s="117">
        <v>22.728999999999999</v>
      </c>
      <c r="V165" s="411"/>
      <c r="W165" s="271"/>
      <c r="X165" s="411"/>
      <c r="Y165" s="411"/>
      <c r="Z165" s="411"/>
      <c r="AA165" s="411"/>
      <c r="AB165" s="271"/>
      <c r="AC165" s="411"/>
      <c r="AD165" s="411"/>
      <c r="AE165" s="411"/>
      <c r="AF165" s="411"/>
      <c r="AG165" s="271"/>
      <c r="AH165" s="411"/>
      <c r="AI165" s="411"/>
      <c r="AJ165" s="411"/>
      <c r="AK165" s="411"/>
      <c r="AL165" s="271"/>
      <c r="AM165" s="411"/>
      <c r="AN165" s="411"/>
      <c r="AO165" s="411"/>
      <c r="AP165" s="411"/>
      <c r="AQ165" s="271"/>
      <c r="AR165" s="411"/>
      <c r="AS165" s="411"/>
      <c r="AT165" s="411"/>
      <c r="AU165" s="411"/>
      <c r="AV165" s="271"/>
      <c r="AW165" s="411"/>
      <c r="AX165" s="411"/>
      <c r="AY165" s="411"/>
      <c r="AZ165" s="411"/>
      <c r="BA165" s="271"/>
    </row>
    <row r="166" spans="2:53" ht="17.25" outlineLevel="1" x14ac:dyDescent="0.4">
      <c r="B166" s="384" t="s">
        <v>249</v>
      </c>
      <c r="C166" s="385"/>
      <c r="D166" s="119">
        <v>-29.536000000000001</v>
      </c>
      <c r="E166" s="119">
        <v>-3.0030000000000001</v>
      </c>
      <c r="F166" s="119">
        <v>-11.065</v>
      </c>
      <c r="G166" s="119">
        <v>-8.69</v>
      </c>
      <c r="H166" s="120">
        <f>SUM(D166:G166)</f>
        <v>-52.293999999999997</v>
      </c>
      <c r="I166" s="119">
        <v>8.85</v>
      </c>
      <c r="J166" s="119">
        <v>-41.447000000000003</v>
      </c>
      <c r="K166" s="119">
        <v>-7.5490000000000004</v>
      </c>
      <c r="L166" s="119">
        <v>-33.656999999999996</v>
      </c>
      <c r="M166" s="120">
        <f>SUM(I166:L166)</f>
        <v>-73.802999999999997</v>
      </c>
      <c r="N166" s="119">
        <v>13.83</v>
      </c>
      <c r="O166" s="119">
        <v>40.582000000000001</v>
      </c>
      <c r="P166" s="119">
        <v>-25.609000000000002</v>
      </c>
      <c r="Q166" s="119">
        <v>-26.741</v>
      </c>
      <c r="R166" s="120">
        <f>SUM(N166:Q166)</f>
        <v>2.0619999999999976</v>
      </c>
      <c r="S166" s="119">
        <v>-4.4859999999999998</v>
      </c>
      <c r="T166" s="119">
        <v>-26.119</v>
      </c>
      <c r="U166" s="119">
        <v>-44.923000000000002</v>
      </c>
      <c r="V166" s="414"/>
      <c r="W166" s="277"/>
      <c r="X166" s="414"/>
      <c r="Y166" s="414"/>
      <c r="Z166" s="414"/>
      <c r="AA166" s="414"/>
      <c r="AB166" s="277"/>
      <c r="AC166" s="414"/>
      <c r="AD166" s="414"/>
      <c r="AE166" s="414"/>
      <c r="AF166" s="414"/>
      <c r="AG166" s="277"/>
      <c r="AH166" s="414"/>
      <c r="AI166" s="414"/>
      <c r="AJ166" s="414"/>
      <c r="AK166" s="414"/>
      <c r="AL166" s="277"/>
      <c r="AM166" s="414"/>
      <c r="AN166" s="414"/>
      <c r="AO166" s="414"/>
      <c r="AP166" s="414"/>
      <c r="AQ166" s="277"/>
      <c r="AR166" s="414"/>
      <c r="AS166" s="414"/>
      <c r="AT166" s="414"/>
      <c r="AU166" s="414"/>
      <c r="AV166" s="277"/>
      <c r="AW166" s="414"/>
      <c r="AX166" s="414"/>
      <c r="AY166" s="414"/>
      <c r="AZ166" s="414"/>
      <c r="BA166" s="277"/>
    </row>
    <row r="167" spans="2:53" outlineLevel="1" x14ac:dyDescent="0.25">
      <c r="B167" s="382" t="s">
        <v>13</v>
      </c>
      <c r="C167" s="383"/>
      <c r="D167" s="111">
        <f>SUM(D150:D166)</f>
        <v>-228.58999999999995</v>
      </c>
      <c r="E167" s="111">
        <f t="shared" ref="E167:W167" si="302">SUM(E150:E166)</f>
        <v>-226.29299999999944</v>
      </c>
      <c r="F167" s="111">
        <f t="shared" si="302"/>
        <v>-461.9409999999998</v>
      </c>
      <c r="G167" s="111">
        <f t="shared" si="302"/>
        <v>-557.15999999999974</v>
      </c>
      <c r="H167" s="112">
        <f t="shared" si="302"/>
        <v>-1473.983999999999</v>
      </c>
      <c r="I167" s="111">
        <f t="shared" si="302"/>
        <v>-343.85599999999988</v>
      </c>
      <c r="J167" s="111">
        <f t="shared" si="302"/>
        <v>-534.52800000000002</v>
      </c>
      <c r="K167" s="111">
        <f t="shared" si="302"/>
        <v>-419.60699999999997</v>
      </c>
      <c r="L167" s="111">
        <f t="shared" si="302"/>
        <v>-487.95699999999982</v>
      </c>
      <c r="M167" s="112">
        <f t="shared" si="302"/>
        <v>-1785.9479999999994</v>
      </c>
      <c r="N167" s="111">
        <f t="shared" si="302"/>
        <v>-236.75699999999927</v>
      </c>
      <c r="O167" s="111">
        <f t="shared" si="302"/>
        <v>-518.23899999999981</v>
      </c>
      <c r="P167" s="111">
        <f t="shared" si="302"/>
        <v>-690.41100000000063</v>
      </c>
      <c r="Q167" s="111">
        <f t="shared" si="302"/>
        <v>-1235.0720000000003</v>
      </c>
      <c r="R167" s="112">
        <f t="shared" si="302"/>
        <v>-2680.4790000000007</v>
      </c>
      <c r="S167" s="111">
        <f>SUM(S150:S166)</f>
        <v>-379.79899999999969</v>
      </c>
      <c r="T167" s="111">
        <f>SUM(T150:T166)</f>
        <v>-543.75400000000081</v>
      </c>
      <c r="U167" s="111">
        <f t="shared" si="302"/>
        <v>-501.79399999999987</v>
      </c>
      <c r="V167" s="417"/>
      <c r="W167" s="278"/>
      <c r="X167" s="417"/>
      <c r="Y167" s="417"/>
      <c r="Z167" s="417"/>
      <c r="AA167" s="417"/>
      <c r="AB167" s="278"/>
      <c r="AC167" s="417"/>
      <c r="AD167" s="417"/>
      <c r="AE167" s="417"/>
      <c r="AF167" s="417"/>
      <c r="AG167" s="278"/>
      <c r="AH167" s="417"/>
      <c r="AI167" s="417"/>
      <c r="AJ167" s="417"/>
      <c r="AK167" s="417"/>
      <c r="AL167" s="278"/>
      <c r="AM167" s="417"/>
      <c r="AN167" s="417"/>
      <c r="AO167" s="417"/>
      <c r="AP167" s="417"/>
      <c r="AQ167" s="278"/>
      <c r="AR167" s="417"/>
      <c r="AS167" s="417"/>
      <c r="AT167" s="417"/>
      <c r="AU167" s="417"/>
      <c r="AV167" s="278"/>
      <c r="AW167" s="417"/>
      <c r="AX167" s="417"/>
      <c r="AY167" s="417"/>
      <c r="AZ167" s="417"/>
      <c r="BA167" s="278"/>
    </row>
    <row r="168" spans="2:53" outlineLevel="1" x14ac:dyDescent="0.25">
      <c r="B168" s="380" t="s">
        <v>14</v>
      </c>
      <c r="C168" s="381"/>
      <c r="D168" s="94"/>
      <c r="E168" s="94"/>
      <c r="F168" s="94"/>
      <c r="G168" s="94"/>
      <c r="H168" s="113"/>
      <c r="I168" s="94"/>
      <c r="J168" s="94"/>
      <c r="K168" s="94"/>
      <c r="L168" s="94"/>
      <c r="M168" s="113"/>
      <c r="N168" s="94"/>
      <c r="O168" s="94"/>
      <c r="P168" s="94"/>
      <c r="Q168" s="94"/>
      <c r="R168" s="113"/>
      <c r="S168" s="33"/>
      <c r="T168" s="33"/>
      <c r="U168" s="33"/>
      <c r="V168" s="420"/>
      <c r="W168" s="271"/>
      <c r="X168" s="420"/>
      <c r="Y168" s="420"/>
      <c r="Z168" s="420"/>
      <c r="AA168" s="420"/>
      <c r="AB168" s="271"/>
      <c r="AC168" s="420"/>
      <c r="AD168" s="420"/>
      <c r="AE168" s="420"/>
      <c r="AF168" s="420"/>
      <c r="AG168" s="271"/>
      <c r="AH168" s="420"/>
      <c r="AI168" s="420"/>
      <c r="AJ168" s="420"/>
      <c r="AK168" s="420"/>
      <c r="AL168" s="271"/>
      <c r="AM168" s="420"/>
      <c r="AN168" s="420"/>
      <c r="AO168" s="420"/>
      <c r="AP168" s="420"/>
      <c r="AQ168" s="271"/>
      <c r="AR168" s="420"/>
      <c r="AS168" s="420"/>
      <c r="AT168" s="420"/>
      <c r="AU168" s="420"/>
      <c r="AV168" s="271"/>
      <c r="AW168" s="420"/>
      <c r="AX168" s="420"/>
      <c r="AY168" s="420"/>
      <c r="AZ168" s="420"/>
      <c r="BA168" s="271"/>
    </row>
    <row r="169" spans="2:53" outlineLevel="1" x14ac:dyDescent="0.25">
      <c r="B169" s="63" t="s">
        <v>250</v>
      </c>
      <c r="C169" s="212"/>
      <c r="D169" s="46">
        <v>-23.207000000000001</v>
      </c>
      <c r="E169" s="46">
        <v>-17.923999999999999</v>
      </c>
      <c r="F169" s="46">
        <v>-17.248999999999999</v>
      </c>
      <c r="G169" s="46">
        <v>-18.797000000000001</v>
      </c>
      <c r="H169" s="47">
        <f>SUM(D169:G169)</f>
        <v>-77.176999999999992</v>
      </c>
      <c r="I169" s="46">
        <v>-25.372</v>
      </c>
      <c r="J169" s="46">
        <v>-7.6239999999999997</v>
      </c>
      <c r="K169" s="46">
        <v>-10.217000000000001</v>
      </c>
      <c r="L169" s="46">
        <v>-10.507</v>
      </c>
      <c r="M169" s="47">
        <f>SUM(I169:L169)</f>
        <v>-53.72</v>
      </c>
      <c r="N169" s="46">
        <v>-10.795999999999999</v>
      </c>
      <c r="O169" s="46">
        <v>-12.552</v>
      </c>
      <c r="P169" s="46">
        <v>-7.7309999999999999</v>
      </c>
      <c r="Q169" s="46">
        <v>-7.5069999999999997</v>
      </c>
      <c r="R169" s="47">
        <f>SUM(N169:Q169)</f>
        <v>-38.585999999999999</v>
      </c>
      <c r="S169" s="291">
        <v>-9.17</v>
      </c>
      <c r="T169" s="275">
        <v>-7.798</v>
      </c>
      <c r="U169" s="275">
        <v>-4.6340000000000003</v>
      </c>
      <c r="V169" s="411"/>
      <c r="W169" s="271"/>
      <c r="X169" s="411"/>
      <c r="Y169" s="411"/>
      <c r="Z169" s="411"/>
      <c r="AA169" s="411"/>
      <c r="AB169" s="271"/>
      <c r="AC169" s="449"/>
      <c r="AD169" s="411"/>
      <c r="AE169" s="411"/>
      <c r="AF169" s="411"/>
      <c r="AG169" s="271"/>
      <c r="AH169" s="449"/>
      <c r="AI169" s="411"/>
      <c r="AJ169" s="411"/>
      <c r="AK169" s="411"/>
      <c r="AL169" s="271"/>
      <c r="AM169" s="449"/>
      <c r="AN169" s="411"/>
      <c r="AO169" s="411"/>
      <c r="AP169" s="411"/>
      <c r="AQ169" s="271"/>
      <c r="AR169" s="449"/>
      <c r="AS169" s="411"/>
      <c r="AT169" s="411"/>
      <c r="AU169" s="411"/>
      <c r="AV169" s="271"/>
      <c r="AW169" s="449"/>
      <c r="AX169" s="411"/>
      <c r="AY169" s="411"/>
      <c r="AZ169" s="411"/>
      <c r="BA169" s="271"/>
    </row>
    <row r="170" spans="2:53" outlineLevel="1" x14ac:dyDescent="0.25">
      <c r="B170" s="366" t="s">
        <v>251</v>
      </c>
      <c r="C170" s="367"/>
      <c r="D170" s="46">
        <v>-8.4250000000000007</v>
      </c>
      <c r="E170" s="46">
        <v>-10.814</v>
      </c>
      <c r="F170" s="46">
        <v>-27.366</v>
      </c>
      <c r="G170" s="46">
        <v>-61.048000000000002</v>
      </c>
      <c r="H170" s="47">
        <f t="shared" ref="H170:H173" si="303">SUM(D170:G170)</f>
        <v>-107.65300000000001</v>
      </c>
      <c r="I170" s="46">
        <v>-52.523000000000003</v>
      </c>
      <c r="J170" s="46">
        <v>-65.230999999999995</v>
      </c>
      <c r="K170" s="46">
        <v>-33.963000000000001</v>
      </c>
      <c r="L170" s="46">
        <v>-21.585000000000001</v>
      </c>
      <c r="M170" s="47">
        <f t="shared" ref="M170:M173" si="304">SUM(I170:L170)</f>
        <v>-173.30199999999999</v>
      </c>
      <c r="N170" s="46">
        <v>-37.17</v>
      </c>
      <c r="O170" s="46">
        <v>-27.323</v>
      </c>
      <c r="P170" s="46">
        <v>-39.332999999999998</v>
      </c>
      <c r="Q170" s="46">
        <v>-70.12</v>
      </c>
      <c r="R170" s="47">
        <f t="shared" ref="R170:R173" si="305">SUM(N170:Q170)</f>
        <v>-173.946</v>
      </c>
      <c r="S170" s="46">
        <v>-60.381</v>
      </c>
      <c r="T170" s="46">
        <v>-39.584000000000003</v>
      </c>
      <c r="U170" s="46">
        <v>-45.332999999999998</v>
      </c>
      <c r="V170" s="411"/>
      <c r="W170" s="271"/>
      <c r="X170" s="411"/>
      <c r="Y170" s="411"/>
      <c r="Z170" s="411"/>
      <c r="AA170" s="411"/>
      <c r="AB170" s="271"/>
      <c r="AC170" s="449"/>
      <c r="AD170" s="411"/>
      <c r="AE170" s="411"/>
      <c r="AF170" s="411"/>
      <c r="AG170" s="271"/>
      <c r="AH170" s="449"/>
      <c r="AI170" s="411"/>
      <c r="AJ170" s="411"/>
      <c r="AK170" s="411"/>
      <c r="AL170" s="271"/>
      <c r="AM170" s="449"/>
      <c r="AN170" s="411"/>
      <c r="AO170" s="411"/>
      <c r="AP170" s="411"/>
      <c r="AQ170" s="271"/>
      <c r="AR170" s="449"/>
      <c r="AS170" s="411"/>
      <c r="AT170" s="411"/>
      <c r="AU170" s="411"/>
      <c r="AV170" s="271"/>
      <c r="AW170" s="449"/>
      <c r="AX170" s="411"/>
      <c r="AY170" s="411"/>
      <c r="AZ170" s="411"/>
      <c r="BA170" s="271"/>
    </row>
    <row r="171" spans="2:53" outlineLevel="1" x14ac:dyDescent="0.25">
      <c r="B171" s="63" t="s">
        <v>252</v>
      </c>
      <c r="C171" s="212"/>
      <c r="D171" s="46">
        <v>-0.35599999999999998</v>
      </c>
      <c r="E171" s="46">
        <v>0.90700000000000003</v>
      </c>
      <c r="F171" s="46">
        <v>0.125</v>
      </c>
      <c r="G171" s="46">
        <v>-1.617</v>
      </c>
      <c r="H171" s="47">
        <f t="shared" si="303"/>
        <v>-0.94099999999999995</v>
      </c>
      <c r="I171" s="46">
        <v>-0.76900000000000002</v>
      </c>
      <c r="J171" s="46">
        <v>-1.0640000000000001</v>
      </c>
      <c r="K171" s="46">
        <v>-1.107</v>
      </c>
      <c r="L171" s="46">
        <v>-3.7490000000000001</v>
      </c>
      <c r="M171" s="47">
        <f t="shared" si="304"/>
        <v>-6.6890000000000001</v>
      </c>
      <c r="N171" s="46">
        <v>-1.786</v>
      </c>
      <c r="O171" s="46">
        <v>-0.441</v>
      </c>
      <c r="P171" s="46">
        <v>-121.63</v>
      </c>
      <c r="Q171" s="46">
        <v>-2.7309999999999999</v>
      </c>
      <c r="R171" s="47">
        <f t="shared" si="305"/>
        <v>-126.58799999999999</v>
      </c>
      <c r="S171" s="46">
        <v>-10.552</v>
      </c>
      <c r="T171" s="46">
        <v>-2.6539999999999999</v>
      </c>
      <c r="U171" s="46">
        <v>0.61299999999999999</v>
      </c>
      <c r="V171" s="411"/>
      <c r="W171" s="271"/>
      <c r="X171" s="411"/>
      <c r="Y171" s="411"/>
      <c r="Z171" s="411"/>
      <c r="AA171" s="411"/>
      <c r="AB171" s="271"/>
      <c r="AC171" s="411"/>
      <c r="AD171" s="411"/>
      <c r="AE171" s="411"/>
      <c r="AF171" s="411"/>
      <c r="AG171" s="271"/>
      <c r="AH171" s="411"/>
      <c r="AI171" s="411"/>
      <c r="AJ171" s="411"/>
      <c r="AK171" s="411"/>
      <c r="AL171" s="271"/>
      <c r="AM171" s="411"/>
      <c r="AN171" s="411"/>
      <c r="AO171" s="411"/>
      <c r="AP171" s="411"/>
      <c r="AQ171" s="271"/>
      <c r="AR171" s="411"/>
      <c r="AS171" s="411"/>
      <c r="AT171" s="411"/>
      <c r="AU171" s="411"/>
      <c r="AV171" s="271"/>
      <c r="AW171" s="411"/>
      <c r="AX171" s="411"/>
      <c r="AY171" s="411"/>
      <c r="AZ171" s="411"/>
      <c r="BA171" s="271"/>
    </row>
    <row r="172" spans="2:53" outlineLevel="1" x14ac:dyDescent="0.25">
      <c r="B172" s="63" t="s">
        <v>253</v>
      </c>
      <c r="C172" s="212"/>
      <c r="D172" s="46">
        <v>-34.962000000000003</v>
      </c>
      <c r="E172" s="46">
        <v>-18.492000000000001</v>
      </c>
      <c r="F172" s="46">
        <v>-128.136</v>
      </c>
      <c r="G172" s="46">
        <v>-5.6029999999999998</v>
      </c>
      <c r="H172" s="47">
        <f t="shared" si="303"/>
        <v>-187.19300000000001</v>
      </c>
      <c r="I172" s="46">
        <v>-57.774000000000001</v>
      </c>
      <c r="J172" s="46">
        <v>-14.246</v>
      </c>
      <c r="K172" s="46">
        <v>-2.7989999999999999</v>
      </c>
      <c r="L172" s="46">
        <v>0</v>
      </c>
      <c r="M172" s="47">
        <f t="shared" si="304"/>
        <v>-74.819000000000003</v>
      </c>
      <c r="N172" s="46">
        <v>0</v>
      </c>
      <c r="O172" s="46">
        <v>0</v>
      </c>
      <c r="P172" s="46">
        <v>0</v>
      </c>
      <c r="Q172" s="46">
        <v>0</v>
      </c>
      <c r="R172" s="47">
        <f t="shared" si="305"/>
        <v>0</v>
      </c>
      <c r="S172" s="46">
        <f>-(S109-Q109)</f>
        <v>0</v>
      </c>
      <c r="T172" s="46">
        <v>0</v>
      </c>
      <c r="U172" s="46">
        <f>-(U109-T109)</f>
        <v>0</v>
      </c>
      <c r="V172" s="411"/>
      <c r="W172" s="271"/>
      <c r="X172" s="411"/>
      <c r="Y172" s="411"/>
      <c r="Z172" s="411"/>
      <c r="AA172" s="411"/>
      <c r="AB172" s="271"/>
      <c r="AC172" s="411"/>
      <c r="AD172" s="411"/>
      <c r="AE172" s="411"/>
      <c r="AF172" s="411"/>
      <c r="AG172" s="271"/>
      <c r="AH172" s="411"/>
      <c r="AI172" s="411"/>
      <c r="AJ172" s="411"/>
      <c r="AK172" s="411"/>
      <c r="AL172" s="271"/>
      <c r="AM172" s="411"/>
      <c r="AN172" s="411"/>
      <c r="AO172" s="411"/>
      <c r="AP172" s="411"/>
      <c r="AQ172" s="271"/>
      <c r="AR172" s="411"/>
      <c r="AS172" s="411"/>
      <c r="AT172" s="411"/>
      <c r="AU172" s="411"/>
      <c r="AV172" s="271"/>
      <c r="AW172" s="411"/>
      <c r="AX172" s="411"/>
      <c r="AY172" s="411"/>
      <c r="AZ172" s="411"/>
      <c r="BA172" s="271"/>
    </row>
    <row r="173" spans="2:53" outlineLevel="1" x14ac:dyDescent="0.25">
      <c r="B173" s="63" t="s">
        <v>260</v>
      </c>
      <c r="C173" s="212"/>
      <c r="D173" s="46">
        <v>8.1880000000000006</v>
      </c>
      <c r="E173" s="46">
        <v>18.751999999999999</v>
      </c>
      <c r="F173" s="46">
        <v>171.74700000000001</v>
      </c>
      <c r="G173" s="46">
        <v>83.796999999999997</v>
      </c>
      <c r="H173" s="47">
        <f t="shared" si="303"/>
        <v>282.48400000000004</v>
      </c>
      <c r="I173" s="46">
        <v>55.747999999999998</v>
      </c>
      <c r="J173" s="46">
        <v>14.128</v>
      </c>
      <c r="K173" s="46">
        <v>250.27799999999999</v>
      </c>
      <c r="L173" s="46">
        <v>0</v>
      </c>
      <c r="M173" s="47">
        <f t="shared" si="304"/>
        <v>320.154</v>
      </c>
      <c r="N173" s="46">
        <v>0</v>
      </c>
      <c r="O173" s="46">
        <v>0</v>
      </c>
      <c r="P173" s="46">
        <v>0</v>
      </c>
      <c r="Q173" s="46">
        <v>0</v>
      </c>
      <c r="R173" s="47">
        <f t="shared" si="305"/>
        <v>0</v>
      </c>
      <c r="S173" s="46">
        <v>0</v>
      </c>
      <c r="T173" s="46">
        <v>0</v>
      </c>
      <c r="U173" s="46">
        <v>0</v>
      </c>
      <c r="V173" s="411"/>
      <c r="W173" s="271"/>
      <c r="X173" s="411"/>
      <c r="Y173" s="411"/>
      <c r="Z173" s="411"/>
      <c r="AA173" s="411"/>
      <c r="AB173" s="271"/>
      <c r="AC173" s="411"/>
      <c r="AD173" s="411"/>
      <c r="AE173" s="411"/>
      <c r="AF173" s="411"/>
      <c r="AG173" s="271"/>
      <c r="AH173" s="411"/>
      <c r="AI173" s="411"/>
      <c r="AJ173" s="411"/>
      <c r="AK173" s="411"/>
      <c r="AL173" s="271"/>
      <c r="AM173" s="411"/>
      <c r="AN173" s="411"/>
      <c r="AO173" s="411"/>
      <c r="AP173" s="411"/>
      <c r="AQ173" s="271"/>
      <c r="AR173" s="411"/>
      <c r="AS173" s="411"/>
      <c r="AT173" s="411"/>
      <c r="AU173" s="411"/>
      <c r="AV173" s="271"/>
      <c r="AW173" s="411"/>
      <c r="AX173" s="411"/>
      <c r="AY173" s="411"/>
      <c r="AZ173" s="411"/>
      <c r="BA173" s="271"/>
    </row>
    <row r="174" spans="2:53" ht="17.25" outlineLevel="1" x14ac:dyDescent="0.4">
      <c r="B174" s="366" t="s">
        <v>254</v>
      </c>
      <c r="C174" s="367"/>
      <c r="D174" s="51">
        <v>63.024999999999999</v>
      </c>
      <c r="E174" s="51">
        <v>24.675000000000001</v>
      </c>
      <c r="F174" s="51">
        <v>24.855</v>
      </c>
      <c r="G174" s="51">
        <v>27.69</v>
      </c>
      <c r="H174" s="52">
        <f>SUM(D174:G174)</f>
        <v>140.245</v>
      </c>
      <c r="I174" s="51">
        <v>5.0999999999999996</v>
      </c>
      <c r="J174" s="51">
        <v>17.605</v>
      </c>
      <c r="K174" s="51">
        <v>0</v>
      </c>
      <c r="L174" s="51">
        <v>0</v>
      </c>
      <c r="M174" s="52">
        <f>SUM(I174:L174)</f>
        <v>22.704999999999998</v>
      </c>
      <c r="N174" s="51">
        <v>0</v>
      </c>
      <c r="O174" s="51">
        <v>0</v>
      </c>
      <c r="P174" s="51">
        <v>0</v>
      </c>
      <c r="Q174" s="51">
        <v>0</v>
      </c>
      <c r="R174" s="52">
        <f>SUM(N174:Q174)</f>
        <v>0</v>
      </c>
      <c r="S174" s="51">
        <v>0</v>
      </c>
      <c r="T174" s="51">
        <v>0</v>
      </c>
      <c r="U174" s="51">
        <v>0</v>
      </c>
      <c r="V174" s="414"/>
      <c r="W174" s="277"/>
      <c r="X174" s="414"/>
      <c r="Y174" s="414"/>
      <c r="Z174" s="414"/>
      <c r="AA174" s="414"/>
      <c r="AB174" s="277"/>
      <c r="AC174" s="414"/>
      <c r="AD174" s="414"/>
      <c r="AE174" s="414"/>
      <c r="AF174" s="414"/>
      <c r="AG174" s="277"/>
      <c r="AH174" s="414"/>
      <c r="AI174" s="414"/>
      <c r="AJ174" s="414"/>
      <c r="AK174" s="414"/>
      <c r="AL174" s="277"/>
      <c r="AM174" s="414"/>
      <c r="AN174" s="414"/>
      <c r="AO174" s="414"/>
      <c r="AP174" s="414"/>
      <c r="AQ174" s="277"/>
      <c r="AR174" s="414"/>
      <c r="AS174" s="414"/>
      <c r="AT174" s="414"/>
      <c r="AU174" s="414"/>
      <c r="AV174" s="277"/>
      <c r="AW174" s="414"/>
      <c r="AX174" s="414"/>
      <c r="AY174" s="414"/>
      <c r="AZ174" s="414"/>
      <c r="BA174" s="277"/>
    </row>
    <row r="175" spans="2:53" outlineLevel="1" x14ac:dyDescent="0.25">
      <c r="B175" s="336" t="s">
        <v>15</v>
      </c>
      <c r="C175" s="337"/>
      <c r="D175" s="57">
        <f>SUM(D169:D174)</f>
        <v>4.2629999999999981</v>
      </c>
      <c r="E175" s="57">
        <f t="shared" ref="E175:W175" si="306">SUM(E169:E174)</f>
        <v>-2.8960000000000008</v>
      </c>
      <c r="F175" s="57">
        <f t="shared" si="306"/>
        <v>23.976000000000038</v>
      </c>
      <c r="G175" s="57">
        <f t="shared" si="306"/>
        <v>24.422000000000001</v>
      </c>
      <c r="H175" s="58">
        <f t="shared" si="306"/>
        <v>49.765000000000043</v>
      </c>
      <c r="I175" s="57">
        <f t="shared" si="306"/>
        <v>-75.590000000000032</v>
      </c>
      <c r="J175" s="57">
        <f t="shared" si="306"/>
        <v>-56.431999999999974</v>
      </c>
      <c r="K175" s="57">
        <f t="shared" si="306"/>
        <v>202.19200000000001</v>
      </c>
      <c r="L175" s="57">
        <f t="shared" si="306"/>
        <v>-35.841000000000001</v>
      </c>
      <c r="M175" s="58">
        <f t="shared" si="306"/>
        <v>34.329000000000022</v>
      </c>
      <c r="N175" s="57">
        <f t="shared" si="306"/>
        <v>-49.752000000000002</v>
      </c>
      <c r="O175" s="57">
        <f t="shared" si="306"/>
        <v>-40.316000000000003</v>
      </c>
      <c r="P175" s="57">
        <f t="shared" si="306"/>
        <v>-168.69399999999999</v>
      </c>
      <c r="Q175" s="57">
        <f t="shared" si="306"/>
        <v>-80.358000000000004</v>
      </c>
      <c r="R175" s="58">
        <f t="shared" si="306"/>
        <v>-339.12</v>
      </c>
      <c r="S175" s="57">
        <f>SUM(S169:S174)</f>
        <v>-80.103000000000009</v>
      </c>
      <c r="T175" s="57">
        <f t="shared" si="306"/>
        <v>-50.036000000000001</v>
      </c>
      <c r="U175" s="57">
        <f t="shared" si="306"/>
        <v>-49.353999999999999</v>
      </c>
      <c r="V175" s="417"/>
      <c r="W175" s="278"/>
      <c r="X175" s="417"/>
      <c r="Y175" s="417"/>
      <c r="Z175" s="417"/>
      <c r="AA175" s="417"/>
      <c r="AB175" s="278"/>
      <c r="AC175" s="417"/>
      <c r="AD175" s="417"/>
      <c r="AE175" s="417"/>
      <c r="AF175" s="417"/>
      <c r="AG175" s="278"/>
      <c r="AH175" s="417"/>
      <c r="AI175" s="417"/>
      <c r="AJ175" s="417"/>
      <c r="AK175" s="417"/>
      <c r="AL175" s="278"/>
      <c r="AM175" s="417"/>
      <c r="AN175" s="417"/>
      <c r="AO175" s="417"/>
      <c r="AP175" s="417"/>
      <c r="AQ175" s="278"/>
      <c r="AR175" s="417"/>
      <c r="AS175" s="417"/>
      <c r="AT175" s="417"/>
      <c r="AU175" s="417"/>
      <c r="AV175" s="278"/>
      <c r="AW175" s="417"/>
      <c r="AX175" s="417"/>
      <c r="AY175" s="417"/>
      <c r="AZ175" s="417"/>
      <c r="BA175" s="278"/>
    </row>
    <row r="176" spans="2:53" ht="17.25" outlineLevel="1" x14ac:dyDescent="0.4">
      <c r="B176" s="334" t="s">
        <v>16</v>
      </c>
      <c r="C176" s="335"/>
      <c r="D176" s="114"/>
      <c r="E176" s="114"/>
      <c r="F176" s="114"/>
      <c r="G176" s="114"/>
      <c r="H176" s="115"/>
      <c r="I176" s="114"/>
      <c r="J176" s="114"/>
      <c r="K176" s="114"/>
      <c r="L176" s="114"/>
      <c r="M176" s="115"/>
      <c r="N176" s="114"/>
      <c r="O176" s="114"/>
      <c r="P176" s="114"/>
      <c r="Q176" s="114"/>
      <c r="R176" s="115"/>
      <c r="S176" s="116"/>
      <c r="T176" s="116"/>
      <c r="U176" s="116"/>
      <c r="V176" s="420"/>
      <c r="W176" s="271"/>
      <c r="X176" s="420"/>
      <c r="Y176" s="398" t="s">
        <v>344</v>
      </c>
      <c r="Z176" s="400"/>
      <c r="AA176" s="275"/>
      <c r="AB176" s="271"/>
      <c r="AC176" s="275"/>
      <c r="AD176" s="398" t="s">
        <v>344</v>
      </c>
      <c r="AE176" s="400"/>
      <c r="AF176" s="423"/>
      <c r="AG176" s="282"/>
      <c r="AH176" s="423"/>
      <c r="AI176" s="398" t="s">
        <v>344</v>
      </c>
      <c r="AJ176" s="400"/>
      <c r="AK176" s="424"/>
      <c r="AL176" s="282"/>
      <c r="AM176" s="424"/>
      <c r="AN176" s="398" t="s">
        <v>344</v>
      </c>
      <c r="AO176" s="400"/>
      <c r="AP176" s="424"/>
      <c r="AQ176" s="55"/>
      <c r="AR176" s="424"/>
      <c r="AS176" s="398" t="s">
        <v>344</v>
      </c>
      <c r="AT176" s="400"/>
      <c r="AU176" s="424"/>
      <c r="AV176" s="55"/>
      <c r="AW176" s="424"/>
      <c r="AX176" s="398" t="s">
        <v>344</v>
      </c>
      <c r="AY176" s="400"/>
      <c r="AZ176" s="420"/>
      <c r="BA176" s="271"/>
    </row>
    <row r="177" spans="2:53" ht="17.25" outlineLevel="1" x14ac:dyDescent="0.4">
      <c r="B177" s="213" t="s">
        <v>255</v>
      </c>
      <c r="C177" s="214"/>
      <c r="D177" s="117">
        <v>0</v>
      </c>
      <c r="E177" s="117">
        <v>0</v>
      </c>
      <c r="F177" s="117">
        <v>0</v>
      </c>
      <c r="G177" s="117">
        <v>1000</v>
      </c>
      <c r="H177" s="118">
        <f t="shared" ref="H177:H178" si="307">SUM(D177:G177)</f>
        <v>1000</v>
      </c>
      <c r="I177" s="117">
        <v>0</v>
      </c>
      <c r="J177" s="117">
        <v>1420.51</v>
      </c>
      <c r="K177" s="117">
        <v>0</v>
      </c>
      <c r="L177" s="117">
        <v>1600</v>
      </c>
      <c r="M177" s="118">
        <f t="shared" ref="M177:M178" si="308">SUM(I177:L177)</f>
        <v>3020.51</v>
      </c>
      <c r="N177" s="117">
        <v>0</v>
      </c>
      <c r="O177" s="117">
        <v>1900</v>
      </c>
      <c r="P177" s="117">
        <v>0</v>
      </c>
      <c r="Q177" s="117">
        <v>2061.8519999999999</v>
      </c>
      <c r="R177" s="118">
        <f t="shared" ref="R177:R178" si="309">SUM(N177:Q177)</f>
        <v>3961.8519999999999</v>
      </c>
      <c r="S177" s="117">
        <v>0</v>
      </c>
      <c r="T177" s="117">
        <v>2243.1959999999999</v>
      </c>
      <c r="U177" s="117">
        <v>0</v>
      </c>
      <c r="V177" s="411"/>
      <c r="W177" s="271"/>
      <c r="X177" s="411"/>
      <c r="Y177" s="401"/>
      <c r="Z177" s="403"/>
      <c r="AA177" s="276"/>
      <c r="AB177" s="277"/>
      <c r="AC177" s="276"/>
      <c r="AD177" s="401"/>
      <c r="AE177" s="403"/>
      <c r="AF177" s="417"/>
      <c r="AG177" s="278"/>
      <c r="AH177" s="417"/>
      <c r="AI177" s="401"/>
      <c r="AJ177" s="403"/>
      <c r="AK177" s="418"/>
      <c r="AL177" s="278"/>
      <c r="AM177" s="418"/>
      <c r="AN177" s="401"/>
      <c r="AO177" s="403"/>
      <c r="AP177" s="418"/>
      <c r="AQ177" s="58"/>
      <c r="AR177" s="418"/>
      <c r="AS177" s="401"/>
      <c r="AT177" s="403"/>
      <c r="AU177" s="418"/>
      <c r="AV177" s="58"/>
      <c r="AW177" s="418"/>
      <c r="AX177" s="401"/>
      <c r="AY177" s="403"/>
      <c r="AZ177" s="411"/>
      <c r="BA177" s="271"/>
    </row>
    <row r="178" spans="2:53" outlineLevel="1" x14ac:dyDescent="0.25">
      <c r="B178" s="213" t="s">
        <v>256</v>
      </c>
      <c r="C178" s="214"/>
      <c r="D178" s="117">
        <v>0</v>
      </c>
      <c r="E178" s="117">
        <v>0</v>
      </c>
      <c r="F178" s="117">
        <v>0</v>
      </c>
      <c r="G178" s="117">
        <v>-10.7</v>
      </c>
      <c r="H178" s="118">
        <f t="shared" si="307"/>
        <v>-10.7</v>
      </c>
      <c r="I178" s="117">
        <v>0</v>
      </c>
      <c r="J178" s="117">
        <v>-15.013</v>
      </c>
      <c r="K178" s="117">
        <v>-0.312</v>
      </c>
      <c r="L178" s="117">
        <v>-16.827999999999999</v>
      </c>
      <c r="M178" s="118">
        <f t="shared" si="308"/>
        <v>-32.152999999999999</v>
      </c>
      <c r="N178" s="117">
        <v>0</v>
      </c>
      <c r="O178" s="117">
        <v>-16.992000000000001</v>
      </c>
      <c r="P178" s="117">
        <v>0</v>
      </c>
      <c r="Q178" s="117">
        <v>-18.879000000000001</v>
      </c>
      <c r="R178" s="118">
        <f t="shared" si="309"/>
        <v>-35.871000000000002</v>
      </c>
      <c r="S178" s="228">
        <v>0</v>
      </c>
      <c r="T178" s="117">
        <v>-18.192</v>
      </c>
      <c r="U178" s="117"/>
      <c r="V178" s="411"/>
      <c r="W178" s="271"/>
      <c r="X178" s="483"/>
      <c r="Y178" s="401"/>
      <c r="Z178" s="403"/>
      <c r="AA178" s="269"/>
      <c r="AB178" s="278"/>
      <c r="AC178" s="269"/>
      <c r="AD178" s="401"/>
      <c r="AE178" s="403"/>
      <c r="AF178" s="426"/>
      <c r="AG178" s="427"/>
      <c r="AH178" s="426"/>
      <c r="AI178" s="401"/>
      <c r="AJ178" s="403"/>
      <c r="AK178" s="428"/>
      <c r="AL178" s="427"/>
      <c r="AM178" s="428"/>
      <c r="AN178" s="401"/>
      <c r="AO178" s="403"/>
      <c r="AP178" s="428"/>
      <c r="AQ178" s="429"/>
      <c r="AR178" s="428"/>
      <c r="AS178" s="401"/>
      <c r="AT178" s="403"/>
      <c r="AU178" s="428"/>
      <c r="AV178" s="429"/>
      <c r="AW178" s="428"/>
      <c r="AX178" s="401"/>
      <c r="AY178" s="403"/>
      <c r="AZ178" s="411"/>
      <c r="BA178" s="271"/>
    </row>
    <row r="179" spans="2:53" ht="17.25" outlineLevel="1" x14ac:dyDescent="0.4">
      <c r="B179" s="213" t="s">
        <v>257</v>
      </c>
      <c r="C179" s="214"/>
      <c r="D179" s="117">
        <v>3.536</v>
      </c>
      <c r="E179" s="117">
        <v>4.2320000000000002</v>
      </c>
      <c r="F179" s="117">
        <v>3.819</v>
      </c>
      <c r="G179" s="117">
        <v>25.391999999999999</v>
      </c>
      <c r="H179" s="118">
        <f>SUM(D179:G179)</f>
        <v>36.978999999999999</v>
      </c>
      <c r="I179" s="117">
        <v>24.178000000000001</v>
      </c>
      <c r="J179" s="117">
        <v>14.826000000000001</v>
      </c>
      <c r="K179" s="117">
        <v>34.668999999999997</v>
      </c>
      <c r="L179" s="117">
        <v>14.705</v>
      </c>
      <c r="M179" s="118">
        <f>SUM(I179:L179)</f>
        <v>88.378</v>
      </c>
      <c r="N179" s="117">
        <v>56.335000000000001</v>
      </c>
      <c r="O179" s="117">
        <v>26.936</v>
      </c>
      <c r="P179" s="117">
        <v>29.780999999999999</v>
      </c>
      <c r="Q179" s="117">
        <v>11.45</v>
      </c>
      <c r="R179" s="118">
        <f>SUM(N179:Q179)</f>
        <v>124.502</v>
      </c>
      <c r="S179" s="117">
        <v>22.972000000000001</v>
      </c>
      <c r="T179" s="117">
        <v>21.896000000000001</v>
      </c>
      <c r="U179" s="117">
        <v>11.989000000000001</v>
      </c>
      <c r="V179" s="411"/>
      <c r="W179" s="271"/>
      <c r="X179" s="411"/>
      <c r="Y179" s="437"/>
      <c r="Z179" s="438"/>
      <c r="AA179" s="275"/>
      <c r="AB179" s="271"/>
      <c r="AC179" s="275"/>
      <c r="AD179" s="437"/>
      <c r="AE179" s="438"/>
      <c r="AF179" s="431"/>
      <c r="AG179" s="286"/>
      <c r="AH179" s="431"/>
      <c r="AI179" s="437"/>
      <c r="AJ179" s="438"/>
      <c r="AK179" s="432"/>
      <c r="AL179" s="286"/>
      <c r="AM179" s="432"/>
      <c r="AN179" s="437"/>
      <c r="AO179" s="438"/>
      <c r="AP179" s="432"/>
      <c r="AQ179" s="254"/>
      <c r="AR179" s="432"/>
      <c r="AS179" s="437"/>
      <c r="AT179" s="438"/>
      <c r="AU179" s="432"/>
      <c r="AV179" s="254"/>
      <c r="AW179" s="432"/>
      <c r="AX179" s="437"/>
      <c r="AY179" s="438"/>
      <c r="AZ179" s="411"/>
      <c r="BA179" s="271"/>
    </row>
    <row r="180" spans="2:53" outlineLevel="1" x14ac:dyDescent="0.25">
      <c r="B180" s="213" t="s">
        <v>170</v>
      </c>
      <c r="C180" s="214"/>
      <c r="D180" s="117">
        <v>11.316000000000001</v>
      </c>
      <c r="E180" s="117">
        <v>13.323</v>
      </c>
      <c r="F180" s="117">
        <v>12.762</v>
      </c>
      <c r="G180" s="117">
        <v>27.72</v>
      </c>
      <c r="H180" s="118">
        <f t="shared" ref="H180" si="310">SUM(D180:G180)</f>
        <v>65.121000000000009</v>
      </c>
      <c r="I180" s="117">
        <v>0</v>
      </c>
      <c r="J180" s="117">
        <v>0</v>
      </c>
      <c r="K180" s="117">
        <v>0</v>
      </c>
      <c r="L180" s="117">
        <v>0</v>
      </c>
      <c r="M180" s="118">
        <f>SUM(I180:L180)</f>
        <v>0</v>
      </c>
      <c r="N180" s="117">
        <v>0</v>
      </c>
      <c r="O180" s="117">
        <v>0</v>
      </c>
      <c r="P180" s="117">
        <v>0</v>
      </c>
      <c r="Q180" s="117">
        <v>0</v>
      </c>
      <c r="R180" s="118">
        <f>SUM(N180:Q180)</f>
        <v>0</v>
      </c>
      <c r="S180" s="117">
        <v>0</v>
      </c>
      <c r="T180" s="117">
        <v>0</v>
      </c>
      <c r="U180" s="117">
        <v>0</v>
      </c>
      <c r="V180" s="411"/>
      <c r="W180" s="271"/>
      <c r="X180" s="411"/>
      <c r="Y180" s="411"/>
      <c r="Z180" s="411"/>
      <c r="AA180" s="411"/>
      <c r="AB180" s="271"/>
      <c r="AC180" s="411"/>
      <c r="AD180" s="411"/>
      <c r="AE180" s="411"/>
      <c r="AF180" s="411"/>
      <c r="AG180" s="271"/>
      <c r="AH180" s="411"/>
      <c r="AI180" s="411"/>
      <c r="AJ180" s="411"/>
      <c r="AK180" s="411"/>
      <c r="AL180" s="271"/>
      <c r="AM180" s="411"/>
      <c r="AN180" s="411"/>
      <c r="AO180" s="411"/>
      <c r="AP180" s="411"/>
      <c r="AQ180" s="271"/>
      <c r="AR180" s="411"/>
      <c r="AS180" s="411"/>
      <c r="AT180" s="411"/>
      <c r="AU180" s="411"/>
      <c r="AV180" s="271"/>
      <c r="AW180" s="411"/>
      <c r="AX180" s="411"/>
      <c r="AY180" s="411"/>
      <c r="AZ180" s="411"/>
      <c r="BA180" s="271"/>
    </row>
    <row r="181" spans="2:53" ht="17.25" outlineLevel="1" x14ac:dyDescent="0.4">
      <c r="B181" s="353" t="s">
        <v>171</v>
      </c>
      <c r="C181" s="354"/>
      <c r="D181" s="119">
        <v>5.5E-2</v>
      </c>
      <c r="E181" s="119">
        <v>5.7000000000000002E-2</v>
      </c>
      <c r="F181" s="119">
        <v>5.8000000000000003E-2</v>
      </c>
      <c r="G181" s="119">
        <v>0.06</v>
      </c>
      <c r="H181" s="120">
        <f t="shared" ref="H181" si="311">SUM(D181:G181)</f>
        <v>0.23</v>
      </c>
      <c r="I181" s="119">
        <v>6.0999999999999999E-2</v>
      </c>
      <c r="J181" s="119">
        <v>6.3E-2</v>
      </c>
      <c r="K181" s="119">
        <v>6.5000000000000002E-2</v>
      </c>
      <c r="L181" s="119">
        <v>6.6000000000000003E-2</v>
      </c>
      <c r="M181" s="120">
        <f t="shared" ref="M181" si="312">SUM(I181:L181)</f>
        <v>0.255</v>
      </c>
      <c r="N181" s="119">
        <v>-0.32100000000000001</v>
      </c>
      <c r="O181" s="119">
        <v>-0.53200000000000003</v>
      </c>
      <c r="P181" s="119">
        <v>-0.54400000000000004</v>
      </c>
      <c r="Q181" s="119">
        <v>-0.55900000000000005</v>
      </c>
      <c r="R181" s="120">
        <f t="shared" ref="R181" si="313">SUM(N181:Q181)</f>
        <v>-1.956</v>
      </c>
      <c r="S181" s="119">
        <v>0</v>
      </c>
      <c r="T181" s="119">
        <v>0</v>
      </c>
      <c r="U181" s="119">
        <v>0</v>
      </c>
      <c r="V181" s="414"/>
      <c r="W181" s="277"/>
      <c r="X181" s="414"/>
      <c r="Y181" s="414"/>
      <c r="Z181" s="414"/>
      <c r="AA181" s="414"/>
      <c r="AB181" s="277"/>
      <c r="AC181" s="414"/>
      <c r="AD181" s="414"/>
      <c r="AE181" s="414"/>
      <c r="AF181" s="414"/>
      <c r="AG181" s="277"/>
      <c r="AH181" s="414"/>
      <c r="AI181" s="414"/>
      <c r="AJ181" s="414"/>
      <c r="AK181" s="414"/>
      <c r="AL181" s="277"/>
      <c r="AM181" s="414"/>
      <c r="AN181" s="414"/>
      <c r="AO181" s="414"/>
      <c r="AP181" s="414"/>
      <c r="AQ181" s="277"/>
      <c r="AR181" s="414"/>
      <c r="AS181" s="414"/>
      <c r="AT181" s="414"/>
      <c r="AU181" s="414"/>
      <c r="AV181" s="277"/>
      <c r="AW181" s="414"/>
      <c r="AX181" s="414"/>
      <c r="AY181" s="414"/>
      <c r="AZ181" s="414"/>
      <c r="BA181" s="277"/>
    </row>
    <row r="182" spans="2:53" outlineLevel="1" x14ac:dyDescent="0.25">
      <c r="B182" s="351" t="s">
        <v>17</v>
      </c>
      <c r="C182" s="352"/>
      <c r="D182" s="111">
        <f>SUM(D177:D181)</f>
        <v>14.907</v>
      </c>
      <c r="E182" s="111">
        <f t="shared" ref="E182:W182" si="314">SUM(E177:E181)</f>
        <v>17.611999999999998</v>
      </c>
      <c r="F182" s="111">
        <f t="shared" si="314"/>
        <v>16.638999999999999</v>
      </c>
      <c r="G182" s="111">
        <f t="shared" si="314"/>
        <v>1042.472</v>
      </c>
      <c r="H182" s="112">
        <f t="shared" si="314"/>
        <v>1091.6300000000001</v>
      </c>
      <c r="I182" s="111">
        <f t="shared" si="314"/>
        <v>24.239000000000001</v>
      </c>
      <c r="J182" s="111">
        <f t="shared" si="314"/>
        <v>1420.3860000000002</v>
      </c>
      <c r="K182" s="111">
        <f t="shared" si="314"/>
        <v>34.421999999999997</v>
      </c>
      <c r="L182" s="111">
        <f t="shared" si="314"/>
        <v>1597.943</v>
      </c>
      <c r="M182" s="112">
        <f t="shared" si="314"/>
        <v>3076.9900000000007</v>
      </c>
      <c r="N182" s="111">
        <f t="shared" si="314"/>
        <v>56.014000000000003</v>
      </c>
      <c r="O182" s="111">
        <f t="shared" si="314"/>
        <v>1909.412</v>
      </c>
      <c r="P182" s="111">
        <f t="shared" si="314"/>
        <v>29.236999999999998</v>
      </c>
      <c r="Q182" s="111">
        <f t="shared" si="314"/>
        <v>2053.8639999999996</v>
      </c>
      <c r="R182" s="112">
        <f>SUM(R177:R181)</f>
        <v>4048.5269999999996</v>
      </c>
      <c r="S182" s="111">
        <f>SUM(S177:S181)</f>
        <v>22.972000000000001</v>
      </c>
      <c r="T182" s="111">
        <f t="shared" si="314"/>
        <v>2246.9</v>
      </c>
      <c r="U182" s="111">
        <f t="shared" si="314"/>
        <v>11.989000000000001</v>
      </c>
      <c r="V182" s="417"/>
      <c r="W182" s="278"/>
      <c r="X182" s="417"/>
      <c r="Y182" s="417"/>
      <c r="Z182" s="417"/>
      <c r="AA182" s="417"/>
      <c r="AB182" s="278"/>
      <c r="AC182" s="417"/>
      <c r="AD182" s="417"/>
      <c r="AE182" s="417"/>
      <c r="AF182" s="417"/>
      <c r="AG182" s="278"/>
      <c r="AH182" s="417"/>
      <c r="AI182" s="417"/>
      <c r="AJ182" s="417"/>
      <c r="AK182" s="417"/>
      <c r="AL182" s="278"/>
      <c r="AM182" s="417"/>
      <c r="AN182" s="417"/>
      <c r="AO182" s="417"/>
      <c r="AP182" s="417"/>
      <c r="AQ182" s="278"/>
      <c r="AR182" s="417"/>
      <c r="AS182" s="417"/>
      <c r="AT182" s="417"/>
      <c r="AU182" s="417"/>
      <c r="AV182" s="278"/>
      <c r="AW182" s="417"/>
      <c r="AX182" s="417"/>
      <c r="AY182" s="417"/>
      <c r="AZ182" s="417"/>
      <c r="BA182" s="278"/>
    </row>
    <row r="183" spans="2:53" outlineLevel="1" x14ac:dyDescent="0.25">
      <c r="B183" s="104" t="s">
        <v>172</v>
      </c>
      <c r="C183" s="105"/>
      <c r="D183" s="94">
        <v>5.3339999999999996</v>
      </c>
      <c r="E183" s="94">
        <v>-2.742</v>
      </c>
      <c r="F183" s="94">
        <v>-0.441</v>
      </c>
      <c r="G183" s="94">
        <v>-11.316000000000001</v>
      </c>
      <c r="H183" s="113">
        <f>SUM(D183:G183)</f>
        <v>-9.1650000000000009</v>
      </c>
      <c r="I183" s="94">
        <v>5.4550000000000001</v>
      </c>
      <c r="J183" s="94">
        <v>11.526999999999999</v>
      </c>
      <c r="K183" s="94">
        <v>10.685</v>
      </c>
      <c r="L183" s="94">
        <v>2.181</v>
      </c>
      <c r="M183" s="113">
        <f>SUM(I183:L183)</f>
        <v>29.848000000000003</v>
      </c>
      <c r="N183" s="94">
        <v>7.1769999999999996</v>
      </c>
      <c r="O183" s="94">
        <v>-36.340000000000003</v>
      </c>
      <c r="P183" s="94">
        <v>-5.5620000000000003</v>
      </c>
      <c r="Q183" s="94">
        <v>-4.9569999999999999</v>
      </c>
      <c r="R183" s="113">
        <f>SUM(N183:Q183)</f>
        <v>-39.682000000000002</v>
      </c>
      <c r="S183" s="295">
        <v>-5.0140000000000002</v>
      </c>
      <c r="T183" s="295">
        <v>4.9980000000000002</v>
      </c>
      <c r="U183" s="295">
        <v>-29.324999999999999</v>
      </c>
      <c r="V183" s="411"/>
      <c r="W183" s="271"/>
      <c r="X183" s="411"/>
      <c r="Y183" s="411"/>
      <c r="Z183" s="411"/>
      <c r="AA183" s="411"/>
      <c r="AB183" s="271"/>
      <c r="AC183" s="411"/>
      <c r="AD183" s="411"/>
      <c r="AE183" s="411"/>
      <c r="AF183" s="411"/>
      <c r="AG183" s="271"/>
      <c r="AH183" s="411"/>
      <c r="AI183" s="411"/>
      <c r="AJ183" s="411"/>
      <c r="AK183" s="411"/>
      <c r="AL183" s="271"/>
      <c r="AM183" s="411"/>
      <c r="AN183" s="411"/>
      <c r="AO183" s="411"/>
      <c r="AP183" s="411"/>
      <c r="AQ183" s="271"/>
      <c r="AR183" s="411"/>
      <c r="AS183" s="411"/>
      <c r="AT183" s="411"/>
      <c r="AU183" s="411"/>
      <c r="AV183" s="271"/>
      <c r="AW183" s="411"/>
      <c r="AX183" s="411"/>
      <c r="AY183" s="411"/>
      <c r="AZ183" s="411"/>
      <c r="BA183" s="271"/>
    </row>
    <row r="184" spans="2:53" ht="17.25" outlineLevel="1" x14ac:dyDescent="0.4">
      <c r="B184" s="344" t="s">
        <v>18</v>
      </c>
      <c r="C184" s="345"/>
      <c r="D184" s="51">
        <f>D182+D175+D167+D183</f>
        <v>-204.08599999999996</v>
      </c>
      <c r="E184" s="51">
        <f t="shared" ref="E184:W184" si="315">E182+E175+E167+E183</f>
        <v>-214.31899999999942</v>
      </c>
      <c r="F184" s="51">
        <f t="shared" si="315"/>
        <v>-421.76699999999977</v>
      </c>
      <c r="G184" s="51">
        <f t="shared" si="315"/>
        <v>498.41800000000029</v>
      </c>
      <c r="H184" s="52">
        <f t="shared" si="315"/>
        <v>-341.75399999999883</v>
      </c>
      <c r="I184" s="51">
        <f t="shared" si="315"/>
        <v>-389.7519999999999</v>
      </c>
      <c r="J184" s="51">
        <f t="shared" si="315"/>
        <v>840.9530000000002</v>
      </c>
      <c r="K184" s="51">
        <f t="shared" si="315"/>
        <v>-172.30799999999996</v>
      </c>
      <c r="L184" s="51">
        <f t="shared" si="315"/>
        <v>1076.3260000000002</v>
      </c>
      <c r="M184" s="52">
        <f t="shared" si="315"/>
        <v>1355.2190000000014</v>
      </c>
      <c r="N184" s="51">
        <f t="shared" si="315"/>
        <v>-223.31799999999927</v>
      </c>
      <c r="O184" s="51">
        <f t="shared" si="315"/>
        <v>1314.5170000000003</v>
      </c>
      <c r="P184" s="51">
        <f t="shared" si="315"/>
        <v>-835.43000000000063</v>
      </c>
      <c r="Q184" s="51">
        <f t="shared" si="315"/>
        <v>733.47699999999929</v>
      </c>
      <c r="R184" s="52">
        <f t="shared" si="315"/>
        <v>989.24599999999896</v>
      </c>
      <c r="S184" s="51">
        <f>S182+S175+S167+S183</f>
        <v>-441.94399999999973</v>
      </c>
      <c r="T184" s="51">
        <f t="shared" si="315"/>
        <v>1658.1079999999993</v>
      </c>
      <c r="U184" s="51">
        <f t="shared" ref="U184" si="316">U182+U175+U167+U183</f>
        <v>-568.48399999999992</v>
      </c>
      <c r="V184" s="414"/>
      <c r="W184" s="277"/>
      <c r="X184" s="414"/>
      <c r="Y184" s="414"/>
      <c r="Z184" s="414"/>
      <c r="AA184" s="414"/>
      <c r="AB184" s="277"/>
      <c r="AC184" s="414"/>
      <c r="AD184" s="414"/>
      <c r="AE184" s="414"/>
      <c r="AF184" s="414"/>
      <c r="AG184" s="277"/>
      <c r="AH184" s="414"/>
      <c r="AI184" s="414"/>
      <c r="AJ184" s="414"/>
      <c r="AK184" s="414"/>
      <c r="AL184" s="277"/>
      <c r="AM184" s="414"/>
      <c r="AN184" s="414"/>
      <c r="AO184" s="414"/>
      <c r="AP184" s="414"/>
      <c r="AQ184" s="277"/>
      <c r="AR184" s="414"/>
      <c r="AS184" s="414"/>
      <c r="AT184" s="414"/>
      <c r="AU184" s="414"/>
      <c r="AV184" s="277"/>
      <c r="AW184" s="414"/>
      <c r="AX184" s="414"/>
      <c r="AY184" s="414"/>
      <c r="AZ184" s="414"/>
      <c r="BA184" s="277"/>
    </row>
    <row r="185" spans="2:53" ht="17.25" outlineLevel="1" x14ac:dyDescent="0.4">
      <c r="B185" s="366" t="s">
        <v>19</v>
      </c>
      <c r="C185" s="367"/>
      <c r="D185" s="51">
        <v>1809.33</v>
      </c>
      <c r="E185" s="51">
        <f>D188</f>
        <v>1605.2439999999999</v>
      </c>
      <c r="F185" s="51">
        <f>E188</f>
        <v>1390.9250000000004</v>
      </c>
      <c r="G185" s="51">
        <f>+F188</f>
        <v>969.15800000000058</v>
      </c>
      <c r="H185" s="52">
        <f>+D185</f>
        <v>1809.33</v>
      </c>
      <c r="I185" s="51">
        <f>+G188</f>
        <v>1467.5760000000009</v>
      </c>
      <c r="J185" s="51">
        <f>I188</f>
        <v>1077.824000000001</v>
      </c>
      <c r="K185" s="51">
        <f>J188</f>
        <v>1918.7770000000012</v>
      </c>
      <c r="L185" s="51">
        <f>+K188</f>
        <v>1746.4690000000012</v>
      </c>
      <c r="M185" s="52">
        <f>+H188</f>
        <v>1467.5760000000012</v>
      </c>
      <c r="N185" s="51">
        <f>+L188</f>
        <v>2822.7950000000014</v>
      </c>
      <c r="O185" s="51">
        <f>N186</f>
        <v>2599.4770000000021</v>
      </c>
      <c r="P185" s="51">
        <f t="shared" ref="P185:V185" si="317">O186</f>
        <v>3913.9940000000024</v>
      </c>
      <c r="Q185" s="51">
        <f t="shared" si="317"/>
        <v>3078.5640000000017</v>
      </c>
      <c r="R185" s="52">
        <f>M186</f>
        <v>2822.7950000000028</v>
      </c>
      <c r="S185" s="51">
        <f>R186</f>
        <v>3812.041000000002</v>
      </c>
      <c r="T185" s="51">
        <f t="shared" si="317"/>
        <v>3370.0970000000025</v>
      </c>
      <c r="U185" s="51">
        <f t="shared" si="317"/>
        <v>5028.2050000000017</v>
      </c>
      <c r="V185" s="414"/>
      <c r="W185" s="277"/>
      <c r="X185" s="414"/>
      <c r="Y185" s="414"/>
      <c r="Z185" s="414"/>
      <c r="AA185" s="414"/>
      <c r="AB185" s="277"/>
      <c r="AC185" s="414"/>
      <c r="AD185" s="414"/>
      <c r="AE185" s="414"/>
      <c r="AF185" s="414"/>
      <c r="AG185" s="277"/>
      <c r="AH185" s="414"/>
      <c r="AI185" s="414"/>
      <c r="AJ185" s="414"/>
      <c r="AK185" s="414"/>
      <c r="AL185" s="277"/>
      <c r="AM185" s="414"/>
      <c r="AN185" s="414"/>
      <c r="AO185" s="414"/>
      <c r="AP185" s="414"/>
      <c r="AQ185" s="277"/>
      <c r="AR185" s="414"/>
      <c r="AS185" s="414"/>
      <c r="AT185" s="414"/>
      <c r="AU185" s="414"/>
      <c r="AV185" s="277"/>
      <c r="AW185" s="414"/>
      <c r="AX185" s="414"/>
      <c r="AY185" s="414"/>
      <c r="AZ185" s="414"/>
      <c r="BA185" s="277"/>
    </row>
    <row r="186" spans="2:53" ht="17.25" outlineLevel="1" x14ac:dyDescent="0.4">
      <c r="B186" s="106" t="s">
        <v>20</v>
      </c>
      <c r="C186" s="212"/>
      <c r="D186" s="54">
        <f>D184+D185</f>
        <v>1605.2439999999999</v>
      </c>
      <c r="E186" s="54">
        <f t="shared" ref="E186:W186" si="318">E184+E185</f>
        <v>1390.9250000000004</v>
      </c>
      <c r="F186" s="54">
        <f t="shared" si="318"/>
        <v>969.15800000000058</v>
      </c>
      <c r="G186" s="54">
        <f t="shared" si="318"/>
        <v>1467.5760000000009</v>
      </c>
      <c r="H186" s="55">
        <f t="shared" si="318"/>
        <v>1467.5760000000012</v>
      </c>
      <c r="I186" s="54">
        <f t="shared" si="318"/>
        <v>1077.824000000001</v>
      </c>
      <c r="J186" s="54">
        <f t="shared" si="318"/>
        <v>1918.7770000000012</v>
      </c>
      <c r="K186" s="54">
        <f t="shared" si="318"/>
        <v>1746.4690000000012</v>
      </c>
      <c r="L186" s="54">
        <f t="shared" si="318"/>
        <v>2822.7950000000014</v>
      </c>
      <c r="M186" s="55">
        <f t="shared" si="318"/>
        <v>2822.7950000000028</v>
      </c>
      <c r="N186" s="54">
        <f t="shared" si="318"/>
        <v>2599.4770000000021</v>
      </c>
      <c r="O186" s="54">
        <f t="shared" si="318"/>
        <v>3913.9940000000024</v>
      </c>
      <c r="P186" s="54">
        <f t="shared" si="318"/>
        <v>3078.5640000000017</v>
      </c>
      <c r="Q186" s="54">
        <f t="shared" si="318"/>
        <v>3812.0410000000011</v>
      </c>
      <c r="R186" s="55">
        <f>R184+R185</f>
        <v>3812.041000000002</v>
      </c>
      <c r="S186" s="54">
        <f>S184+S185</f>
        <v>3370.0970000000025</v>
      </c>
      <c r="T186" s="54">
        <f t="shared" si="318"/>
        <v>5028.2050000000017</v>
      </c>
      <c r="U186" s="54">
        <f t="shared" si="318"/>
        <v>4459.7210000000014</v>
      </c>
      <c r="V186" s="423"/>
      <c r="W186" s="282"/>
      <c r="X186" s="423"/>
      <c r="Y186" s="423"/>
      <c r="Z186" s="423"/>
      <c r="AA186" s="423"/>
      <c r="AB186" s="282"/>
      <c r="AC186" s="423"/>
      <c r="AD186" s="423"/>
      <c r="AE186" s="423"/>
      <c r="AF186" s="423"/>
      <c r="AG186" s="282"/>
      <c r="AH186" s="423"/>
      <c r="AI186" s="423"/>
      <c r="AJ186" s="423"/>
      <c r="AK186" s="423"/>
      <c r="AL186" s="282"/>
      <c r="AM186" s="423"/>
      <c r="AN186" s="423"/>
      <c r="AO186" s="423"/>
      <c r="AP186" s="423"/>
      <c r="AQ186" s="282"/>
      <c r="AR186" s="423"/>
      <c r="AS186" s="423"/>
      <c r="AT186" s="423"/>
      <c r="AU186" s="423"/>
      <c r="AV186" s="282"/>
      <c r="AW186" s="423"/>
      <c r="AX186" s="423"/>
      <c r="AY186" s="423"/>
      <c r="AZ186" s="423"/>
      <c r="BA186" s="282"/>
    </row>
    <row r="187" spans="2:53" ht="17.25" outlineLevel="1" x14ac:dyDescent="0.4">
      <c r="B187" s="63" t="s">
        <v>283</v>
      </c>
      <c r="C187" s="212"/>
      <c r="D187" s="51"/>
      <c r="E187" s="51"/>
      <c r="F187" s="51"/>
      <c r="G187" s="51"/>
      <c r="H187" s="52"/>
      <c r="I187" s="51"/>
      <c r="J187" s="51"/>
      <c r="K187" s="51"/>
      <c r="L187" s="51"/>
      <c r="M187" s="52"/>
      <c r="N187" s="51">
        <v>5.8109999999999999</v>
      </c>
      <c r="O187" s="51">
        <v>7.6369999999999996</v>
      </c>
      <c r="P187" s="51">
        <v>11.03</v>
      </c>
      <c r="Q187" s="51">
        <v>17.558</v>
      </c>
      <c r="R187" s="52">
        <f>+Q187</f>
        <v>17.558</v>
      </c>
      <c r="S187" s="276">
        <v>21.54</v>
      </c>
      <c r="T187" s="276">
        <v>23.958000000001849</v>
      </c>
      <c r="U187" s="276">
        <v>24.703000000001975</v>
      </c>
      <c r="V187" s="414"/>
      <c r="W187" s="277"/>
      <c r="X187" s="414"/>
      <c r="Y187" s="414"/>
      <c r="Z187" s="414"/>
      <c r="AA187" s="414"/>
      <c r="AB187" s="277"/>
      <c r="AC187" s="414"/>
      <c r="AD187" s="414"/>
      <c r="AE187" s="414"/>
      <c r="AF187" s="414"/>
      <c r="AG187" s="277"/>
      <c r="AH187" s="414"/>
      <c r="AI187" s="414"/>
      <c r="AJ187" s="414"/>
      <c r="AK187" s="414"/>
      <c r="AL187" s="277"/>
      <c r="AM187" s="414"/>
      <c r="AN187" s="414"/>
      <c r="AO187" s="414"/>
      <c r="AP187" s="414"/>
      <c r="AQ187" s="277"/>
      <c r="AR187" s="414"/>
      <c r="AS187" s="414"/>
      <c r="AT187" s="414"/>
      <c r="AU187" s="414"/>
      <c r="AV187" s="277"/>
      <c r="AW187" s="414"/>
      <c r="AX187" s="414"/>
      <c r="AY187" s="414"/>
      <c r="AZ187" s="414"/>
      <c r="BA187" s="277"/>
    </row>
    <row r="188" spans="2:53" outlineLevel="1" x14ac:dyDescent="0.25">
      <c r="B188" s="364" t="s">
        <v>282</v>
      </c>
      <c r="C188" s="365"/>
      <c r="D188" s="57">
        <f>D186+D187</f>
        <v>1605.2439999999999</v>
      </c>
      <c r="E188" s="57">
        <f t="shared" ref="E188:M188" si="319">E186+E187</f>
        <v>1390.9250000000004</v>
      </c>
      <c r="F188" s="57">
        <f t="shared" si="319"/>
        <v>969.15800000000058</v>
      </c>
      <c r="G188" s="57">
        <f t="shared" si="319"/>
        <v>1467.5760000000009</v>
      </c>
      <c r="H188" s="58">
        <f t="shared" si="319"/>
        <v>1467.5760000000012</v>
      </c>
      <c r="I188" s="57">
        <f t="shared" si="319"/>
        <v>1077.824000000001</v>
      </c>
      <c r="J188" s="57">
        <f t="shared" si="319"/>
        <v>1918.7770000000012</v>
      </c>
      <c r="K188" s="57">
        <f t="shared" si="319"/>
        <v>1746.4690000000012</v>
      </c>
      <c r="L188" s="57">
        <f t="shared" si="319"/>
        <v>2822.7950000000014</v>
      </c>
      <c r="M188" s="58">
        <f t="shared" si="319"/>
        <v>2822.7950000000028</v>
      </c>
      <c r="N188" s="57">
        <f>N186-N187</f>
        <v>2593.666000000002</v>
      </c>
      <c r="O188" s="57">
        <f>O186-O187</f>
        <v>3906.3570000000022</v>
      </c>
      <c r="P188" s="57">
        <f t="shared" ref="P188:W188" si="320">P186-P187</f>
        <v>3067.5340000000015</v>
      </c>
      <c r="Q188" s="57">
        <f t="shared" si="320"/>
        <v>3794.4830000000011</v>
      </c>
      <c r="R188" s="58">
        <f t="shared" si="320"/>
        <v>3794.483000000002</v>
      </c>
      <c r="S188" s="57">
        <f t="shared" si="320"/>
        <v>3348.5570000000025</v>
      </c>
      <c r="T188" s="57">
        <f t="shared" si="320"/>
        <v>5004.2470000000003</v>
      </c>
      <c r="U188" s="57">
        <f t="shared" si="320"/>
        <v>4435.0179999999991</v>
      </c>
      <c r="V188" s="417"/>
      <c r="W188" s="278"/>
      <c r="X188" s="417"/>
      <c r="Y188" s="417"/>
      <c r="Z188" s="417"/>
      <c r="AA188" s="417"/>
      <c r="AB188" s="278"/>
      <c r="AC188" s="417"/>
      <c r="AD188" s="417"/>
      <c r="AE188" s="417"/>
      <c r="AF188" s="417"/>
      <c r="AG188" s="278"/>
      <c r="AH188" s="417"/>
      <c r="AI188" s="417"/>
      <c r="AJ188" s="417"/>
      <c r="AK188" s="417"/>
      <c r="AL188" s="278"/>
      <c r="AM188" s="417"/>
      <c r="AN188" s="417"/>
      <c r="AO188" s="417"/>
      <c r="AP188" s="417"/>
      <c r="AQ188" s="278"/>
      <c r="AR188" s="417"/>
      <c r="AS188" s="417"/>
      <c r="AT188" s="417"/>
      <c r="AU188" s="417"/>
      <c r="AV188" s="278"/>
      <c r="AW188" s="417"/>
      <c r="AX188" s="417"/>
      <c r="AY188" s="417"/>
      <c r="AZ188" s="417"/>
      <c r="BA188" s="278"/>
    </row>
    <row r="189" spans="2:53" s="56" customFormat="1" outlineLevel="1" x14ac:dyDescent="0.25">
      <c r="B189" s="388" t="s">
        <v>258</v>
      </c>
      <c r="C189" s="389"/>
      <c r="D189" s="217"/>
      <c r="E189" s="217"/>
      <c r="F189" s="217"/>
      <c r="G189" s="217"/>
      <c r="H189" s="188"/>
      <c r="I189" s="217"/>
      <c r="J189" s="217"/>
      <c r="K189" s="217"/>
      <c r="L189" s="217"/>
      <c r="M189" s="188"/>
      <c r="N189" s="217"/>
      <c r="O189" s="217"/>
      <c r="P189" s="217"/>
      <c r="Q189" s="217"/>
      <c r="R189" s="188"/>
      <c r="S189" s="217"/>
      <c r="T189" s="217"/>
      <c r="U189" s="217"/>
      <c r="V189" s="417"/>
      <c r="W189" s="278"/>
      <c r="X189" s="417"/>
      <c r="Y189" s="417"/>
      <c r="Z189" s="417"/>
      <c r="AA189" s="417"/>
      <c r="AB189" s="278"/>
      <c r="AC189" s="417"/>
      <c r="AD189" s="417"/>
      <c r="AE189" s="417"/>
      <c r="AF189" s="417"/>
      <c r="AG189" s="278"/>
      <c r="AH189" s="417"/>
      <c r="AI189" s="417"/>
      <c r="AJ189" s="417"/>
      <c r="AK189" s="417"/>
      <c r="AL189" s="278"/>
      <c r="AM189" s="417"/>
      <c r="AN189" s="417"/>
      <c r="AO189" s="417"/>
      <c r="AP189" s="417"/>
      <c r="AQ189" s="278"/>
      <c r="AR189" s="417"/>
      <c r="AS189" s="417"/>
      <c r="AT189" s="417"/>
      <c r="AU189" s="417"/>
      <c r="AV189" s="278"/>
      <c r="AW189" s="417"/>
      <c r="AX189" s="417"/>
      <c r="AY189" s="417"/>
      <c r="AZ189" s="417"/>
      <c r="BA189" s="278"/>
    </row>
    <row r="190" spans="2:53" outlineLevel="1" x14ac:dyDescent="0.25">
      <c r="B190" s="216" t="s">
        <v>259</v>
      </c>
      <c r="C190" s="64"/>
      <c r="D190" s="117">
        <f>+D167</f>
        <v>-228.58999999999995</v>
      </c>
      <c r="E190" s="117">
        <f t="shared" ref="E190:W190" si="321">+E167</f>
        <v>-226.29299999999944</v>
      </c>
      <c r="F190" s="117">
        <f t="shared" si="321"/>
        <v>-461.9409999999998</v>
      </c>
      <c r="G190" s="117">
        <f t="shared" si="321"/>
        <v>-557.15999999999974</v>
      </c>
      <c r="H190" s="118">
        <f t="shared" si="321"/>
        <v>-1473.983999999999</v>
      </c>
      <c r="I190" s="117">
        <f t="shared" si="321"/>
        <v>-343.85599999999988</v>
      </c>
      <c r="J190" s="117">
        <f t="shared" si="321"/>
        <v>-534.52800000000002</v>
      </c>
      <c r="K190" s="117">
        <f t="shared" si="321"/>
        <v>-419.60699999999997</v>
      </c>
      <c r="L190" s="117">
        <f t="shared" si="321"/>
        <v>-487.95699999999982</v>
      </c>
      <c r="M190" s="118">
        <f t="shared" si="321"/>
        <v>-1785.9479999999994</v>
      </c>
      <c r="N190" s="117">
        <f t="shared" si="321"/>
        <v>-236.75699999999927</v>
      </c>
      <c r="O190" s="117">
        <f t="shared" si="321"/>
        <v>-518.23899999999981</v>
      </c>
      <c r="P190" s="117">
        <f t="shared" si="321"/>
        <v>-690.41100000000063</v>
      </c>
      <c r="Q190" s="117">
        <f t="shared" si="321"/>
        <v>-1235.0720000000003</v>
      </c>
      <c r="R190" s="118">
        <f t="shared" si="321"/>
        <v>-2680.4790000000007</v>
      </c>
      <c r="S190" s="117">
        <f t="shared" si="321"/>
        <v>-379.79899999999969</v>
      </c>
      <c r="T190" s="117">
        <f>+T167</f>
        <v>-543.75400000000081</v>
      </c>
      <c r="U190" s="117">
        <f t="shared" si="321"/>
        <v>-501.79399999999987</v>
      </c>
      <c r="V190" s="411"/>
      <c r="W190" s="271"/>
      <c r="X190" s="411"/>
      <c r="Y190" s="411"/>
      <c r="Z190" s="411"/>
      <c r="AA190" s="411"/>
      <c r="AB190" s="271"/>
      <c r="AC190" s="411"/>
      <c r="AD190" s="411"/>
      <c r="AE190" s="411"/>
      <c r="AF190" s="411"/>
      <c r="AG190" s="271"/>
      <c r="AH190" s="411"/>
      <c r="AI190" s="411"/>
      <c r="AJ190" s="411"/>
      <c r="AK190" s="411"/>
      <c r="AL190" s="271"/>
      <c r="AM190" s="411"/>
      <c r="AN190" s="411"/>
      <c r="AO190" s="411"/>
      <c r="AP190" s="411"/>
      <c r="AQ190" s="271"/>
      <c r="AR190" s="411"/>
      <c r="AS190" s="411"/>
      <c r="AT190" s="411"/>
      <c r="AU190" s="411"/>
      <c r="AV190" s="271"/>
      <c r="AW190" s="411"/>
      <c r="AX190" s="411"/>
      <c r="AY190" s="411"/>
      <c r="AZ190" s="411"/>
      <c r="BA190" s="271"/>
    </row>
    <row r="191" spans="2:53" ht="17.25" outlineLevel="1" x14ac:dyDescent="0.4">
      <c r="B191" s="216" t="s">
        <v>250</v>
      </c>
      <c r="C191" s="64"/>
      <c r="D191" s="117">
        <f>+D169</f>
        <v>-23.207000000000001</v>
      </c>
      <c r="E191" s="117">
        <f t="shared" ref="E191:W191" si="322">+E169</f>
        <v>-17.923999999999999</v>
      </c>
      <c r="F191" s="117">
        <f t="shared" si="322"/>
        <v>-17.248999999999999</v>
      </c>
      <c r="G191" s="117">
        <f t="shared" si="322"/>
        <v>-18.797000000000001</v>
      </c>
      <c r="H191" s="118">
        <f t="shared" si="322"/>
        <v>-77.176999999999992</v>
      </c>
      <c r="I191" s="117">
        <f t="shared" si="322"/>
        <v>-25.372</v>
      </c>
      <c r="J191" s="117">
        <f t="shared" si="322"/>
        <v>-7.6239999999999997</v>
      </c>
      <c r="K191" s="117">
        <f t="shared" si="322"/>
        <v>-10.217000000000001</v>
      </c>
      <c r="L191" s="117">
        <f t="shared" si="322"/>
        <v>-10.507</v>
      </c>
      <c r="M191" s="118">
        <f t="shared" si="322"/>
        <v>-53.72</v>
      </c>
      <c r="N191" s="117">
        <f t="shared" si="322"/>
        <v>-10.795999999999999</v>
      </c>
      <c r="O191" s="117">
        <f t="shared" si="322"/>
        <v>-12.552</v>
      </c>
      <c r="P191" s="117">
        <f t="shared" si="322"/>
        <v>-7.7309999999999999</v>
      </c>
      <c r="Q191" s="117">
        <f t="shared" si="322"/>
        <v>-7.5069999999999997</v>
      </c>
      <c r="R191" s="118">
        <f t="shared" si="322"/>
        <v>-38.585999999999999</v>
      </c>
      <c r="S191" s="117">
        <f t="shared" si="322"/>
        <v>-9.17</v>
      </c>
      <c r="T191" s="117">
        <f t="shared" si="322"/>
        <v>-7.798</v>
      </c>
      <c r="U191" s="117">
        <f t="shared" si="322"/>
        <v>-4.6340000000000003</v>
      </c>
      <c r="V191" s="411"/>
      <c r="W191" s="271"/>
      <c r="X191" s="411"/>
      <c r="Y191" s="398" t="s">
        <v>344</v>
      </c>
      <c r="Z191" s="400"/>
      <c r="AA191" s="275"/>
      <c r="AB191" s="271"/>
      <c r="AC191" s="275"/>
      <c r="AD191" s="398" t="s">
        <v>344</v>
      </c>
      <c r="AE191" s="400"/>
      <c r="AF191" s="423"/>
      <c r="AG191" s="282"/>
      <c r="AH191" s="423"/>
      <c r="AI191" s="398" t="s">
        <v>344</v>
      </c>
      <c r="AJ191" s="400"/>
      <c r="AK191" s="424"/>
      <c r="AL191" s="282"/>
      <c r="AM191" s="424"/>
      <c r="AN191" s="398" t="s">
        <v>344</v>
      </c>
      <c r="AO191" s="400"/>
      <c r="AP191" s="424"/>
      <c r="AQ191" s="55"/>
      <c r="AR191" s="424"/>
      <c r="AS191" s="398" t="s">
        <v>344</v>
      </c>
      <c r="AT191" s="400"/>
      <c r="AU191" s="424"/>
      <c r="AV191" s="55"/>
      <c r="AW191" s="424"/>
      <c r="AX191" s="398" t="s">
        <v>344</v>
      </c>
      <c r="AY191" s="400"/>
      <c r="AZ191" s="411"/>
      <c r="BA191" s="271"/>
    </row>
    <row r="192" spans="2:53" ht="17.25" outlineLevel="1" x14ac:dyDescent="0.4">
      <c r="B192" s="216" t="s">
        <v>251</v>
      </c>
      <c r="C192" s="64"/>
      <c r="D192" s="117">
        <f>+D170</f>
        <v>-8.4250000000000007</v>
      </c>
      <c r="E192" s="117">
        <f t="shared" ref="E192:W192" si="323">+E170</f>
        <v>-10.814</v>
      </c>
      <c r="F192" s="117">
        <f t="shared" si="323"/>
        <v>-27.366</v>
      </c>
      <c r="G192" s="117">
        <f t="shared" si="323"/>
        <v>-61.048000000000002</v>
      </c>
      <c r="H192" s="118">
        <f t="shared" si="323"/>
        <v>-107.65300000000001</v>
      </c>
      <c r="I192" s="117">
        <f t="shared" si="323"/>
        <v>-52.523000000000003</v>
      </c>
      <c r="J192" s="117">
        <f t="shared" si="323"/>
        <v>-65.230999999999995</v>
      </c>
      <c r="K192" s="117">
        <f t="shared" si="323"/>
        <v>-33.963000000000001</v>
      </c>
      <c r="L192" s="117">
        <f t="shared" si="323"/>
        <v>-21.585000000000001</v>
      </c>
      <c r="M192" s="118">
        <f t="shared" si="323"/>
        <v>-173.30199999999999</v>
      </c>
      <c r="N192" s="117">
        <f t="shared" si="323"/>
        <v>-37.17</v>
      </c>
      <c r="O192" s="117">
        <f t="shared" si="323"/>
        <v>-27.323</v>
      </c>
      <c r="P192" s="117">
        <f t="shared" si="323"/>
        <v>-39.332999999999998</v>
      </c>
      <c r="Q192" s="117">
        <f t="shared" si="323"/>
        <v>-70.12</v>
      </c>
      <c r="R192" s="118">
        <f t="shared" si="323"/>
        <v>-173.946</v>
      </c>
      <c r="S192" s="117">
        <f t="shared" si="323"/>
        <v>-60.381</v>
      </c>
      <c r="T192" s="117">
        <f t="shared" si="323"/>
        <v>-39.584000000000003</v>
      </c>
      <c r="U192" s="117">
        <f t="shared" si="323"/>
        <v>-45.332999999999998</v>
      </c>
      <c r="V192" s="411"/>
      <c r="W192" s="271"/>
      <c r="X192" s="411"/>
      <c r="Y192" s="401"/>
      <c r="Z192" s="403"/>
      <c r="AA192" s="276"/>
      <c r="AB192" s="277"/>
      <c r="AC192" s="276"/>
      <c r="AD192" s="401"/>
      <c r="AE192" s="403"/>
      <c r="AF192" s="417"/>
      <c r="AG192" s="278"/>
      <c r="AH192" s="417"/>
      <c r="AI192" s="401"/>
      <c r="AJ192" s="403"/>
      <c r="AK192" s="418"/>
      <c r="AL192" s="278"/>
      <c r="AM192" s="418"/>
      <c r="AN192" s="401"/>
      <c r="AO192" s="403"/>
      <c r="AP192" s="418"/>
      <c r="AQ192" s="58"/>
      <c r="AR192" s="418"/>
      <c r="AS192" s="401"/>
      <c r="AT192" s="403"/>
      <c r="AU192" s="418"/>
      <c r="AV192" s="58"/>
      <c r="AW192" s="418"/>
      <c r="AX192" s="401"/>
      <c r="AY192" s="403"/>
      <c r="AZ192" s="411"/>
      <c r="BA192" s="271"/>
    </row>
    <row r="193" spans="1:53" ht="17.25" outlineLevel="1" x14ac:dyDescent="0.4">
      <c r="B193" s="216" t="s">
        <v>252</v>
      </c>
      <c r="C193" s="64"/>
      <c r="D193" s="119">
        <f>+D171</f>
        <v>-0.35599999999999998</v>
      </c>
      <c r="E193" s="119">
        <f t="shared" ref="E193:W193" si="324">+E171</f>
        <v>0.90700000000000003</v>
      </c>
      <c r="F193" s="119">
        <f t="shared" si="324"/>
        <v>0.125</v>
      </c>
      <c r="G193" s="119">
        <f t="shared" si="324"/>
        <v>-1.617</v>
      </c>
      <c r="H193" s="120">
        <f t="shared" si="324"/>
        <v>-0.94099999999999995</v>
      </c>
      <c r="I193" s="119">
        <f t="shared" si="324"/>
        <v>-0.76900000000000002</v>
      </c>
      <c r="J193" s="119">
        <f t="shared" si="324"/>
        <v>-1.0640000000000001</v>
      </c>
      <c r="K193" s="119">
        <f t="shared" si="324"/>
        <v>-1.107</v>
      </c>
      <c r="L193" s="119">
        <f t="shared" si="324"/>
        <v>-3.7490000000000001</v>
      </c>
      <c r="M193" s="120">
        <f t="shared" si="324"/>
        <v>-6.6890000000000001</v>
      </c>
      <c r="N193" s="119">
        <f t="shared" si="324"/>
        <v>-1.786</v>
      </c>
      <c r="O193" s="119">
        <f t="shared" si="324"/>
        <v>-0.441</v>
      </c>
      <c r="P193" s="119">
        <f t="shared" si="324"/>
        <v>-121.63</v>
      </c>
      <c r="Q193" s="119">
        <f t="shared" si="324"/>
        <v>-2.7309999999999999</v>
      </c>
      <c r="R193" s="120">
        <f t="shared" si="324"/>
        <v>-126.58799999999999</v>
      </c>
      <c r="S193" s="119">
        <f t="shared" si="324"/>
        <v>-10.552</v>
      </c>
      <c r="T193" s="119">
        <f t="shared" si="324"/>
        <v>-2.6539999999999999</v>
      </c>
      <c r="U193" s="119">
        <f t="shared" si="324"/>
        <v>0.61299999999999999</v>
      </c>
      <c r="V193" s="414"/>
      <c r="W193" s="277"/>
      <c r="X193" s="414"/>
      <c r="Y193" s="401"/>
      <c r="Z193" s="403"/>
      <c r="AA193" s="269"/>
      <c r="AB193" s="278"/>
      <c r="AC193" s="269"/>
      <c r="AD193" s="401"/>
      <c r="AE193" s="403"/>
      <c r="AF193" s="426"/>
      <c r="AG193" s="427"/>
      <c r="AH193" s="426"/>
      <c r="AI193" s="401"/>
      <c r="AJ193" s="403"/>
      <c r="AK193" s="428"/>
      <c r="AL193" s="427"/>
      <c r="AM193" s="428"/>
      <c r="AN193" s="401"/>
      <c r="AO193" s="403"/>
      <c r="AP193" s="428"/>
      <c r="AQ193" s="429"/>
      <c r="AR193" s="428"/>
      <c r="AS193" s="401"/>
      <c r="AT193" s="403"/>
      <c r="AU193" s="428"/>
      <c r="AV193" s="429"/>
      <c r="AW193" s="428"/>
      <c r="AX193" s="401"/>
      <c r="AY193" s="403"/>
      <c r="AZ193" s="414"/>
      <c r="BA193" s="277"/>
    </row>
    <row r="194" spans="1:53" s="56" customFormat="1" ht="17.25" outlineLevel="1" x14ac:dyDescent="0.4">
      <c r="A194" s="320"/>
      <c r="B194" s="360" t="s">
        <v>258</v>
      </c>
      <c r="C194" s="361"/>
      <c r="D194" s="111">
        <f>+SUM(D190:D193)</f>
        <v>-260.57799999999992</v>
      </c>
      <c r="E194" s="111">
        <f t="shared" ref="E194:W194" si="325">+SUM(E190:E193)</f>
        <v>-254.12399999999943</v>
      </c>
      <c r="F194" s="111">
        <f t="shared" si="325"/>
        <v>-506.43099999999981</v>
      </c>
      <c r="G194" s="111">
        <f t="shared" si="325"/>
        <v>-638.62199999999973</v>
      </c>
      <c r="H194" s="112">
        <f t="shared" si="325"/>
        <v>-1659.754999999999</v>
      </c>
      <c r="I194" s="111">
        <f t="shared" si="325"/>
        <v>-422.51999999999992</v>
      </c>
      <c r="J194" s="111">
        <f t="shared" si="325"/>
        <v>-608.447</v>
      </c>
      <c r="K194" s="111">
        <f t="shared" si="325"/>
        <v>-464.89400000000001</v>
      </c>
      <c r="L194" s="111">
        <f t="shared" si="325"/>
        <v>-523.79799999999989</v>
      </c>
      <c r="M194" s="112">
        <f t="shared" si="325"/>
        <v>-2019.6589999999994</v>
      </c>
      <c r="N194" s="111">
        <f t="shared" si="325"/>
        <v>-286.50899999999928</v>
      </c>
      <c r="O194" s="111">
        <f t="shared" si="325"/>
        <v>-558.55499999999984</v>
      </c>
      <c r="P194" s="111">
        <f t="shared" si="325"/>
        <v>-859.10500000000059</v>
      </c>
      <c r="Q194" s="111">
        <f t="shared" si="325"/>
        <v>-1315.4300000000005</v>
      </c>
      <c r="R194" s="112">
        <f t="shared" si="325"/>
        <v>-3019.5990000000006</v>
      </c>
      <c r="S194" s="111">
        <f t="shared" si="325"/>
        <v>-459.9019999999997</v>
      </c>
      <c r="T194" s="111">
        <f t="shared" si="325"/>
        <v>-593.79000000000087</v>
      </c>
      <c r="U194" s="111">
        <f t="shared" si="325"/>
        <v>-551.1479999999998</v>
      </c>
      <c r="V194" s="417"/>
      <c r="W194" s="278"/>
      <c r="X194" s="417"/>
      <c r="Y194" s="437"/>
      <c r="Z194" s="438"/>
      <c r="AA194" s="275"/>
      <c r="AB194" s="271"/>
      <c r="AC194" s="275"/>
      <c r="AD194" s="437"/>
      <c r="AE194" s="438"/>
      <c r="AF194" s="431"/>
      <c r="AG194" s="286"/>
      <c r="AH194" s="431"/>
      <c r="AI194" s="437"/>
      <c r="AJ194" s="438"/>
      <c r="AK194" s="432"/>
      <c r="AL194" s="286"/>
      <c r="AM194" s="432"/>
      <c r="AN194" s="437"/>
      <c r="AO194" s="438"/>
      <c r="AP194" s="432"/>
      <c r="AQ194" s="254"/>
      <c r="AR194" s="432"/>
      <c r="AS194" s="437"/>
      <c r="AT194" s="438"/>
      <c r="AU194" s="432"/>
      <c r="AV194" s="254"/>
      <c r="AW194" s="432"/>
      <c r="AX194" s="437"/>
      <c r="AY194" s="438"/>
      <c r="AZ194" s="417"/>
      <c r="BA194" s="278"/>
    </row>
    <row r="195" spans="1:53" s="59" customFormat="1" outlineLevel="1" x14ac:dyDescent="0.25">
      <c r="A195" s="307"/>
      <c r="B195" s="71" t="s">
        <v>50</v>
      </c>
      <c r="C195" s="64"/>
      <c r="D195" s="117"/>
      <c r="E195" s="117"/>
      <c r="F195" s="117"/>
      <c r="G195" s="117"/>
      <c r="H195" s="118">
        <v>0</v>
      </c>
      <c r="I195" s="117"/>
      <c r="J195" s="117"/>
      <c r="K195" s="117"/>
      <c r="L195" s="117"/>
      <c r="M195" s="118">
        <v>0</v>
      </c>
      <c r="N195" s="117"/>
      <c r="O195" s="117"/>
      <c r="P195" s="117"/>
      <c r="Q195" s="117"/>
      <c r="R195" s="118">
        <v>0</v>
      </c>
      <c r="S195" s="117"/>
      <c r="T195" s="117"/>
      <c r="U195" s="117"/>
      <c r="V195" s="411"/>
      <c r="W195" s="271"/>
      <c r="X195" s="411"/>
      <c r="Y195" s="411"/>
      <c r="Z195" s="411"/>
      <c r="AA195" s="411"/>
      <c r="AB195" s="271"/>
      <c r="AC195" s="411"/>
      <c r="AD195" s="411"/>
      <c r="AE195" s="411"/>
      <c r="AF195" s="411"/>
      <c r="AG195" s="271"/>
      <c r="AH195" s="411"/>
      <c r="AI195" s="411"/>
      <c r="AJ195" s="411"/>
      <c r="AK195" s="411"/>
      <c r="AL195" s="271"/>
      <c r="AM195" s="411"/>
      <c r="AN195" s="411"/>
      <c r="AO195" s="411"/>
      <c r="AP195" s="411"/>
      <c r="AQ195" s="271"/>
      <c r="AR195" s="411"/>
      <c r="AS195" s="411"/>
      <c r="AT195" s="411"/>
      <c r="AU195" s="411"/>
      <c r="AV195" s="271"/>
      <c r="AW195" s="411"/>
      <c r="AX195" s="411"/>
      <c r="AY195" s="411"/>
      <c r="AZ195" s="411"/>
      <c r="BA195" s="271"/>
    </row>
    <row r="196" spans="1:53" s="59" customFormat="1" outlineLevel="1" x14ac:dyDescent="0.25">
      <c r="B196" s="358" t="s">
        <v>27</v>
      </c>
      <c r="C196" s="359"/>
      <c r="D196" s="121"/>
      <c r="E196" s="121"/>
      <c r="F196" s="121"/>
      <c r="G196" s="121"/>
      <c r="H196" s="184"/>
      <c r="I196" s="121"/>
      <c r="J196" s="121"/>
      <c r="K196" s="121"/>
      <c r="L196" s="121"/>
      <c r="M196" s="122"/>
      <c r="N196" s="121">
        <f t="shared" ref="N196" si="326">N194/(1+$C$233)^N195</f>
        <v>-286.50899999999928</v>
      </c>
      <c r="O196" s="121">
        <f t="shared" ref="O196" si="327">O194/(1+$C$233)^O195</f>
        <v>-558.55499999999984</v>
      </c>
      <c r="P196" s="121">
        <f t="shared" ref="P196" si="328">P194/(1+$C$233)^P195</f>
        <v>-859.10500000000059</v>
      </c>
      <c r="Q196" s="121">
        <f t="shared" ref="Q196" si="329">Q194/(1+$C$233)^Q195</f>
        <v>-1315.4300000000005</v>
      </c>
      <c r="R196" s="122">
        <f t="shared" ref="R196" si="330">R194/(1+$C$233)^R195</f>
        <v>-3019.5990000000006</v>
      </c>
      <c r="S196" s="121">
        <f t="shared" ref="S196:V196" si="331">S194/(1+$C$233)^S195</f>
        <v>-459.9019999999997</v>
      </c>
      <c r="T196" s="121">
        <f t="shared" si="331"/>
        <v>-593.79000000000087</v>
      </c>
      <c r="U196" s="121">
        <f t="shared" si="331"/>
        <v>-551.1479999999998</v>
      </c>
      <c r="V196" s="411"/>
      <c r="W196" s="271"/>
      <c r="X196" s="411"/>
      <c r="Y196" s="411"/>
      <c r="Z196" s="411"/>
      <c r="AA196" s="411"/>
      <c r="AB196" s="271"/>
      <c r="AC196" s="411"/>
      <c r="AD196" s="411"/>
      <c r="AE196" s="411"/>
      <c r="AF196" s="411"/>
      <c r="AG196" s="271"/>
      <c r="AH196" s="411"/>
      <c r="AI196" s="411"/>
      <c r="AJ196" s="411"/>
      <c r="AK196" s="411"/>
      <c r="AL196" s="271"/>
      <c r="AM196" s="411"/>
      <c r="AN196" s="411"/>
      <c r="AO196" s="411"/>
      <c r="AP196" s="411"/>
      <c r="AQ196" s="271"/>
      <c r="AR196" s="411"/>
      <c r="AS196" s="411"/>
      <c r="AT196" s="411"/>
      <c r="AU196" s="411"/>
      <c r="AV196" s="271"/>
      <c r="AW196" s="411"/>
      <c r="AX196" s="411"/>
      <c r="AY196" s="411"/>
      <c r="AZ196" s="411"/>
      <c r="BA196" s="271"/>
    </row>
    <row r="197" spans="1:53" outlineLevel="1" x14ac:dyDescent="0.25">
      <c r="B197" s="88" t="s">
        <v>60</v>
      </c>
      <c r="C197" s="105"/>
      <c r="D197" s="94"/>
      <c r="E197" s="33"/>
      <c r="F197" s="33"/>
      <c r="G197" s="33"/>
      <c r="H197" s="34"/>
      <c r="I197" s="33"/>
      <c r="J197" s="33"/>
      <c r="K197" s="33"/>
      <c r="L197" s="33"/>
      <c r="M197" s="34"/>
      <c r="N197" s="33"/>
      <c r="O197" s="33"/>
      <c r="P197" s="33"/>
      <c r="Q197" s="33"/>
      <c r="R197" s="34"/>
      <c r="S197" s="33"/>
      <c r="T197" s="33"/>
      <c r="U197" s="33"/>
      <c r="V197" s="420"/>
      <c r="W197" s="484"/>
      <c r="X197" s="420"/>
      <c r="Y197" s="420"/>
      <c r="Z197" s="420"/>
      <c r="AA197" s="420"/>
      <c r="AB197" s="484"/>
      <c r="AC197" s="420"/>
      <c r="AD197" s="420"/>
      <c r="AE197" s="420"/>
      <c r="AF197" s="420"/>
      <c r="AG197" s="484"/>
      <c r="AH197" s="420"/>
      <c r="AI197" s="420"/>
      <c r="AJ197" s="420"/>
      <c r="AK197" s="420"/>
      <c r="AL197" s="484"/>
      <c r="AM197" s="420"/>
      <c r="AN197" s="420"/>
      <c r="AO197" s="420"/>
      <c r="AP197" s="420"/>
      <c r="AQ197" s="484"/>
      <c r="AR197" s="420"/>
      <c r="AS197" s="420"/>
      <c r="AT197" s="420"/>
      <c r="AU197" s="420"/>
      <c r="AV197" s="484"/>
      <c r="AW197" s="420"/>
      <c r="AX197" s="420"/>
      <c r="AY197" s="420"/>
      <c r="AZ197" s="420"/>
      <c r="BA197" s="484"/>
    </row>
    <row r="198" spans="1:53" outlineLevel="1" x14ac:dyDescent="0.25">
      <c r="B198" s="99" t="s">
        <v>77</v>
      </c>
      <c r="C198" s="100"/>
      <c r="D198" s="46">
        <f t="shared" ref="D198:AQ198" si="332">+D108+D109</f>
        <v>2072.471</v>
      </c>
      <c r="E198" s="46">
        <f t="shared" si="332"/>
        <v>1834.2280000000001</v>
      </c>
      <c r="F198" s="46">
        <f t="shared" si="332"/>
        <v>1343.2560000000001</v>
      </c>
      <c r="G198" s="46">
        <f t="shared" si="332"/>
        <v>1733.7820000000002</v>
      </c>
      <c r="H198" s="47">
        <f t="shared" si="332"/>
        <v>1733.7820000000002</v>
      </c>
      <c r="I198" s="46">
        <f t="shared" si="332"/>
        <v>1341.229</v>
      </c>
      <c r="J198" s="46">
        <f t="shared" si="332"/>
        <v>2164.902</v>
      </c>
      <c r="K198" s="46">
        <f t="shared" si="332"/>
        <v>1746.4690000000001</v>
      </c>
      <c r="L198" s="46">
        <f t="shared" si="332"/>
        <v>2822.7950000000001</v>
      </c>
      <c r="M198" s="47">
        <f t="shared" si="332"/>
        <v>2822.7950000000001</v>
      </c>
      <c r="N198" s="46">
        <f t="shared" si="332"/>
        <v>2593.6660000000002</v>
      </c>
      <c r="O198" s="46">
        <f t="shared" si="332"/>
        <v>3906.357</v>
      </c>
      <c r="P198" s="46">
        <f t="shared" si="332"/>
        <v>3067.5340000000001</v>
      </c>
      <c r="Q198" s="46">
        <f t="shared" si="332"/>
        <v>3794.4830000000002</v>
      </c>
      <c r="R198" s="47">
        <f t="shared" si="332"/>
        <v>3794.4830000000002</v>
      </c>
      <c r="S198" s="46">
        <f t="shared" si="332"/>
        <v>3348.5570000000025</v>
      </c>
      <c r="T198" s="46">
        <f t="shared" si="332"/>
        <v>5004.2470000000003</v>
      </c>
      <c r="U198" s="46">
        <f t="shared" si="332"/>
        <v>4435.0179999999991</v>
      </c>
      <c r="V198" s="411"/>
      <c r="W198" s="271"/>
      <c r="X198" s="411"/>
      <c r="Y198" s="411"/>
      <c r="Z198" s="411"/>
      <c r="AA198" s="411"/>
      <c r="AB198" s="271"/>
      <c r="AC198" s="411"/>
      <c r="AD198" s="411"/>
      <c r="AE198" s="411"/>
      <c r="AF198" s="411"/>
      <c r="AG198" s="271"/>
      <c r="AH198" s="411"/>
      <c r="AI198" s="411"/>
      <c r="AJ198" s="411"/>
      <c r="AK198" s="411"/>
      <c r="AL198" s="271"/>
      <c r="AM198" s="411"/>
      <c r="AN198" s="411"/>
      <c r="AO198" s="411"/>
      <c r="AP198" s="411"/>
      <c r="AQ198" s="271"/>
      <c r="AR198" s="411"/>
      <c r="AS198" s="411"/>
      <c r="AT198" s="411"/>
      <c r="AU198" s="411"/>
      <c r="AV198" s="271"/>
      <c r="AW198" s="411"/>
      <c r="AX198" s="411"/>
      <c r="AY198" s="411"/>
      <c r="AZ198" s="411"/>
      <c r="BA198" s="271"/>
    </row>
    <row r="199" spans="1:53" outlineLevel="1" x14ac:dyDescent="0.25">
      <c r="B199" s="99" t="s">
        <v>76</v>
      </c>
      <c r="C199" s="100"/>
      <c r="D199" s="46">
        <f t="shared" ref="D199:AQ199" si="333">+D124</f>
        <v>2372.2179999999998</v>
      </c>
      <c r="E199" s="46">
        <f t="shared" si="333"/>
        <v>2373.085</v>
      </c>
      <c r="F199" s="46">
        <f t="shared" si="333"/>
        <v>2373.9659999999999</v>
      </c>
      <c r="G199" s="46">
        <f t="shared" si="333"/>
        <v>3364.3110000000001</v>
      </c>
      <c r="H199" s="47">
        <f t="shared" si="333"/>
        <v>3364.3110000000001</v>
      </c>
      <c r="I199" s="46">
        <f t="shared" si="333"/>
        <v>3365.431</v>
      </c>
      <c r="J199" s="46">
        <f t="shared" si="333"/>
        <v>4836.5020000000004</v>
      </c>
      <c r="K199" s="46">
        <f t="shared" si="333"/>
        <v>4888.7830000000004</v>
      </c>
      <c r="L199" s="46">
        <f t="shared" si="333"/>
        <v>6499.4319999999998</v>
      </c>
      <c r="M199" s="47">
        <f t="shared" si="333"/>
        <v>6499.4319999999998</v>
      </c>
      <c r="N199" s="46">
        <f t="shared" si="333"/>
        <v>6542.3729999999996</v>
      </c>
      <c r="O199" s="46">
        <f t="shared" si="333"/>
        <v>8342.0669999999991</v>
      </c>
      <c r="P199" s="46">
        <f t="shared" si="333"/>
        <v>8336.5859999999993</v>
      </c>
      <c r="Q199" s="46">
        <f t="shared" si="333"/>
        <v>10360.058000000001</v>
      </c>
      <c r="R199" s="47">
        <f t="shared" si="333"/>
        <v>10360.058000000001</v>
      </c>
      <c r="S199" s="46">
        <f t="shared" si="333"/>
        <v>10305.022999999999</v>
      </c>
      <c r="T199" s="46">
        <f t="shared" si="333"/>
        <v>12594.135</v>
      </c>
      <c r="U199" s="46">
        <f t="shared" si="333"/>
        <v>12425.745999999999</v>
      </c>
      <c r="V199" s="411"/>
      <c r="W199" s="271"/>
      <c r="X199" s="411"/>
      <c r="Y199" s="411"/>
      <c r="Z199" s="411"/>
      <c r="AA199" s="411"/>
      <c r="AB199" s="271"/>
      <c r="AC199" s="411"/>
      <c r="AD199" s="411"/>
      <c r="AE199" s="411"/>
      <c r="AF199" s="411"/>
      <c r="AG199" s="271"/>
      <c r="AH199" s="411"/>
      <c r="AI199" s="411"/>
      <c r="AJ199" s="411"/>
      <c r="AK199" s="411"/>
      <c r="AL199" s="271"/>
      <c r="AM199" s="411"/>
      <c r="AN199" s="411"/>
      <c r="AO199" s="411"/>
      <c r="AP199" s="411"/>
      <c r="AQ199" s="271"/>
      <c r="AR199" s="411"/>
      <c r="AS199" s="411"/>
      <c r="AT199" s="411"/>
      <c r="AU199" s="411"/>
      <c r="AV199" s="271"/>
      <c r="AW199" s="411"/>
      <c r="AX199" s="411"/>
      <c r="AY199" s="411"/>
      <c r="AZ199" s="411"/>
      <c r="BA199" s="271"/>
    </row>
    <row r="200" spans="1:53" outlineLevel="1" x14ac:dyDescent="0.25">
      <c r="B200" s="362" t="s">
        <v>78</v>
      </c>
      <c r="C200" s="363"/>
      <c r="D200" s="95">
        <f t="shared" ref="D200:AQ200" si="334">(D198-D199)/D32</f>
        <v>-0.68436481861582232</v>
      </c>
      <c r="E200" s="95">
        <f t="shared" si="334"/>
        <v>-1.2298347156479228</v>
      </c>
      <c r="F200" s="95">
        <f t="shared" si="334"/>
        <v>-2.3511310730880561</v>
      </c>
      <c r="G200" s="95">
        <f t="shared" si="334"/>
        <v>-3.7052172075361938</v>
      </c>
      <c r="H200" s="96">
        <f t="shared" si="334"/>
        <v>-3.7171356793084267</v>
      </c>
      <c r="I200" s="95">
        <f t="shared" si="334"/>
        <v>-4.5440916988807025</v>
      </c>
      <c r="J200" s="95">
        <f t="shared" si="334"/>
        <v>-5.9866177268062266</v>
      </c>
      <c r="K200" s="95">
        <f t="shared" si="334"/>
        <v>-7.0240968164484245</v>
      </c>
      <c r="L200" s="95">
        <f t="shared" si="334"/>
        <v>-8.204178586251679</v>
      </c>
      <c r="M200" s="96">
        <f t="shared" si="334"/>
        <v>-8.2285626681348383</v>
      </c>
      <c r="N200" s="95">
        <f t="shared" si="334"/>
        <v>-8.7679096010071955</v>
      </c>
      <c r="O200" s="95">
        <f t="shared" si="334"/>
        <v>-9.8232540216852069</v>
      </c>
      <c r="P200" s="95">
        <f t="shared" si="334"/>
        <v>-11.659284075243573</v>
      </c>
      <c r="Q200" s="95">
        <f t="shared" si="334"/>
        <v>-14.554072566701249</v>
      </c>
      <c r="R200" s="96">
        <f t="shared" si="334"/>
        <v>-14.549944154382109</v>
      </c>
      <c r="S200" s="95">
        <f t="shared" si="334"/>
        <v>-15.39306783028929</v>
      </c>
      <c r="T200" s="95">
        <f t="shared" si="334"/>
        <v>-16.78454648989927</v>
      </c>
      <c r="U200" s="95">
        <f t="shared" si="334"/>
        <v>-17.696141308199277</v>
      </c>
      <c r="V200" s="481"/>
      <c r="W200" s="482"/>
      <c r="X200" s="481"/>
      <c r="Y200" s="481"/>
      <c r="Z200" s="481"/>
      <c r="AA200" s="481"/>
      <c r="AB200" s="482"/>
      <c r="AC200" s="481"/>
      <c r="AD200" s="481"/>
      <c r="AE200" s="481"/>
      <c r="AF200" s="481"/>
      <c r="AG200" s="482"/>
      <c r="AH200" s="481"/>
      <c r="AI200" s="481"/>
      <c r="AJ200" s="481"/>
      <c r="AK200" s="481"/>
      <c r="AL200" s="482"/>
      <c r="AM200" s="481"/>
      <c r="AN200" s="481"/>
      <c r="AO200" s="481"/>
      <c r="AP200" s="481"/>
      <c r="AQ200" s="482"/>
      <c r="AR200" s="481"/>
      <c r="AS200" s="481"/>
      <c r="AT200" s="481"/>
      <c r="AU200" s="481"/>
      <c r="AV200" s="482"/>
      <c r="AW200" s="481"/>
      <c r="AX200" s="481"/>
      <c r="AY200" s="481"/>
      <c r="AZ200" s="481"/>
      <c r="BA200" s="482"/>
    </row>
    <row r="201" spans="1:53" x14ac:dyDescent="0.25">
      <c r="B201" s="357"/>
      <c r="C201" s="357"/>
      <c r="D201" s="37">
        <f t="shared" ref="D201:AQ201" si="335">+D188-D108</f>
        <v>0</v>
      </c>
      <c r="E201" s="37">
        <f t="shared" si="335"/>
        <v>0</v>
      </c>
      <c r="F201" s="37">
        <f t="shared" si="335"/>
        <v>0</v>
      </c>
      <c r="G201" s="37">
        <f t="shared" si="335"/>
        <v>0</v>
      </c>
      <c r="H201" s="37">
        <f t="shared" si="335"/>
        <v>0</v>
      </c>
      <c r="I201" s="37">
        <f t="shared" si="335"/>
        <v>0</v>
      </c>
      <c r="J201" s="37">
        <f t="shared" si="335"/>
        <v>0</v>
      </c>
      <c r="K201" s="37">
        <f t="shared" si="335"/>
        <v>0</v>
      </c>
      <c r="L201" s="37">
        <f t="shared" si="335"/>
        <v>0</v>
      </c>
      <c r="M201" s="37">
        <f t="shared" si="335"/>
        <v>0</v>
      </c>
      <c r="N201" s="37">
        <f t="shared" si="335"/>
        <v>0</v>
      </c>
      <c r="O201" s="37">
        <f t="shared" si="335"/>
        <v>0</v>
      </c>
      <c r="P201" s="37">
        <f t="shared" si="335"/>
        <v>0</v>
      </c>
      <c r="Q201" s="37">
        <f t="shared" si="335"/>
        <v>0</v>
      </c>
      <c r="R201" s="37">
        <f t="shared" si="335"/>
        <v>0</v>
      </c>
      <c r="S201" s="37">
        <f t="shared" si="335"/>
        <v>0</v>
      </c>
      <c r="T201" s="37">
        <f t="shared" si="335"/>
        <v>0</v>
      </c>
      <c r="U201" s="37">
        <f t="shared" si="335"/>
        <v>0</v>
      </c>
      <c r="V201" s="485"/>
      <c r="W201" s="485"/>
      <c r="X201" s="485"/>
      <c r="Y201" s="485"/>
      <c r="Z201" s="485"/>
      <c r="AA201" s="485"/>
      <c r="AB201" s="485"/>
      <c r="AC201" s="485"/>
      <c r="AD201" s="485"/>
      <c r="AE201" s="485"/>
      <c r="AF201" s="485"/>
      <c r="AG201" s="485"/>
      <c r="AH201" s="485"/>
      <c r="AI201" s="485"/>
      <c r="AJ201" s="485"/>
      <c r="AK201" s="485"/>
      <c r="AL201" s="485"/>
      <c r="AM201" s="485"/>
      <c r="AN201" s="485"/>
      <c r="AO201" s="485"/>
      <c r="AP201" s="485"/>
      <c r="AQ201" s="485"/>
      <c r="AR201" s="485"/>
      <c r="AS201" s="485"/>
      <c r="AT201" s="485"/>
      <c r="AU201" s="485"/>
      <c r="AV201" s="485"/>
      <c r="AW201" s="485"/>
      <c r="AX201" s="485"/>
      <c r="AY201" s="485"/>
      <c r="AZ201" s="485"/>
      <c r="BA201" s="485"/>
    </row>
    <row r="202" spans="1:53" ht="15.75" x14ac:dyDescent="0.25">
      <c r="B202" s="332" t="s">
        <v>24</v>
      </c>
      <c r="C202" s="333"/>
      <c r="D202" s="43" t="s">
        <v>135</v>
      </c>
      <c r="E202" s="43" t="s">
        <v>136</v>
      </c>
      <c r="F202" s="43" t="s">
        <v>137</v>
      </c>
      <c r="G202" s="43" t="s">
        <v>138</v>
      </c>
      <c r="H202" s="128" t="s">
        <v>138</v>
      </c>
      <c r="I202" s="43" t="s">
        <v>122</v>
      </c>
      <c r="J202" s="43" t="s">
        <v>127</v>
      </c>
      <c r="K202" s="43" t="s">
        <v>128</v>
      </c>
      <c r="L202" s="43" t="s">
        <v>129</v>
      </c>
      <c r="M202" s="128" t="s">
        <v>129</v>
      </c>
      <c r="N202" s="43" t="s">
        <v>124</v>
      </c>
      <c r="O202" s="43" t="s">
        <v>123</v>
      </c>
      <c r="P202" s="43" t="s">
        <v>125</v>
      </c>
      <c r="Q202" s="43" t="s">
        <v>126</v>
      </c>
      <c r="R202" s="128" t="s">
        <v>126</v>
      </c>
      <c r="S202" s="43" t="s">
        <v>144</v>
      </c>
      <c r="T202" s="43" t="s">
        <v>145</v>
      </c>
      <c r="U202" s="43" t="s">
        <v>146</v>
      </c>
      <c r="V202" s="45" t="s">
        <v>147</v>
      </c>
      <c r="W202" s="130" t="s">
        <v>147</v>
      </c>
      <c r="X202" s="45" t="s">
        <v>148</v>
      </c>
      <c r="Y202" s="45" t="s">
        <v>149</v>
      </c>
      <c r="Z202" s="45" t="s">
        <v>150</v>
      </c>
      <c r="AA202" s="45" t="s">
        <v>151</v>
      </c>
      <c r="AB202" s="130" t="s">
        <v>151</v>
      </c>
      <c r="AC202" s="45" t="s">
        <v>152</v>
      </c>
      <c r="AD202" s="45" t="s">
        <v>153</v>
      </c>
      <c r="AE202" s="45" t="s">
        <v>154</v>
      </c>
      <c r="AF202" s="45" t="s">
        <v>155</v>
      </c>
      <c r="AG202" s="130" t="s">
        <v>155</v>
      </c>
      <c r="AH202" s="45" t="s">
        <v>156</v>
      </c>
      <c r="AI202" s="45" t="s">
        <v>157</v>
      </c>
      <c r="AJ202" s="45" t="s">
        <v>158</v>
      </c>
      <c r="AK202" s="45" t="s">
        <v>159</v>
      </c>
      <c r="AL202" s="130" t="s">
        <v>159</v>
      </c>
      <c r="AM202" s="45" t="s">
        <v>160</v>
      </c>
      <c r="AN202" s="45" t="s">
        <v>161</v>
      </c>
      <c r="AO202" s="45" t="s">
        <v>162</v>
      </c>
      <c r="AP202" s="45" t="s">
        <v>163</v>
      </c>
      <c r="AQ202" s="130" t="s">
        <v>163</v>
      </c>
      <c r="AR202" s="45" t="s">
        <v>320</v>
      </c>
      <c r="AS202" s="45" t="s">
        <v>321</v>
      </c>
      <c r="AT202" s="45" t="s">
        <v>322</v>
      </c>
      <c r="AU202" s="45" t="s">
        <v>323</v>
      </c>
      <c r="AV202" s="130" t="s">
        <v>323</v>
      </c>
      <c r="AW202" s="45" t="s">
        <v>335</v>
      </c>
      <c r="AX202" s="45" t="s">
        <v>336</v>
      </c>
      <c r="AY202" s="45" t="s">
        <v>337</v>
      </c>
      <c r="AZ202" s="45" t="s">
        <v>338</v>
      </c>
      <c r="BA202" s="130" t="s">
        <v>338</v>
      </c>
    </row>
    <row r="203" spans="1:53" ht="17.25" x14ac:dyDescent="0.4">
      <c r="B203" s="340"/>
      <c r="C203" s="341"/>
      <c r="D203" s="44" t="s">
        <v>139</v>
      </c>
      <c r="E203" s="44" t="s">
        <v>140</v>
      </c>
      <c r="F203" s="44" t="s">
        <v>141</v>
      </c>
      <c r="G203" s="44" t="s">
        <v>142</v>
      </c>
      <c r="H203" s="129" t="s">
        <v>143</v>
      </c>
      <c r="I203" s="44" t="s">
        <v>130</v>
      </c>
      <c r="J203" s="44" t="s">
        <v>131</v>
      </c>
      <c r="K203" s="44" t="s">
        <v>132</v>
      </c>
      <c r="L203" s="44" t="s">
        <v>133</v>
      </c>
      <c r="M203" s="129" t="s">
        <v>134</v>
      </c>
      <c r="N203" s="44" t="s">
        <v>121</v>
      </c>
      <c r="O203" s="44" t="s">
        <v>120</v>
      </c>
      <c r="P203" s="44" t="s">
        <v>119</v>
      </c>
      <c r="Q203" s="44" t="s">
        <v>118</v>
      </c>
      <c r="R203" s="129" t="s">
        <v>117</v>
      </c>
      <c r="S203" s="44" t="s">
        <v>314</v>
      </c>
      <c r="T203" s="44" t="s">
        <v>317</v>
      </c>
      <c r="U203" s="44" t="s">
        <v>332</v>
      </c>
      <c r="V203" s="42" t="s">
        <v>181</v>
      </c>
      <c r="W203" s="131" t="s">
        <v>182</v>
      </c>
      <c r="X203" s="42" t="s">
        <v>183</v>
      </c>
      <c r="Y203" s="42" t="s">
        <v>184</v>
      </c>
      <c r="Z203" s="42" t="s">
        <v>185</v>
      </c>
      <c r="AA203" s="42" t="s">
        <v>186</v>
      </c>
      <c r="AB203" s="131" t="s">
        <v>187</v>
      </c>
      <c r="AC203" s="42" t="s">
        <v>188</v>
      </c>
      <c r="AD203" s="42" t="s">
        <v>189</v>
      </c>
      <c r="AE203" s="42" t="s">
        <v>190</v>
      </c>
      <c r="AF203" s="42" t="s">
        <v>191</v>
      </c>
      <c r="AG203" s="131" t="s">
        <v>192</v>
      </c>
      <c r="AH203" s="42" t="s">
        <v>193</v>
      </c>
      <c r="AI203" s="42" t="s">
        <v>194</v>
      </c>
      <c r="AJ203" s="42" t="s">
        <v>195</v>
      </c>
      <c r="AK203" s="42" t="s">
        <v>196</v>
      </c>
      <c r="AL203" s="131" t="s">
        <v>197</v>
      </c>
      <c r="AM203" s="42" t="s">
        <v>198</v>
      </c>
      <c r="AN203" s="42" t="s">
        <v>199</v>
      </c>
      <c r="AO203" s="42" t="s">
        <v>200</v>
      </c>
      <c r="AP203" s="42" t="s">
        <v>201</v>
      </c>
      <c r="AQ203" s="131" t="s">
        <v>202</v>
      </c>
      <c r="AR203" s="42" t="s">
        <v>324</v>
      </c>
      <c r="AS203" s="42" t="s">
        <v>325</v>
      </c>
      <c r="AT203" s="42" t="s">
        <v>326</v>
      </c>
      <c r="AU203" s="42" t="s">
        <v>327</v>
      </c>
      <c r="AV203" s="131" t="s">
        <v>328</v>
      </c>
      <c r="AW203" s="42" t="s">
        <v>339</v>
      </c>
      <c r="AX203" s="42" t="s">
        <v>340</v>
      </c>
      <c r="AY203" s="42" t="s">
        <v>341</v>
      </c>
      <c r="AZ203" s="42" t="s">
        <v>342</v>
      </c>
      <c r="BA203" s="131" t="s">
        <v>343</v>
      </c>
    </row>
    <row r="204" spans="1:53" ht="17.25" outlineLevel="1" x14ac:dyDescent="0.4">
      <c r="B204" s="338" t="s">
        <v>80</v>
      </c>
      <c r="C204" s="339"/>
      <c r="D204" s="24"/>
      <c r="E204" s="24"/>
      <c r="F204" s="24"/>
      <c r="G204" s="24"/>
      <c r="H204" s="25"/>
      <c r="I204" s="24"/>
      <c r="J204" s="24"/>
      <c r="K204" s="24"/>
      <c r="L204" s="24"/>
      <c r="M204" s="25"/>
      <c r="N204" s="24"/>
      <c r="O204" s="24"/>
      <c r="P204" s="24"/>
      <c r="Q204" s="24"/>
      <c r="R204" s="25"/>
      <c r="S204" s="24"/>
      <c r="T204" s="24"/>
      <c r="U204" s="24"/>
      <c r="V204" s="24"/>
      <c r="W204" s="25"/>
      <c r="X204" s="24"/>
      <c r="Y204" s="24"/>
      <c r="Z204" s="24"/>
      <c r="AA204" s="24"/>
      <c r="AB204" s="25"/>
      <c r="AC204" s="24"/>
      <c r="AD204" s="24"/>
      <c r="AE204" s="24"/>
      <c r="AF204" s="24"/>
      <c r="AG204" s="25"/>
      <c r="AH204" s="24"/>
      <c r="AI204" s="24"/>
      <c r="AJ204" s="24"/>
      <c r="AK204" s="24"/>
      <c r="AL204" s="25"/>
      <c r="AM204" s="24"/>
      <c r="AN204" s="24"/>
      <c r="AO204" s="24"/>
      <c r="AP204" s="24"/>
      <c r="AQ204" s="25"/>
      <c r="AR204" s="24"/>
      <c r="AS204" s="24"/>
      <c r="AT204" s="24"/>
      <c r="AU204" s="24"/>
      <c r="AV204" s="25"/>
      <c r="AW204" s="24"/>
      <c r="AX204" s="24"/>
      <c r="AY204" s="24"/>
      <c r="AZ204" s="24"/>
      <c r="BA204" s="25"/>
    </row>
    <row r="205" spans="1:53" outlineLevel="1" x14ac:dyDescent="0.25">
      <c r="B205" s="99" t="s">
        <v>266</v>
      </c>
      <c r="C205" s="100"/>
      <c r="D205" s="72">
        <f>-D151/D14</f>
        <v>1.1833051034460214</v>
      </c>
      <c r="E205" s="72">
        <f>-E151/E14</f>
        <v>0.85111276626873211</v>
      </c>
      <c r="F205" s="72">
        <f>-F151/F14</f>
        <v>1.0663229394268068</v>
      </c>
      <c r="G205" s="72">
        <f>-G151/G14</f>
        <v>0.84876133230489414</v>
      </c>
      <c r="H205" s="83"/>
      <c r="I205" s="72">
        <f>-I151/I14</f>
        <v>0.89078162127105187</v>
      </c>
      <c r="J205" s="72">
        <f>-J151/J14</f>
        <v>0.95654476238070207</v>
      </c>
      <c r="K205" s="72">
        <f>-K151/K14</f>
        <v>0.77558671950668356</v>
      </c>
      <c r="L205" s="72">
        <f>-L151/L14</f>
        <v>0.75406078663807863</v>
      </c>
      <c r="M205" s="83"/>
      <c r="N205" s="72">
        <f>-N151/N14</f>
        <v>0.80704220861335851</v>
      </c>
      <c r="O205" s="72">
        <f>-O151/O14</f>
        <v>0.77642983464157844</v>
      </c>
      <c r="P205" s="72">
        <f>-P151/P14</f>
        <v>0.8098059846365957</v>
      </c>
      <c r="Q205" s="72">
        <f>-Q151/Q14</f>
        <v>0.90384421094567469</v>
      </c>
      <c r="R205" s="35"/>
      <c r="S205" s="72">
        <f>-S151/S14</f>
        <v>0.66307261769098458</v>
      </c>
      <c r="T205" s="72">
        <f>-T151/T14</f>
        <v>0.67540618583839995</v>
      </c>
      <c r="U205" s="72">
        <f>-U151/U14</f>
        <v>0.69558781331597042</v>
      </c>
      <c r="V205" s="470"/>
      <c r="W205" s="486"/>
      <c r="X205" s="470"/>
      <c r="Y205" s="470"/>
      <c r="Z205" s="470"/>
      <c r="AA205" s="470"/>
      <c r="AB205" s="486"/>
      <c r="AC205" s="470"/>
      <c r="AD205" s="470"/>
      <c r="AE205" s="470"/>
      <c r="AF205" s="470"/>
      <c r="AG205" s="486"/>
      <c r="AH205" s="470"/>
      <c r="AI205" s="470"/>
      <c r="AJ205" s="470"/>
      <c r="AK205" s="470"/>
      <c r="AL205" s="486"/>
      <c r="AM205" s="470"/>
      <c r="AN205" s="470"/>
      <c r="AO205" s="470"/>
      <c r="AP205" s="470"/>
      <c r="AQ205" s="486"/>
      <c r="AR205" s="470"/>
      <c r="AS205" s="470"/>
      <c r="AT205" s="470"/>
      <c r="AU205" s="470"/>
      <c r="AV205" s="486"/>
      <c r="AW205" s="470"/>
      <c r="AX205" s="470"/>
      <c r="AY205" s="470"/>
      <c r="AZ205" s="470"/>
      <c r="BA205" s="486"/>
    </row>
    <row r="206" spans="1:53" outlineLevel="1" x14ac:dyDescent="0.25">
      <c r="B206" s="344" t="s">
        <v>318</v>
      </c>
      <c r="C206" s="345"/>
      <c r="D206" s="65">
        <f>+D15-D153-D154</f>
        <v>339.61899999999997</v>
      </c>
      <c r="E206" s="65">
        <f>+E15-E153-E154</f>
        <v>330.01499999999982</v>
      </c>
      <c r="F206" s="65">
        <f>+F15-F153-F154</f>
        <v>350.37600000000009</v>
      </c>
      <c r="G206" s="65">
        <f>+G15-G153-G154</f>
        <v>370.00199999999984</v>
      </c>
      <c r="H206" s="69"/>
      <c r="I206" s="65">
        <f>+I15-I153-I154</f>
        <v>416.45</v>
      </c>
      <c r="J206" s="65">
        <f>+J15-J153-J154</f>
        <v>424.39099999999979</v>
      </c>
      <c r="K206" s="65">
        <f>+K15-K153-K154</f>
        <v>445.50299999999993</v>
      </c>
      <c r="L206" s="65">
        <f>+L15-L153-L154</f>
        <v>488.18199999999979</v>
      </c>
      <c r="M206" s="69"/>
      <c r="N206" s="65">
        <f>+N15-N153-N154</f>
        <v>540.60100000000011</v>
      </c>
      <c r="O206" s="65">
        <f>+O15-O153-O154</f>
        <v>573.46</v>
      </c>
      <c r="P206" s="65">
        <f>+P15-P153-P154</f>
        <v>609.40200000000016</v>
      </c>
      <c r="Q206" s="65">
        <f>+Q15-Q153-Q154</f>
        <v>670.7750000000002</v>
      </c>
      <c r="R206" s="26"/>
      <c r="S206" s="65">
        <f>+S15-S153-S154</f>
        <v>737.41899999999987</v>
      </c>
      <c r="T206" s="65">
        <f>+T15-T153-T154</f>
        <v>766.08600000000024</v>
      </c>
      <c r="U206" s="65">
        <f>+U15-U153-U154</f>
        <v>811.28800000000001</v>
      </c>
      <c r="V206" s="468"/>
      <c r="W206" s="486"/>
      <c r="X206" s="468"/>
      <c r="Y206" s="468"/>
      <c r="Z206" s="468"/>
      <c r="AA206" s="468"/>
      <c r="AB206" s="486"/>
      <c r="AC206" s="468"/>
      <c r="AD206" s="468"/>
      <c r="AE206" s="468"/>
      <c r="AF206" s="468"/>
      <c r="AG206" s="486"/>
      <c r="AH206" s="468"/>
      <c r="AI206" s="468"/>
      <c r="AJ206" s="468"/>
      <c r="AK206" s="468"/>
      <c r="AL206" s="486"/>
      <c r="AM206" s="468"/>
      <c r="AN206" s="468"/>
      <c r="AO206" s="468"/>
      <c r="AP206" s="468"/>
      <c r="AQ206" s="486"/>
      <c r="AR206" s="468"/>
      <c r="AS206" s="468"/>
      <c r="AT206" s="468"/>
      <c r="AU206" s="468"/>
      <c r="AV206" s="486"/>
      <c r="AW206" s="468"/>
      <c r="AX206" s="468"/>
      <c r="AY206" s="468"/>
      <c r="AZ206" s="468"/>
      <c r="BA206" s="486"/>
    </row>
    <row r="207" spans="1:53" s="59" customFormat="1" outlineLevel="1" x14ac:dyDescent="0.25">
      <c r="B207" s="99" t="s">
        <v>86</v>
      </c>
      <c r="C207" s="100"/>
      <c r="D207" s="68">
        <f>D156/D14</f>
        <v>2.1668907350122793E-2</v>
      </c>
      <c r="E207" s="68">
        <f>E156/E14</f>
        <v>2.0953788801465319E-2</v>
      </c>
      <c r="F207" s="68">
        <f>F156/F14</f>
        <v>1.8991890622079934E-2</v>
      </c>
      <c r="G207" s="68">
        <f>G156/G14</f>
        <v>1.761666103608376E-2</v>
      </c>
      <c r="H207" s="109"/>
      <c r="I207" s="68">
        <f>I156/I14</f>
        <v>1.7024730385510316E-2</v>
      </c>
      <c r="J207" s="68">
        <f>J156/J14</f>
        <v>1.5806343216067411E-2</v>
      </c>
      <c r="K207" s="68">
        <f>K156/K14</f>
        <v>1.4996688285778322E-2</v>
      </c>
      <c r="L207" s="68">
        <f>L156/L14</f>
        <v>1.4769816982702605E-2</v>
      </c>
      <c r="M207" s="109"/>
      <c r="N207" s="68">
        <f>N156/N14</f>
        <v>1.848085956330103E-2</v>
      </c>
      <c r="O207" s="68">
        <f>O156/O14</f>
        <v>2.0789963324776634E-2</v>
      </c>
      <c r="P207" s="68">
        <f>P156/P14</f>
        <v>2.0582221117604906E-2</v>
      </c>
      <c r="Q207" s="68">
        <f>Q156/Q14</f>
        <v>2.1188767378555812E-2</v>
      </c>
      <c r="R207" s="109"/>
      <c r="S207" s="68">
        <f>S156/S14</f>
        <v>2.2384467833608198E-2</v>
      </c>
      <c r="T207" s="68">
        <f>T156/T14</f>
        <v>2.1093957566711813E-2</v>
      </c>
      <c r="U207" s="68">
        <f>U156/U14</f>
        <v>1.9116075505657398E-2</v>
      </c>
      <c r="V207" s="305"/>
      <c r="W207" s="298"/>
      <c r="X207" s="305"/>
      <c r="Y207" s="305"/>
      <c r="Z207" s="305"/>
      <c r="AA207" s="305"/>
      <c r="AB207" s="298"/>
      <c r="AC207" s="305"/>
      <c r="AD207" s="305"/>
      <c r="AE207" s="305"/>
      <c r="AF207" s="305"/>
      <c r="AG207" s="298"/>
      <c r="AH207" s="305"/>
      <c r="AI207" s="305"/>
      <c r="AJ207" s="305"/>
      <c r="AK207" s="305"/>
      <c r="AL207" s="298"/>
      <c r="AM207" s="305"/>
      <c r="AN207" s="305"/>
      <c r="AO207" s="305"/>
      <c r="AP207" s="305"/>
      <c r="AQ207" s="298"/>
      <c r="AR207" s="305"/>
      <c r="AS207" s="305"/>
      <c r="AT207" s="305"/>
      <c r="AU207" s="305"/>
      <c r="AV207" s="298"/>
      <c r="AW207" s="305"/>
      <c r="AX207" s="305"/>
      <c r="AY207" s="305"/>
      <c r="AZ207" s="305"/>
      <c r="BA207" s="298"/>
    </row>
    <row r="208" spans="1:53" outlineLevel="1" x14ac:dyDescent="0.25">
      <c r="B208" s="197" t="s">
        <v>81</v>
      </c>
      <c r="C208" s="229"/>
      <c r="D208" s="68">
        <f t="shared" ref="D208:S208" si="336">-D170/D14</f>
        <v>4.3034403004286589E-3</v>
      </c>
      <c r="E208" s="68">
        <f t="shared" si="336"/>
        <v>5.1367943439210636E-3</v>
      </c>
      <c r="F208" s="68">
        <f t="shared" si="336"/>
        <v>1.194923735518656E-2</v>
      </c>
      <c r="G208" s="68">
        <f t="shared" si="336"/>
        <v>2.4640560943290139E-2</v>
      </c>
      <c r="H208" s="140">
        <f t="shared" si="336"/>
        <v>1.219080909951443E-2</v>
      </c>
      <c r="I208" s="68">
        <f t="shared" si="336"/>
        <v>1.9920466807123473E-2</v>
      </c>
      <c r="J208" s="68">
        <f t="shared" si="336"/>
        <v>2.3418360459873111E-2</v>
      </c>
      <c r="K208" s="68">
        <f t="shared" si="336"/>
        <v>1.1378426920668615E-2</v>
      </c>
      <c r="L208" s="68">
        <f t="shared" si="336"/>
        <v>6.5692664243073512E-3</v>
      </c>
      <c r="M208" s="140">
        <f t="shared" si="336"/>
        <v>1.4821367804033161E-2</v>
      </c>
      <c r="N208" s="68">
        <f t="shared" si="336"/>
        <v>1.0043622340345044E-2</v>
      </c>
      <c r="O208" s="68">
        <f t="shared" si="336"/>
        <v>6.9928620238683273E-3</v>
      </c>
      <c r="P208" s="68">
        <f t="shared" si="336"/>
        <v>9.8347891445011142E-3</v>
      </c>
      <c r="Q208" s="68">
        <f t="shared" si="336"/>
        <v>1.6747710266523136E-2</v>
      </c>
      <c r="R208" s="140">
        <f t="shared" si="336"/>
        <v>1.10131850388693E-2</v>
      </c>
      <c r="S208" s="68">
        <f t="shared" si="336"/>
        <v>1.3355697156730203E-2</v>
      </c>
      <c r="T208" s="68">
        <f t="shared" ref="T208:U208" si="337">-T170/T14</f>
        <v>8.0404361790378295E-3</v>
      </c>
      <c r="U208" s="68">
        <f t="shared" si="337"/>
        <v>8.6432452065385353E-3</v>
      </c>
      <c r="V208" s="305"/>
      <c r="W208" s="487"/>
      <c r="X208" s="305"/>
      <c r="Y208" s="305"/>
      <c r="Z208" s="305"/>
      <c r="AA208" s="305"/>
      <c r="AB208" s="487"/>
      <c r="AC208" s="305"/>
      <c r="AD208" s="305"/>
      <c r="AE208" s="305"/>
      <c r="AF208" s="305"/>
      <c r="AG208" s="487"/>
      <c r="AH208" s="305"/>
      <c r="AI208" s="305"/>
      <c r="AJ208" s="305"/>
      <c r="AK208" s="305"/>
      <c r="AL208" s="478"/>
      <c r="AM208" s="305"/>
      <c r="AN208" s="305"/>
      <c r="AO208" s="305"/>
      <c r="AP208" s="305"/>
      <c r="AQ208" s="478"/>
      <c r="AR208" s="305"/>
      <c r="AS208" s="305"/>
      <c r="AT208" s="305"/>
      <c r="AU208" s="305"/>
      <c r="AV208" s="478"/>
      <c r="AW208" s="305"/>
      <c r="AX208" s="305"/>
      <c r="AY208" s="305"/>
      <c r="AZ208" s="305"/>
      <c r="BA208" s="478"/>
    </row>
    <row r="209" spans="2:53" ht="17.25" x14ac:dyDescent="0.4">
      <c r="B209" s="27"/>
      <c r="C209" s="27"/>
      <c r="D209" s="39"/>
      <c r="E209" s="39"/>
      <c r="F209" s="39"/>
      <c r="G209" s="39"/>
      <c r="H209" s="38"/>
      <c r="I209" s="39"/>
      <c r="J209" s="39"/>
      <c r="K209" s="39"/>
      <c r="L209" s="39"/>
      <c r="M209" s="38"/>
      <c r="N209" s="39"/>
      <c r="O209" s="39"/>
      <c r="P209" s="39"/>
      <c r="Q209" s="39"/>
      <c r="R209" s="38"/>
      <c r="S209" s="39"/>
      <c r="T209" s="39"/>
      <c r="U209" s="39"/>
      <c r="V209" s="39"/>
      <c r="W209" s="38"/>
      <c r="X209" s="39"/>
      <c r="Y209" s="39"/>
      <c r="Z209" s="39"/>
      <c r="AA209" s="39"/>
      <c r="AB209" s="38"/>
      <c r="AC209" s="39"/>
      <c r="AD209" s="39"/>
      <c r="AE209" s="39"/>
      <c r="AF209" s="39"/>
      <c r="AG209" s="38"/>
      <c r="AH209" s="39"/>
      <c r="AI209" s="39"/>
      <c r="AJ209" s="39"/>
      <c r="AK209" s="39"/>
      <c r="AL209" s="38"/>
      <c r="AM209" s="39"/>
      <c r="AN209" s="39"/>
      <c r="AO209" s="39"/>
      <c r="AP209" s="39"/>
      <c r="AQ209" s="38"/>
      <c r="AR209" s="39"/>
      <c r="AS209" s="39"/>
      <c r="AT209" s="39"/>
      <c r="AU209" s="39"/>
      <c r="AV209" s="38"/>
      <c r="AW209" s="39"/>
      <c r="AX209" s="39"/>
      <c r="AY209" s="39"/>
      <c r="AZ209" s="39"/>
      <c r="BA209" s="38"/>
    </row>
    <row r="210" spans="2:53" ht="15.75" x14ac:dyDescent="0.25">
      <c r="B210" s="332" t="s">
        <v>21</v>
      </c>
      <c r="C210" s="348"/>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row>
    <row r="211" spans="2:53" outlineLevel="1" x14ac:dyDescent="0.25">
      <c r="B211" s="79" t="s">
        <v>294</v>
      </c>
      <c r="C211" s="488" t="s">
        <v>344</v>
      </c>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row>
    <row r="212" spans="2:53" outlineLevel="1" x14ac:dyDescent="0.25">
      <c r="B212" s="79" t="s">
        <v>295</v>
      </c>
      <c r="C212" s="488"/>
    </row>
    <row r="213" spans="2:53" outlineLevel="1" x14ac:dyDescent="0.25">
      <c r="B213" s="79" t="s">
        <v>296</v>
      </c>
      <c r="C213" s="488"/>
    </row>
    <row r="214" spans="2:53" outlineLevel="1" x14ac:dyDescent="0.25">
      <c r="B214" s="63" t="s">
        <v>36</v>
      </c>
      <c r="C214" s="488"/>
    </row>
    <row r="215" spans="2:53" ht="17.25" customHeight="1" outlineLevel="1" x14ac:dyDescent="0.25">
      <c r="B215" s="63" t="s">
        <v>111</v>
      </c>
      <c r="C215" s="488"/>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row>
    <row r="216" spans="2:53" outlineLevel="1" x14ac:dyDescent="0.25">
      <c r="B216" s="175" t="s">
        <v>297</v>
      </c>
      <c r="C216" s="489"/>
      <c r="D216" s="145"/>
    </row>
    <row r="217" spans="2:53" ht="15" customHeight="1" x14ac:dyDescent="0.25">
      <c r="B217" s="166" t="s">
        <v>107</v>
      </c>
      <c r="C217" s="196"/>
      <c r="D217" s="36"/>
    </row>
    <row r="218" spans="2:53" ht="15.75" x14ac:dyDescent="0.25">
      <c r="B218" s="332" t="s">
        <v>28</v>
      </c>
      <c r="C218" s="348"/>
      <c r="D218" s="36"/>
    </row>
    <row r="219" spans="2:53" outlineLevel="1" x14ac:dyDescent="0.25">
      <c r="B219" s="134" t="s">
        <v>84</v>
      </c>
      <c r="C219" s="40"/>
      <c r="D219" s="36"/>
    </row>
    <row r="220" spans="2:53" outlineLevel="1" x14ac:dyDescent="0.25">
      <c r="B220" s="135" t="s">
        <v>106</v>
      </c>
      <c r="C220" s="490" t="s">
        <v>344</v>
      </c>
      <c r="D220" s="36"/>
    </row>
    <row r="221" spans="2:53" outlineLevel="1" x14ac:dyDescent="0.25">
      <c r="B221" s="135" t="s">
        <v>29</v>
      </c>
      <c r="C221" s="490"/>
      <c r="D221" s="36"/>
    </row>
    <row r="222" spans="2:53" outlineLevel="1" x14ac:dyDescent="0.25">
      <c r="B222" s="136" t="s">
        <v>30</v>
      </c>
      <c r="C222" s="490"/>
      <c r="D222" s="36"/>
      <c r="AD222" s="328"/>
    </row>
    <row r="223" spans="2:53" outlineLevel="1" x14ac:dyDescent="0.25">
      <c r="B223" s="135" t="s">
        <v>43</v>
      </c>
      <c r="C223" s="490"/>
      <c r="D223" s="36"/>
    </row>
    <row r="224" spans="2:53" outlineLevel="1" x14ac:dyDescent="0.25">
      <c r="B224" s="135" t="s">
        <v>112</v>
      </c>
      <c r="C224" s="490"/>
      <c r="D224" s="36"/>
    </row>
    <row r="225" spans="2:4" outlineLevel="1" x14ac:dyDescent="0.25">
      <c r="B225" s="135" t="s">
        <v>113</v>
      </c>
      <c r="C225" s="490"/>
      <c r="D225" s="36"/>
    </row>
    <row r="226" spans="2:4" outlineLevel="1" x14ac:dyDescent="0.25">
      <c r="B226" s="137" t="s">
        <v>31</v>
      </c>
      <c r="C226" s="490"/>
      <c r="D226" s="36"/>
    </row>
    <row r="227" spans="2:4" outlineLevel="1" x14ac:dyDescent="0.25">
      <c r="B227" s="135" t="s">
        <v>108</v>
      </c>
      <c r="C227" s="490"/>
    </row>
    <row r="228" spans="2:4" outlineLevel="1" x14ac:dyDescent="0.25">
      <c r="B228" s="136" t="s">
        <v>32</v>
      </c>
      <c r="C228" s="490"/>
    </row>
    <row r="229" spans="2:4" outlineLevel="1" x14ac:dyDescent="0.25">
      <c r="B229" s="79" t="s">
        <v>33</v>
      </c>
      <c r="C229" s="490"/>
    </row>
    <row r="230" spans="2:4" outlineLevel="1" x14ac:dyDescent="0.25">
      <c r="B230" s="79" t="s">
        <v>34</v>
      </c>
      <c r="C230" s="490"/>
    </row>
    <row r="231" spans="2:4" outlineLevel="1" x14ac:dyDescent="0.25">
      <c r="B231" s="79" t="s">
        <v>2</v>
      </c>
      <c r="C231" s="490"/>
    </row>
    <row r="232" spans="2:4" outlineLevel="1" x14ac:dyDescent="0.25">
      <c r="B232" s="79" t="s">
        <v>35</v>
      </c>
      <c r="C232" s="490"/>
    </row>
    <row r="233" spans="2:4" outlineLevel="1" x14ac:dyDescent="0.25">
      <c r="B233" s="138" t="s">
        <v>85</v>
      </c>
      <c r="C233" s="490"/>
    </row>
    <row r="234" spans="2:4" outlineLevel="1" x14ac:dyDescent="0.25">
      <c r="B234" s="319" t="s">
        <v>114</v>
      </c>
      <c r="C234" s="490"/>
    </row>
    <row r="235" spans="2:4" outlineLevel="1" x14ac:dyDescent="0.25">
      <c r="B235" s="79" t="s">
        <v>44</v>
      </c>
      <c r="C235" s="490"/>
    </row>
    <row r="236" spans="2:4" outlineLevel="1" x14ac:dyDescent="0.25">
      <c r="B236" s="79" t="s">
        <v>45</v>
      </c>
      <c r="C236" s="490"/>
    </row>
    <row r="237" spans="2:4" outlineLevel="1" x14ac:dyDescent="0.25">
      <c r="B237" s="79" t="s">
        <v>83</v>
      </c>
      <c r="C237" s="490"/>
    </row>
    <row r="238" spans="2:4" outlineLevel="1" x14ac:dyDescent="0.25">
      <c r="B238" s="79" t="s">
        <v>115</v>
      </c>
      <c r="C238" s="490"/>
      <c r="D238" s="36"/>
    </row>
    <row r="239" spans="2:4" outlineLevel="1" x14ac:dyDescent="0.25">
      <c r="B239" s="139" t="s">
        <v>46</v>
      </c>
      <c r="C239" s="490"/>
    </row>
    <row r="240" spans="2:4" outlineLevel="1" x14ac:dyDescent="0.25">
      <c r="B240" s="79" t="s">
        <v>88</v>
      </c>
      <c r="C240" s="490"/>
    </row>
    <row r="241" spans="2:3" outlineLevel="1" x14ac:dyDescent="0.25">
      <c r="B241" s="79" t="s">
        <v>87</v>
      </c>
      <c r="C241" s="490"/>
    </row>
    <row r="242" spans="2:3" outlineLevel="1" x14ac:dyDescent="0.25">
      <c r="B242" s="79" t="s">
        <v>51</v>
      </c>
      <c r="C242" s="490"/>
    </row>
    <row r="243" spans="2:3" outlineLevel="1" x14ac:dyDescent="0.25">
      <c r="B243" s="175" t="s">
        <v>52</v>
      </c>
      <c r="C243" s="491"/>
    </row>
    <row r="244" spans="2:3" ht="13.5" customHeight="1" x14ac:dyDescent="0.25">
      <c r="C244" s="41"/>
    </row>
    <row r="245" spans="2:3" ht="15.75" x14ac:dyDescent="0.25">
      <c r="B245" s="332" t="s">
        <v>116</v>
      </c>
      <c r="C245" s="348"/>
    </row>
    <row r="246" spans="2:3" outlineLevel="1" x14ac:dyDescent="0.25">
      <c r="B246" s="144" t="s">
        <v>64</v>
      </c>
      <c r="C246" s="492" t="s">
        <v>344</v>
      </c>
    </row>
    <row r="247" spans="2:3" outlineLevel="1" x14ac:dyDescent="0.25">
      <c r="B247" s="79" t="s">
        <v>65</v>
      </c>
      <c r="C247" s="493"/>
    </row>
    <row r="248" spans="2:3" outlineLevel="1" x14ac:dyDescent="0.25">
      <c r="B248" s="79" t="s">
        <v>68</v>
      </c>
      <c r="C248" s="493"/>
    </row>
    <row r="249" spans="2:3" outlineLevel="1" x14ac:dyDescent="0.25">
      <c r="B249" s="79" t="s">
        <v>66</v>
      </c>
      <c r="C249" s="493"/>
    </row>
    <row r="250" spans="2:3" outlineLevel="1" x14ac:dyDescent="0.25">
      <c r="B250" s="176" t="s">
        <v>67</v>
      </c>
      <c r="C250" s="494"/>
    </row>
    <row r="251" spans="2:3" ht="14.45" customHeight="1" x14ac:dyDescent="0.25"/>
  </sheetData>
  <dataConsolidate/>
  <mergeCells count="155">
    <mergeCell ref="AX191:AY194"/>
    <mergeCell ref="C211:C216"/>
    <mergeCell ref="C220:C243"/>
    <mergeCell ref="C246:C250"/>
    <mergeCell ref="Y191:Z194"/>
    <mergeCell ref="AD191:AE194"/>
    <mergeCell ref="AI191:AJ194"/>
    <mergeCell ref="AN191:AO194"/>
    <mergeCell ref="AS191:AT194"/>
    <mergeCell ref="AX156:AY159"/>
    <mergeCell ref="Y176:Z179"/>
    <mergeCell ref="AD176:AE179"/>
    <mergeCell ref="AI176:AJ179"/>
    <mergeCell ref="AN176:AO179"/>
    <mergeCell ref="AS176:AT179"/>
    <mergeCell ref="AX176:AY179"/>
    <mergeCell ref="Y156:Z159"/>
    <mergeCell ref="AD156:AE159"/>
    <mergeCell ref="AI156:AJ159"/>
    <mergeCell ref="AN156:AO159"/>
    <mergeCell ref="AS156:AT159"/>
    <mergeCell ref="AS121:AT124"/>
    <mergeCell ref="AX121:AY124"/>
    <mergeCell ref="Y138:Z141"/>
    <mergeCell ref="AD138:AE141"/>
    <mergeCell ref="AI138:AJ141"/>
    <mergeCell ref="AN138:AO141"/>
    <mergeCell ref="AS138:AT141"/>
    <mergeCell ref="AX138:AY141"/>
    <mergeCell ref="Y110:Z113"/>
    <mergeCell ref="Y121:Z124"/>
    <mergeCell ref="AD121:AE124"/>
    <mergeCell ref="AI121:AJ124"/>
    <mergeCell ref="AN121:AO124"/>
    <mergeCell ref="AD110:AE113"/>
    <mergeCell ref="AI110:AJ113"/>
    <mergeCell ref="AN110:AO113"/>
    <mergeCell ref="AS110:AT113"/>
    <mergeCell ref="AX110:AY113"/>
    <mergeCell ref="AD88:AE91"/>
    <mergeCell ref="AI88:AJ91"/>
    <mergeCell ref="AN88:AO91"/>
    <mergeCell ref="AS88:AT91"/>
    <mergeCell ref="AX88:AY91"/>
    <mergeCell ref="AD73:AE76"/>
    <mergeCell ref="AI73:AJ76"/>
    <mergeCell ref="AN73:AO76"/>
    <mergeCell ref="AS73:AT76"/>
    <mergeCell ref="AX73:AY76"/>
    <mergeCell ref="AD59:AE62"/>
    <mergeCell ref="AI59:AJ62"/>
    <mergeCell ref="AN59:AO62"/>
    <mergeCell ref="AS59:AT62"/>
    <mergeCell ref="AX59:AY62"/>
    <mergeCell ref="AS21:AT24"/>
    <mergeCell ref="AX21:AY24"/>
    <mergeCell ref="AD43:AE46"/>
    <mergeCell ref="AI43:AJ46"/>
    <mergeCell ref="AN43:AO46"/>
    <mergeCell ref="AS43:AT46"/>
    <mergeCell ref="AX43:AY46"/>
    <mergeCell ref="S2:V7"/>
    <mergeCell ref="S8:V8"/>
    <mergeCell ref="AD21:AE24"/>
    <mergeCell ref="AI21:AJ24"/>
    <mergeCell ref="AN21:AO24"/>
    <mergeCell ref="B134:C134"/>
    <mergeCell ref="B117:C117"/>
    <mergeCell ref="B126:C126"/>
    <mergeCell ref="B118:C118"/>
    <mergeCell ref="B131:C131"/>
    <mergeCell ref="B129:C129"/>
    <mergeCell ref="B130:C130"/>
    <mergeCell ref="B128:C128"/>
    <mergeCell ref="B127:C127"/>
    <mergeCell ref="B125:C125"/>
    <mergeCell ref="B122:C122"/>
    <mergeCell ref="B121:C121"/>
    <mergeCell ref="B218:C218"/>
    <mergeCell ref="B168:C168"/>
    <mergeCell ref="B174:C174"/>
    <mergeCell ref="B143:C143"/>
    <mergeCell ref="B142:C142"/>
    <mergeCell ref="B167:C167"/>
    <mergeCell ref="B166:C166"/>
    <mergeCell ref="B163:C163"/>
    <mergeCell ref="B161:C161"/>
    <mergeCell ref="B147:C147"/>
    <mergeCell ref="B189:C189"/>
    <mergeCell ref="B206:C206"/>
    <mergeCell ref="B210:C210"/>
    <mergeCell ref="B170:C170"/>
    <mergeCell ref="B87:C87"/>
    <mergeCell ref="B100:C100"/>
    <mergeCell ref="B99:C99"/>
    <mergeCell ref="B115:C115"/>
    <mergeCell ref="B105:C105"/>
    <mergeCell ref="B108:C108"/>
    <mergeCell ref="B107:C107"/>
    <mergeCell ref="B98:C98"/>
    <mergeCell ref="B94:C94"/>
    <mergeCell ref="B95:C95"/>
    <mergeCell ref="B111:C111"/>
    <mergeCell ref="B3:C3"/>
    <mergeCell ref="B4:C4"/>
    <mergeCell ref="B5:C5"/>
    <mergeCell ref="B12:C12"/>
    <mergeCell ref="B13:C13"/>
    <mergeCell ref="C6:C10"/>
    <mergeCell ref="B29:C29"/>
    <mergeCell ref="B28:C28"/>
    <mergeCell ref="B86:C86"/>
    <mergeCell ref="B85:C85"/>
    <mergeCell ref="B34:C34"/>
    <mergeCell ref="B33:C33"/>
    <mergeCell ref="B32:C32"/>
    <mergeCell ref="B31:C31"/>
    <mergeCell ref="B30:C30"/>
    <mergeCell ref="B38:C38"/>
    <mergeCell ref="B37:C37"/>
    <mergeCell ref="B54:C54"/>
    <mergeCell ref="B80:C80"/>
    <mergeCell ref="B69:C69"/>
    <mergeCell ref="B245:C245"/>
    <mergeCell ref="B2:C2"/>
    <mergeCell ref="B184:C184"/>
    <mergeCell ref="B182:C182"/>
    <mergeCell ref="B181:C181"/>
    <mergeCell ref="B145:C145"/>
    <mergeCell ref="B204:C204"/>
    <mergeCell ref="B203:C203"/>
    <mergeCell ref="B202:C202"/>
    <mergeCell ref="B201:C201"/>
    <mergeCell ref="B196:C196"/>
    <mergeCell ref="B194:C194"/>
    <mergeCell ref="B200:C200"/>
    <mergeCell ref="B188:C188"/>
    <mergeCell ref="B185:C185"/>
    <mergeCell ref="B14:C14"/>
    <mergeCell ref="A12:A13"/>
    <mergeCell ref="B39:C39"/>
    <mergeCell ref="B176:C176"/>
    <mergeCell ref="B175:C175"/>
    <mergeCell ref="B149:C149"/>
    <mergeCell ref="B135:C135"/>
    <mergeCell ref="B132:C132"/>
    <mergeCell ref="B97:C97"/>
    <mergeCell ref="B96:C96"/>
    <mergeCell ref="B92:C92"/>
    <mergeCell ref="B101:C101"/>
    <mergeCell ref="B102:C102"/>
    <mergeCell ref="B120:C120"/>
    <mergeCell ref="B119:C119"/>
    <mergeCell ref="B144:C144"/>
    <mergeCell ref="B116:C116"/>
  </mergeCells>
  <hyperlinks>
    <hyperlink ref="S8:V8" r:id="rId1" display="Netflix Premium Earnings Model" xr:uid="{EB9BCFC5-2F8B-48C0-A98D-9FF9EB1164B6}"/>
  </hyperlinks>
  <pageMargins left="0.7" right="0.7" top="0.75" bottom="0.75" header="0.3" footer="0.3"/>
  <pageSetup scale="19" orientation="landscape" r:id="rId2"/>
  <headerFooter>
    <oddFooter>&amp;CGutenberg Research LLC prohibits the redistribution of this document in whole or part without the written permission. 
© Gutenberg Research LLC 2019.</oddFooter>
  </headerFooter>
  <rowBreaks count="1" manualBreakCount="1">
    <brk id="103"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J24" sqref="J24"/>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301" t="s">
        <v>334</v>
      </c>
    </row>
    <row r="2" spans="2:14" x14ac:dyDescent="0.25">
      <c r="B2" s="147"/>
    </row>
    <row r="3" spans="2:14" x14ac:dyDescent="0.25">
      <c r="B3" s="147"/>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394"/>
      <c r="I7" s="394"/>
      <c r="J7" s="394"/>
      <c r="K7" s="394"/>
      <c r="L7" s="394"/>
      <c r="M7" s="394"/>
      <c r="N7" s="394"/>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147"/>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147"/>
    </row>
    <row r="41" spans="2:2" x14ac:dyDescent="0.25">
      <c r="B41" s="147"/>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20" sqref="K20"/>
    </sheetView>
  </sheetViews>
  <sheetFormatPr defaultRowHeight="15" x14ac:dyDescent="0.25"/>
  <cols>
    <col min="1" max="1" width="1.28515625" customWidth="1"/>
    <col min="2" max="2" width="12.28515625" customWidth="1"/>
    <col min="8" max="8" width="15.28515625" bestFit="1" customWidth="1"/>
    <col min="11" max="11" width="9.5703125" bestFit="1" customWidth="1"/>
  </cols>
  <sheetData>
    <row r="1" spans="2:11" x14ac:dyDescent="0.25">
      <c r="B1" s="147" t="s">
        <v>334</v>
      </c>
    </row>
    <row r="2" spans="2:11" x14ac:dyDescent="0.25">
      <c r="B2" t="s">
        <v>89</v>
      </c>
    </row>
    <row r="3" spans="2:11" ht="45" x14ac:dyDescent="0.25">
      <c r="B3" s="148" t="s">
        <v>90</v>
      </c>
      <c r="C3" s="148" t="s">
        <v>91</v>
      </c>
      <c r="D3" s="148" t="s">
        <v>92</v>
      </c>
      <c r="E3" s="148" t="s">
        <v>93</v>
      </c>
      <c r="F3" s="148" t="s">
        <v>94</v>
      </c>
      <c r="G3" s="148" t="s">
        <v>105</v>
      </c>
      <c r="H3" s="148" t="s">
        <v>95</v>
      </c>
      <c r="I3" s="148" t="s">
        <v>96</v>
      </c>
      <c r="J3" s="148" t="s">
        <v>97</v>
      </c>
      <c r="K3" s="148" t="s">
        <v>98</v>
      </c>
    </row>
    <row r="4" spans="2:11" x14ac:dyDescent="0.25">
      <c r="B4" s="177">
        <v>43374</v>
      </c>
      <c r="C4" s="155">
        <v>375.85000600000001</v>
      </c>
      <c r="D4" s="155">
        <v>386.79998799999998</v>
      </c>
      <c r="E4" s="155">
        <v>271.209991</v>
      </c>
      <c r="F4" s="155">
        <v>301.77999899999998</v>
      </c>
      <c r="G4" s="155">
        <v>301.77999899999998</v>
      </c>
      <c r="H4" s="155">
        <v>363589800</v>
      </c>
      <c r="I4" s="193"/>
      <c r="J4" s="194"/>
      <c r="K4" s="156"/>
    </row>
    <row r="5" spans="2:11" x14ac:dyDescent="0.25">
      <c r="B5" s="152">
        <v>43405</v>
      </c>
      <c r="C5" s="263">
        <v>304.58999599999999</v>
      </c>
      <c r="D5" s="263">
        <v>332.04998799999998</v>
      </c>
      <c r="E5" s="263">
        <v>250</v>
      </c>
      <c r="F5" s="263">
        <v>286.13000499999998</v>
      </c>
      <c r="G5" s="263">
        <v>286.13000499999998</v>
      </c>
      <c r="H5" s="263">
        <v>257126400</v>
      </c>
      <c r="I5" s="329">
        <f>+G5/G4-1</f>
        <v>-5.1858950400486936E-2</v>
      </c>
      <c r="J5" s="330">
        <f t="shared" ref="J5:J16" si="0">I5-$I$17</f>
        <v>-5.1868883866944104E-2</v>
      </c>
      <c r="K5" s="164">
        <f>J5^2</f>
        <v>2.6903811136025344E-3</v>
      </c>
    </row>
    <row r="6" spans="2:11" x14ac:dyDescent="0.25">
      <c r="B6" s="152">
        <v>43435</v>
      </c>
      <c r="C6" s="263">
        <v>293.19000199999999</v>
      </c>
      <c r="D6" s="263">
        <v>298.72000100000002</v>
      </c>
      <c r="E6" s="263">
        <v>231.229996</v>
      </c>
      <c r="F6" s="263">
        <v>267.66000400000001</v>
      </c>
      <c r="G6" s="263">
        <v>267.66000400000001</v>
      </c>
      <c r="H6" s="263">
        <v>234310000</v>
      </c>
      <c r="I6" s="329">
        <f>+G6/G5-1</f>
        <v>-6.455108054815839E-2</v>
      </c>
      <c r="J6" s="330">
        <f t="shared" si="0"/>
        <v>-6.4561014014615559E-2</v>
      </c>
      <c r="K6" s="164">
        <f>J6^2</f>
        <v>4.1681245305953867E-3</v>
      </c>
    </row>
    <row r="7" spans="2:11" x14ac:dyDescent="0.25">
      <c r="B7" s="152">
        <v>43466</v>
      </c>
      <c r="C7" s="263">
        <v>259.27999899999998</v>
      </c>
      <c r="D7" s="263">
        <v>358.85000600000001</v>
      </c>
      <c r="E7" s="263">
        <v>256.57998700000002</v>
      </c>
      <c r="F7" s="263">
        <v>339.5</v>
      </c>
      <c r="G7" s="263">
        <v>339.5</v>
      </c>
      <c r="H7" s="263">
        <v>306616400</v>
      </c>
      <c r="I7" s="329">
        <f t="shared" ref="I7:I16" si="1">+G7/G6-1</f>
        <v>0.26840019026525908</v>
      </c>
      <c r="J7" s="330">
        <f t="shared" si="0"/>
        <v>0.26839025679880191</v>
      </c>
      <c r="K7" s="164">
        <f t="shared" ref="K7:K15" si="2">J7^2</f>
        <v>7.2033329944526839E-2</v>
      </c>
    </row>
    <row r="8" spans="2:11" x14ac:dyDescent="0.25">
      <c r="B8" s="152">
        <v>43497</v>
      </c>
      <c r="C8" s="263">
        <v>337.17999300000002</v>
      </c>
      <c r="D8" s="263">
        <v>371.48998999999998</v>
      </c>
      <c r="E8" s="263">
        <v>336.5</v>
      </c>
      <c r="F8" s="263">
        <v>358.10000600000001</v>
      </c>
      <c r="G8" s="263">
        <v>358.10000600000001</v>
      </c>
      <c r="H8" s="263">
        <v>148192100</v>
      </c>
      <c r="I8" s="329">
        <f t="shared" si="1"/>
        <v>5.478646833578793E-2</v>
      </c>
      <c r="J8" s="330">
        <f t="shared" si="0"/>
        <v>5.4776534869330762E-2</v>
      </c>
      <c r="K8" s="164">
        <f t="shared" si="2"/>
        <v>3.000468772291009E-3</v>
      </c>
    </row>
    <row r="9" spans="2:11" x14ac:dyDescent="0.25">
      <c r="B9" s="152">
        <v>43525</v>
      </c>
      <c r="C9" s="263">
        <v>362.26001000000002</v>
      </c>
      <c r="D9" s="263">
        <v>379</v>
      </c>
      <c r="E9" s="263">
        <v>342.47000100000002</v>
      </c>
      <c r="F9" s="263">
        <v>356.55999800000001</v>
      </c>
      <c r="G9" s="263">
        <v>356.55999800000001</v>
      </c>
      <c r="H9" s="263">
        <v>144843100</v>
      </c>
      <c r="I9" s="329">
        <f t="shared" si="1"/>
        <v>-4.3004969958029271E-3</v>
      </c>
      <c r="J9" s="330">
        <f t="shared" si="0"/>
        <v>-4.3104304622600953E-3</v>
      </c>
      <c r="K9" s="164">
        <f t="shared" si="2"/>
        <v>1.8579810769979778E-5</v>
      </c>
    </row>
    <row r="10" spans="2:11" x14ac:dyDescent="0.25">
      <c r="B10" s="152">
        <v>43556</v>
      </c>
      <c r="C10" s="263">
        <v>359</v>
      </c>
      <c r="D10" s="263">
        <v>384.79998799999998</v>
      </c>
      <c r="E10" s="263">
        <v>342.26998900000001</v>
      </c>
      <c r="F10" s="263">
        <v>370.540009</v>
      </c>
      <c r="G10" s="263">
        <v>370.540009</v>
      </c>
      <c r="H10" s="263">
        <v>165079400</v>
      </c>
      <c r="I10" s="329">
        <f t="shared" si="1"/>
        <v>3.9208018505766384E-2</v>
      </c>
      <c r="J10" s="330">
        <f t="shared" si="0"/>
        <v>3.9198085039309216E-2</v>
      </c>
      <c r="K10" s="164">
        <f t="shared" si="2"/>
        <v>1.536489870748917E-3</v>
      </c>
    </row>
    <row r="11" spans="2:11" x14ac:dyDescent="0.25">
      <c r="B11" s="152">
        <v>43586</v>
      </c>
      <c r="C11" s="263">
        <v>374</v>
      </c>
      <c r="D11" s="263">
        <v>385.98998999999998</v>
      </c>
      <c r="E11" s="263">
        <v>341.39001500000001</v>
      </c>
      <c r="F11" s="263">
        <v>343.27999899999998</v>
      </c>
      <c r="G11" s="263">
        <v>343.27999899999998</v>
      </c>
      <c r="H11" s="263">
        <v>125298300</v>
      </c>
      <c r="I11" s="329">
        <f t="shared" si="1"/>
        <v>-7.3568330916729763E-2</v>
      </c>
      <c r="J11" s="330">
        <f t="shared" si="0"/>
        <v>-7.3578264383186931E-2</v>
      </c>
      <c r="K11" s="164">
        <f t="shared" si="2"/>
        <v>5.4137609896421548E-3</v>
      </c>
    </row>
    <row r="12" spans="2:11" x14ac:dyDescent="0.25">
      <c r="B12" s="152">
        <v>43617</v>
      </c>
      <c r="C12" s="263">
        <v>343.55999800000001</v>
      </c>
      <c r="D12" s="263">
        <v>375</v>
      </c>
      <c r="E12" s="263">
        <v>332.64999399999999</v>
      </c>
      <c r="F12" s="263">
        <v>367.32000699999998</v>
      </c>
      <c r="G12" s="263">
        <v>367.32000699999998</v>
      </c>
      <c r="H12" s="263">
        <v>111052000</v>
      </c>
      <c r="I12" s="329">
        <f t="shared" si="1"/>
        <v>7.0030319476900305E-2</v>
      </c>
      <c r="J12" s="330">
        <f t="shared" si="0"/>
        <v>7.0020386010443136E-2</v>
      </c>
      <c r="K12" s="164">
        <f t="shared" si="2"/>
        <v>4.9028544570514608E-3</v>
      </c>
    </row>
    <row r="13" spans="2:11" x14ac:dyDescent="0.25">
      <c r="B13" s="152">
        <v>43647</v>
      </c>
      <c r="C13" s="263">
        <v>373.5</v>
      </c>
      <c r="D13" s="263">
        <v>384.76001000000002</v>
      </c>
      <c r="E13" s="263">
        <v>305.80999800000001</v>
      </c>
      <c r="F13" s="263">
        <v>322.98998999999998</v>
      </c>
      <c r="G13" s="263">
        <v>322.98998999999998</v>
      </c>
      <c r="H13" s="263">
        <v>196652500</v>
      </c>
      <c r="I13" s="329">
        <f t="shared" si="1"/>
        <v>-0.12068500532289272</v>
      </c>
      <c r="J13" s="330">
        <f t="shared" si="0"/>
        <v>-0.12069493878934989</v>
      </c>
      <c r="K13" s="164">
        <f t="shared" si="2"/>
        <v>1.4567268249364917E-2</v>
      </c>
    </row>
    <row r="14" spans="2:11" x14ac:dyDescent="0.25">
      <c r="B14" s="152">
        <v>43678</v>
      </c>
      <c r="C14" s="263">
        <v>324.25</v>
      </c>
      <c r="D14" s="263">
        <v>328.57998700000002</v>
      </c>
      <c r="E14" s="263">
        <v>287.20001200000002</v>
      </c>
      <c r="F14" s="263">
        <v>293.75</v>
      </c>
      <c r="G14" s="263">
        <v>293.75</v>
      </c>
      <c r="H14" s="263">
        <v>137076700</v>
      </c>
      <c r="I14" s="329">
        <f t="shared" si="1"/>
        <v>-9.0529090390695899E-2</v>
      </c>
      <c r="J14" s="330">
        <f t="shared" si="0"/>
        <v>-9.0539023857153067E-2</v>
      </c>
      <c r="K14" s="164">
        <f t="shared" si="2"/>
        <v>8.1973148410061317E-3</v>
      </c>
    </row>
    <row r="15" spans="2:11" x14ac:dyDescent="0.25">
      <c r="B15" s="152">
        <v>43709</v>
      </c>
      <c r="C15" s="263">
        <v>290.82000699999998</v>
      </c>
      <c r="D15" s="263">
        <v>301.54998799999998</v>
      </c>
      <c r="E15" s="263">
        <v>252.279999</v>
      </c>
      <c r="F15" s="263">
        <v>267.61999500000002</v>
      </c>
      <c r="G15" s="263">
        <v>267.61999500000002</v>
      </c>
      <c r="H15" s="263">
        <v>175411300</v>
      </c>
      <c r="I15" s="329">
        <f t="shared" si="1"/>
        <v>-8.895320851063826E-2</v>
      </c>
      <c r="J15" s="330">
        <f t="shared" si="0"/>
        <v>-8.8963141977095428E-2</v>
      </c>
      <c r="K15" s="164">
        <f t="shared" si="2"/>
        <v>7.9144406304368382E-3</v>
      </c>
    </row>
    <row r="16" spans="2:11" x14ac:dyDescent="0.25">
      <c r="B16" s="153">
        <v>43739</v>
      </c>
      <c r="C16" s="151">
        <v>267.35000600000001</v>
      </c>
      <c r="D16" s="151">
        <v>287.86999500000002</v>
      </c>
      <c r="E16" s="151">
        <v>257.01001000000002</v>
      </c>
      <c r="F16" s="151">
        <v>284.25</v>
      </c>
      <c r="G16" s="151">
        <v>284.25</v>
      </c>
      <c r="H16" s="151">
        <v>87541200</v>
      </c>
      <c r="I16" s="195">
        <f t="shared" si="1"/>
        <v>6.2140368099177223E-2</v>
      </c>
      <c r="J16" s="154">
        <f t="shared" si="0"/>
        <v>6.2130434632720055E-2</v>
      </c>
      <c r="K16" s="165">
        <f>J16^2</f>
        <v>3.8601909076506997E-3</v>
      </c>
    </row>
    <row r="17" spans="7:11" x14ac:dyDescent="0.25">
      <c r="G17" s="149"/>
      <c r="H17" s="160" t="s">
        <v>99</v>
      </c>
      <c r="I17" s="192">
        <f>AVERAGE(I5:I16)</f>
        <v>9.9334664571681941E-6</v>
      </c>
      <c r="K17" s="150"/>
    </row>
    <row r="18" spans="7:11" x14ac:dyDescent="0.25">
      <c r="G18" s="149"/>
      <c r="J18" s="157" t="s">
        <v>100</v>
      </c>
      <c r="K18" s="170">
        <f>SUM(K5:K16)</f>
        <v>0.12830320411768686</v>
      </c>
    </row>
    <row r="19" spans="7:11" x14ac:dyDescent="0.25">
      <c r="G19" s="149"/>
      <c r="J19" s="157" t="s">
        <v>101</v>
      </c>
      <c r="K19" s="158">
        <f>K18/12</f>
        <v>1.0691933676473905E-2</v>
      </c>
    </row>
    <row r="20" spans="7:11" x14ac:dyDescent="0.25">
      <c r="G20" s="149"/>
      <c r="I20" s="159"/>
      <c r="J20" s="160" t="s">
        <v>102</v>
      </c>
      <c r="K20" s="161">
        <f>SQRT(K19)</f>
        <v>0.10340180693041058</v>
      </c>
    </row>
    <row r="21" spans="7:11" x14ac:dyDescent="0.25">
      <c r="G21" s="149"/>
      <c r="J21" s="163" t="s">
        <v>103</v>
      </c>
      <c r="K21" s="162">
        <f>_xlfn.STDEV.P(I5:I16)-K20</f>
        <v>0</v>
      </c>
    </row>
    <row r="22" spans="7:11" x14ac:dyDescent="0.25">
      <c r="G22" s="171"/>
      <c r="H22" s="151"/>
      <c r="I22" s="151"/>
      <c r="J22" s="172" t="s">
        <v>104</v>
      </c>
      <c r="K22" s="173">
        <f>ABS(I17)</f>
        <v>9.9334664571681941E-6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2019-10-16T22:49:19Z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