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Users\Gutenberg Research\Documents\AFTER FILES WERE TRANSFERED TO NEW M17\Final Submission\"/>
    </mc:Choice>
  </mc:AlternateContent>
  <xr:revisionPtr revIDLastSave="0" documentId="13_ncr:1_{351CD311-BF12-470D-B8AE-9478266DE785}" xr6:coauthVersionLast="45" xr6:coauthVersionMax="45" xr10:uidLastSave="{00000000-0000-0000-0000-000000000000}"/>
  <bookViews>
    <workbookView xWindow="360" yWindow="345" windowWidth="28800" windowHeight="15225" tabRatio="767" activeTab="1" xr2:uid="{00000000-000D-0000-FFFF-FFFF00000000}"/>
  </bookViews>
  <sheets>
    <sheet name="Instructions" sheetId="30" state="hidden" r:id="rId1"/>
    <sheet name="Earnings Model" sheetId="3" r:id="rId2"/>
    <sheet name="Recon of ASRs" sheetId="31" state="hidden" r:id="rId3"/>
    <sheet name="Charts" sheetId="21" state="hidden" r:id="rId4"/>
    <sheet name="Std Dev" sheetId="29" r:id="rId5"/>
  </sheets>
  <definedNames>
    <definedName name="DATA" localSheetId="3">#REF!</definedName>
    <definedName name="DATA">#REF!</definedName>
    <definedName name="_xlnm.Print_Area" localSheetId="1">'Earnings Model'!$B$2:$AB$333</definedName>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'Earnings Model'!$C$300</definedName>
    <definedName name="solver_typ" localSheetId="1" hidden="1">1</definedName>
    <definedName name="solver_val" localSheetId="1" hidden="1">0</definedName>
    <definedName name="solver_ver" localSheetId="1" hidden="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2" i="3" l="1"/>
  <c r="N162" i="3"/>
  <c r="L43" i="3"/>
  <c r="N43" i="3"/>
  <c r="O43" i="3"/>
  <c r="P43" i="3"/>
  <c r="Q43" i="3"/>
  <c r="S43" i="3"/>
  <c r="T43" i="3"/>
  <c r="U43" i="3"/>
  <c r="V43" i="3"/>
  <c r="E5" i="29"/>
  <c r="E6" i="29"/>
  <c r="E7" i="29"/>
  <c r="E8" i="29"/>
  <c r="E9" i="29"/>
  <c r="E10" i="29"/>
  <c r="E11" i="29"/>
  <c r="E12" i="29"/>
  <c r="E13" i="29"/>
  <c r="E14" i="29"/>
  <c r="E15" i="29"/>
  <c r="E16" i="29"/>
  <c r="E17" i="29"/>
  <c r="C329" i="3"/>
  <c r="C304" i="3"/>
  <c r="C305" i="3"/>
  <c r="K206" i="3"/>
  <c r="C312" i="3"/>
  <c r="J206" i="3"/>
  <c r="K152" i="3"/>
  <c r="C313" i="3"/>
  <c r="L50" i="3"/>
  <c r="L51" i="3"/>
  <c r="L55" i="3"/>
  <c r="L56" i="3"/>
  <c r="L83" i="3"/>
  <c r="G84" i="3"/>
  <c r="L84" i="3"/>
  <c r="L88" i="3"/>
  <c r="L89" i="3"/>
  <c r="L13" i="3"/>
  <c r="L59" i="3"/>
  <c r="L61" i="3"/>
  <c r="L63" i="3"/>
  <c r="L92" i="3"/>
  <c r="L94" i="3"/>
  <c r="L96" i="3"/>
  <c r="L97" i="3"/>
  <c r="L101" i="3"/>
  <c r="L64" i="3"/>
  <c r="L115" i="3"/>
  <c r="L129" i="3"/>
  <c r="L15" i="3"/>
  <c r="K108" i="3"/>
  <c r="K112" i="3"/>
  <c r="K75" i="3"/>
  <c r="K78" i="3"/>
  <c r="G122" i="3"/>
  <c r="G126" i="3"/>
  <c r="G127" i="3"/>
  <c r="L127" i="3"/>
  <c r="K122" i="3"/>
  <c r="K126" i="3"/>
  <c r="L118" i="3"/>
  <c r="G132" i="3"/>
  <c r="L132" i="3"/>
  <c r="E242" i="3"/>
  <c r="F242" i="3"/>
  <c r="G242" i="3"/>
  <c r="G236" i="3"/>
  <c r="I236" i="3"/>
  <c r="J242" i="3"/>
  <c r="J236" i="3"/>
  <c r="K242" i="3"/>
  <c r="K236" i="3"/>
  <c r="L236" i="3"/>
  <c r="L242" i="3"/>
  <c r="L72" i="3"/>
  <c r="L105" i="3"/>
  <c r="L119" i="3"/>
  <c r="L133" i="3"/>
  <c r="L20" i="3"/>
  <c r="L120" i="3"/>
  <c r="L134" i="3"/>
  <c r="L121" i="3"/>
  <c r="L135" i="3"/>
  <c r="L117" i="3"/>
  <c r="L131" i="3"/>
  <c r="L109" i="3"/>
  <c r="L123" i="3"/>
  <c r="L24" i="3"/>
  <c r="E264" i="3"/>
  <c r="F264" i="3"/>
  <c r="G264" i="3"/>
  <c r="H264" i="3"/>
  <c r="F265" i="3"/>
  <c r="G265" i="3"/>
  <c r="H265" i="3"/>
  <c r="G266" i="3"/>
  <c r="H266" i="3"/>
  <c r="E267" i="3"/>
  <c r="F267" i="3"/>
  <c r="G267" i="3"/>
  <c r="H267" i="3"/>
  <c r="E268" i="3"/>
  <c r="F268" i="3"/>
  <c r="G268" i="3"/>
  <c r="H268" i="3"/>
  <c r="E269" i="3"/>
  <c r="F269" i="3"/>
  <c r="G269" i="3"/>
  <c r="H269" i="3"/>
  <c r="E270" i="3"/>
  <c r="F270" i="3"/>
  <c r="G270" i="3"/>
  <c r="H270" i="3"/>
  <c r="E271" i="3"/>
  <c r="F271" i="3"/>
  <c r="G271" i="3"/>
  <c r="H271" i="3"/>
  <c r="H272" i="3"/>
  <c r="D259" i="3"/>
  <c r="E259" i="3"/>
  <c r="F259" i="3"/>
  <c r="G259" i="3"/>
  <c r="H259" i="3"/>
  <c r="E260" i="3"/>
  <c r="F260" i="3"/>
  <c r="G260" i="3"/>
  <c r="H260" i="3"/>
  <c r="E261" i="3"/>
  <c r="F261" i="3"/>
  <c r="G261" i="3"/>
  <c r="H261" i="3"/>
  <c r="H262" i="3"/>
  <c r="H16" i="3"/>
  <c r="H23" i="3"/>
  <c r="H25" i="3"/>
  <c r="H31" i="3"/>
  <c r="H33" i="3"/>
  <c r="H241" i="3"/>
  <c r="H242" i="3"/>
  <c r="E243" i="3"/>
  <c r="F243" i="3"/>
  <c r="G243" i="3"/>
  <c r="H243" i="3"/>
  <c r="E244" i="3"/>
  <c r="F244" i="3"/>
  <c r="G244" i="3"/>
  <c r="H244" i="3"/>
  <c r="E245" i="3"/>
  <c r="F245" i="3"/>
  <c r="G245" i="3"/>
  <c r="H245" i="3"/>
  <c r="E246" i="3"/>
  <c r="F246" i="3"/>
  <c r="G246" i="3"/>
  <c r="H246" i="3"/>
  <c r="E247" i="3"/>
  <c r="F247" i="3"/>
  <c r="G247" i="3"/>
  <c r="H247" i="3"/>
  <c r="E248" i="3"/>
  <c r="F248" i="3"/>
  <c r="G248" i="3"/>
  <c r="H248" i="3"/>
  <c r="E250" i="3"/>
  <c r="F250" i="3"/>
  <c r="G250" i="3"/>
  <c r="H250" i="3"/>
  <c r="E251" i="3"/>
  <c r="F251" i="3"/>
  <c r="G251" i="3"/>
  <c r="H251" i="3"/>
  <c r="E252" i="3"/>
  <c r="F252" i="3"/>
  <c r="G252" i="3"/>
  <c r="H252" i="3"/>
  <c r="E253" i="3"/>
  <c r="F253" i="3"/>
  <c r="G253" i="3"/>
  <c r="H253" i="3"/>
  <c r="E254" i="3"/>
  <c r="F254" i="3"/>
  <c r="G254" i="3"/>
  <c r="H254" i="3"/>
  <c r="F255" i="3"/>
  <c r="G255" i="3"/>
  <c r="H255" i="3"/>
  <c r="E256" i="3"/>
  <c r="F256" i="3"/>
  <c r="G256" i="3"/>
  <c r="H256" i="3"/>
  <c r="H257" i="3"/>
  <c r="D273" i="3"/>
  <c r="E273" i="3"/>
  <c r="F273" i="3"/>
  <c r="G273" i="3"/>
  <c r="H273" i="3"/>
  <c r="H274" i="3"/>
  <c r="H276" i="3"/>
  <c r="I275" i="3"/>
  <c r="I266" i="3"/>
  <c r="I272" i="3"/>
  <c r="I259" i="3"/>
  <c r="I262" i="3"/>
  <c r="I16" i="3"/>
  <c r="I23" i="3"/>
  <c r="I25" i="3"/>
  <c r="I31" i="3"/>
  <c r="I33" i="3"/>
  <c r="I241" i="3"/>
  <c r="I248" i="3"/>
  <c r="I256" i="3"/>
  <c r="I257" i="3"/>
  <c r="I274" i="3"/>
  <c r="I276" i="3"/>
  <c r="J275" i="3"/>
  <c r="J264" i="3"/>
  <c r="J265" i="3"/>
  <c r="J266" i="3"/>
  <c r="J267" i="3"/>
  <c r="J268" i="3"/>
  <c r="J269" i="3"/>
  <c r="J270" i="3"/>
  <c r="J271" i="3"/>
  <c r="J272" i="3"/>
  <c r="J259" i="3"/>
  <c r="J260" i="3"/>
  <c r="J261" i="3"/>
  <c r="J262" i="3"/>
  <c r="J16" i="3"/>
  <c r="J23" i="3"/>
  <c r="J25" i="3"/>
  <c r="J31" i="3"/>
  <c r="J33" i="3"/>
  <c r="J241" i="3"/>
  <c r="J243" i="3"/>
  <c r="J244" i="3"/>
  <c r="J245" i="3"/>
  <c r="J246" i="3"/>
  <c r="J247" i="3"/>
  <c r="J248" i="3"/>
  <c r="J250" i="3"/>
  <c r="J251" i="3"/>
  <c r="J252" i="3"/>
  <c r="J253" i="3"/>
  <c r="J254" i="3"/>
  <c r="J255" i="3"/>
  <c r="J256" i="3"/>
  <c r="J257" i="3"/>
  <c r="J273" i="3"/>
  <c r="J274" i="3"/>
  <c r="J276" i="3"/>
  <c r="K275" i="3"/>
  <c r="K264" i="3"/>
  <c r="K266" i="3"/>
  <c r="K267" i="3"/>
  <c r="K268" i="3"/>
  <c r="K269" i="3"/>
  <c r="K270" i="3"/>
  <c r="K271" i="3"/>
  <c r="K272" i="3"/>
  <c r="K259" i="3"/>
  <c r="K260" i="3"/>
  <c r="K261" i="3"/>
  <c r="K262" i="3"/>
  <c r="K16" i="3"/>
  <c r="K23" i="3"/>
  <c r="K25" i="3"/>
  <c r="K31" i="3"/>
  <c r="K33" i="3"/>
  <c r="K241" i="3"/>
  <c r="K243" i="3"/>
  <c r="K244" i="3"/>
  <c r="K245" i="3"/>
  <c r="K246" i="3"/>
  <c r="K247" i="3"/>
  <c r="K248" i="3"/>
  <c r="K250" i="3"/>
  <c r="K251" i="3"/>
  <c r="K252" i="3"/>
  <c r="K253" i="3"/>
  <c r="K254" i="3"/>
  <c r="K255" i="3"/>
  <c r="K256" i="3"/>
  <c r="K257" i="3"/>
  <c r="K273" i="3"/>
  <c r="K274" i="3"/>
  <c r="K276" i="3"/>
  <c r="K184" i="3"/>
  <c r="J184" i="3"/>
  <c r="K151" i="3"/>
  <c r="I184" i="3"/>
  <c r="J151" i="3"/>
  <c r="D272" i="3"/>
  <c r="D262" i="3"/>
  <c r="D16" i="3"/>
  <c r="D23" i="3"/>
  <c r="D25" i="3"/>
  <c r="D31" i="3"/>
  <c r="D33" i="3"/>
  <c r="D241" i="3"/>
  <c r="D257" i="3"/>
  <c r="D274" i="3"/>
  <c r="D276" i="3"/>
  <c r="E275" i="3"/>
  <c r="E272" i="3"/>
  <c r="E262" i="3"/>
  <c r="E16" i="3"/>
  <c r="E23" i="3"/>
  <c r="E25" i="3"/>
  <c r="E31" i="3"/>
  <c r="E33" i="3"/>
  <c r="E241" i="3"/>
  <c r="E257" i="3"/>
  <c r="E274" i="3"/>
  <c r="E276" i="3"/>
  <c r="F275" i="3"/>
  <c r="F272" i="3"/>
  <c r="F262" i="3"/>
  <c r="F16" i="3"/>
  <c r="F23" i="3"/>
  <c r="F25" i="3"/>
  <c r="F31" i="3"/>
  <c r="F33" i="3"/>
  <c r="F241" i="3"/>
  <c r="F257" i="3"/>
  <c r="F274" i="3"/>
  <c r="F276" i="3"/>
  <c r="G275" i="3"/>
  <c r="G272" i="3"/>
  <c r="G262" i="3"/>
  <c r="G13" i="3"/>
  <c r="G14" i="3"/>
  <c r="G15" i="3"/>
  <c r="G16" i="3"/>
  <c r="G18" i="3"/>
  <c r="G19" i="3"/>
  <c r="G20" i="3"/>
  <c r="G21" i="3"/>
  <c r="G22" i="3"/>
  <c r="G17" i="3"/>
  <c r="G23" i="3"/>
  <c r="G24" i="3"/>
  <c r="G25" i="3"/>
  <c r="G29" i="3"/>
  <c r="G30" i="3"/>
  <c r="G28" i="3"/>
  <c r="G31" i="3"/>
  <c r="G32" i="3"/>
  <c r="G33" i="3"/>
  <c r="G241" i="3"/>
  <c r="G257" i="3"/>
  <c r="G274" i="3"/>
  <c r="G276" i="3"/>
  <c r="G184" i="3"/>
  <c r="I151" i="3"/>
  <c r="F184" i="3"/>
  <c r="G151" i="3"/>
  <c r="L151" i="3"/>
  <c r="L29" i="3"/>
  <c r="L152" i="3"/>
  <c r="L30" i="3"/>
  <c r="M13" i="3"/>
  <c r="M15" i="3"/>
  <c r="M20" i="3"/>
  <c r="M24" i="3"/>
  <c r="M29" i="3"/>
  <c r="M30" i="3"/>
  <c r="M28" i="3"/>
  <c r="L48" i="3"/>
  <c r="I49" i="3"/>
  <c r="J49" i="3"/>
  <c r="K49" i="3"/>
  <c r="N49" i="3"/>
  <c r="N48" i="3"/>
  <c r="O49" i="3"/>
  <c r="O48" i="3"/>
  <c r="P49" i="3"/>
  <c r="P48" i="3"/>
  <c r="Q49" i="3"/>
  <c r="Q48" i="3"/>
  <c r="S49" i="3"/>
  <c r="S48" i="3"/>
  <c r="T49" i="3"/>
  <c r="T48" i="3"/>
  <c r="U49" i="3"/>
  <c r="U48" i="3"/>
  <c r="V49" i="3"/>
  <c r="V48" i="3"/>
  <c r="X49" i="3"/>
  <c r="X48" i="3"/>
  <c r="Y49" i="3"/>
  <c r="Y48" i="3"/>
  <c r="Z49" i="3"/>
  <c r="Z48" i="3"/>
  <c r="AA49" i="3"/>
  <c r="AA48" i="3"/>
  <c r="AC48" i="3"/>
  <c r="AD48" i="3"/>
  <c r="AE48" i="3"/>
  <c r="AF48" i="3"/>
  <c r="AH49" i="3"/>
  <c r="AH48" i="3"/>
  <c r="AH50" i="3"/>
  <c r="I51" i="3"/>
  <c r="N51" i="3"/>
  <c r="S51" i="3"/>
  <c r="AC54" i="3"/>
  <c r="N55" i="3"/>
  <c r="O55" i="3"/>
  <c r="P55" i="3"/>
  <c r="Q55" i="3"/>
  <c r="S55" i="3"/>
  <c r="T55" i="3"/>
  <c r="U55" i="3"/>
  <c r="V55" i="3"/>
  <c r="X55" i="3"/>
  <c r="Y55" i="3"/>
  <c r="Z55" i="3"/>
  <c r="AA55" i="3"/>
  <c r="AC55" i="3"/>
  <c r="AD55" i="3"/>
  <c r="AE55" i="3"/>
  <c r="AF55" i="3"/>
  <c r="AH55" i="3"/>
  <c r="L81" i="3"/>
  <c r="N81" i="3"/>
  <c r="O81" i="3"/>
  <c r="P81" i="3"/>
  <c r="Q81" i="3"/>
  <c r="S81" i="3"/>
  <c r="T81" i="3"/>
  <c r="U81" i="3"/>
  <c r="V81" i="3"/>
  <c r="X81" i="3"/>
  <c r="Y81" i="3"/>
  <c r="Z81" i="3"/>
  <c r="AA81" i="3"/>
  <c r="AC81" i="3"/>
  <c r="AH83" i="3"/>
  <c r="I84" i="3"/>
  <c r="N84" i="3"/>
  <c r="S84" i="3"/>
  <c r="N88" i="3"/>
  <c r="O88" i="3"/>
  <c r="P88" i="3"/>
  <c r="Q88" i="3"/>
  <c r="S88" i="3"/>
  <c r="T88" i="3"/>
  <c r="U88" i="3"/>
  <c r="V88" i="3"/>
  <c r="X88" i="3"/>
  <c r="Y88" i="3"/>
  <c r="Z88" i="3"/>
  <c r="AA88" i="3"/>
  <c r="AC88" i="3"/>
  <c r="AD88" i="3"/>
  <c r="AE88" i="3"/>
  <c r="AF88" i="3"/>
  <c r="AH88" i="3"/>
  <c r="AI49" i="3"/>
  <c r="AI48" i="3"/>
  <c r="AI50" i="3"/>
  <c r="J51" i="3"/>
  <c r="O51" i="3"/>
  <c r="T51" i="3"/>
  <c r="AD54" i="3"/>
  <c r="AI55" i="3"/>
  <c r="AD81" i="3"/>
  <c r="AI83" i="3"/>
  <c r="J84" i="3"/>
  <c r="O84" i="3"/>
  <c r="T84" i="3"/>
  <c r="Y87" i="3"/>
  <c r="Z87" i="3"/>
  <c r="AA87" i="3"/>
  <c r="AI88" i="3"/>
  <c r="AJ49" i="3"/>
  <c r="AJ48" i="3"/>
  <c r="AJ50" i="3"/>
  <c r="K51" i="3"/>
  <c r="P51" i="3"/>
  <c r="U51" i="3"/>
  <c r="AE54" i="3"/>
  <c r="AJ55" i="3"/>
  <c r="AE81" i="3"/>
  <c r="AJ83" i="3"/>
  <c r="K84" i="3"/>
  <c r="P84" i="3"/>
  <c r="U84" i="3"/>
  <c r="AJ88" i="3"/>
  <c r="AK49" i="3"/>
  <c r="AK48" i="3"/>
  <c r="AK50" i="3"/>
  <c r="Q51" i="3"/>
  <c r="V51" i="3"/>
  <c r="AA51" i="3"/>
  <c r="AF54" i="3"/>
  <c r="AK55" i="3"/>
  <c r="AF81" i="3"/>
  <c r="AK83" i="3"/>
  <c r="Q84" i="3"/>
  <c r="V84" i="3"/>
  <c r="AK88" i="3"/>
  <c r="I60" i="3"/>
  <c r="J60" i="3"/>
  <c r="K60" i="3"/>
  <c r="N59" i="3"/>
  <c r="O59" i="3"/>
  <c r="AH60" i="3"/>
  <c r="X62" i="3"/>
  <c r="AC62" i="3"/>
  <c r="AH62" i="3"/>
  <c r="AC93" i="3"/>
  <c r="AD93" i="3"/>
  <c r="AE93" i="3"/>
  <c r="AF93" i="3"/>
  <c r="AH93" i="3"/>
  <c r="X95" i="3"/>
  <c r="AC95" i="3"/>
  <c r="AH95" i="3"/>
  <c r="AI60" i="3"/>
  <c r="T62" i="3"/>
  <c r="Y62" i="3"/>
  <c r="AD62" i="3"/>
  <c r="AI62" i="3"/>
  <c r="AI93" i="3"/>
  <c r="Y95" i="3"/>
  <c r="AD95" i="3"/>
  <c r="AI95" i="3"/>
  <c r="AJ60" i="3"/>
  <c r="U62" i="3"/>
  <c r="Z62" i="3"/>
  <c r="AE62" i="3"/>
  <c r="AJ62" i="3"/>
  <c r="AJ93" i="3"/>
  <c r="Z95" i="3"/>
  <c r="AE95" i="3"/>
  <c r="AJ95" i="3"/>
  <c r="AK60" i="3"/>
  <c r="V62" i="3"/>
  <c r="AA62" i="3"/>
  <c r="AF62" i="3"/>
  <c r="AK62" i="3"/>
  <c r="AK93" i="3"/>
  <c r="V95" i="3"/>
  <c r="AA95" i="3"/>
  <c r="AF95" i="3"/>
  <c r="AK95" i="3"/>
  <c r="N64" i="3"/>
  <c r="S64" i="3"/>
  <c r="X64" i="3"/>
  <c r="AC64" i="3"/>
  <c r="AH64" i="3"/>
  <c r="N97" i="3"/>
  <c r="S97" i="3"/>
  <c r="X97" i="3"/>
  <c r="AC97" i="3"/>
  <c r="AH97" i="3"/>
  <c r="N115" i="3"/>
  <c r="S115" i="3"/>
  <c r="X116" i="3"/>
  <c r="X115" i="3"/>
  <c r="Y116" i="3"/>
  <c r="Z116" i="3"/>
  <c r="AA116" i="3"/>
  <c r="AC116" i="3"/>
  <c r="AC115" i="3"/>
  <c r="AD116" i="3"/>
  <c r="AE116" i="3"/>
  <c r="AF116" i="3"/>
  <c r="AH116" i="3"/>
  <c r="AH115" i="3"/>
  <c r="N129" i="3"/>
  <c r="S129" i="3"/>
  <c r="U130" i="3"/>
  <c r="V130" i="3"/>
  <c r="X130" i="3"/>
  <c r="X129" i="3"/>
  <c r="Y130" i="3"/>
  <c r="Z130" i="3"/>
  <c r="AA130" i="3"/>
  <c r="AC130" i="3"/>
  <c r="AC129" i="3"/>
  <c r="AD130" i="3"/>
  <c r="AE130" i="3"/>
  <c r="AF130" i="3"/>
  <c r="AH130" i="3"/>
  <c r="AH129" i="3"/>
  <c r="AH15" i="3"/>
  <c r="O64" i="3"/>
  <c r="T64" i="3"/>
  <c r="Y64" i="3"/>
  <c r="AD64" i="3"/>
  <c r="AI64" i="3"/>
  <c r="O97" i="3"/>
  <c r="T97" i="3"/>
  <c r="Y97" i="3"/>
  <c r="AD97" i="3"/>
  <c r="AI97" i="3"/>
  <c r="O115" i="3"/>
  <c r="T115" i="3"/>
  <c r="Y115" i="3"/>
  <c r="AD115" i="3"/>
  <c r="AI116" i="3"/>
  <c r="AI115" i="3"/>
  <c r="O129" i="3"/>
  <c r="T129" i="3"/>
  <c r="Y129" i="3"/>
  <c r="AD129" i="3"/>
  <c r="AI130" i="3"/>
  <c r="AI129" i="3"/>
  <c r="AI15" i="3"/>
  <c r="P64" i="3"/>
  <c r="U64" i="3"/>
  <c r="Z64" i="3"/>
  <c r="AE64" i="3"/>
  <c r="AJ64" i="3"/>
  <c r="P97" i="3"/>
  <c r="U97" i="3"/>
  <c r="Z97" i="3"/>
  <c r="AE97" i="3"/>
  <c r="AJ97" i="3"/>
  <c r="P115" i="3"/>
  <c r="U115" i="3"/>
  <c r="Z115" i="3"/>
  <c r="AE115" i="3"/>
  <c r="AJ116" i="3"/>
  <c r="AJ115" i="3"/>
  <c r="P129" i="3"/>
  <c r="U129" i="3"/>
  <c r="Z129" i="3"/>
  <c r="AE129" i="3"/>
  <c r="AJ130" i="3"/>
  <c r="AJ129" i="3"/>
  <c r="AJ15" i="3"/>
  <c r="Q64" i="3"/>
  <c r="V64" i="3"/>
  <c r="AA64" i="3"/>
  <c r="AF64" i="3"/>
  <c r="AK64" i="3"/>
  <c r="Q97" i="3"/>
  <c r="V97" i="3"/>
  <c r="AA97" i="3"/>
  <c r="AF97" i="3"/>
  <c r="AK97" i="3"/>
  <c r="Q115" i="3"/>
  <c r="V115" i="3"/>
  <c r="AA115" i="3"/>
  <c r="AF115" i="3"/>
  <c r="AK116" i="3"/>
  <c r="AK115" i="3"/>
  <c r="Q129" i="3"/>
  <c r="V129" i="3"/>
  <c r="AA129" i="3"/>
  <c r="AF129" i="3"/>
  <c r="AK130" i="3"/>
  <c r="AK129" i="3"/>
  <c r="AK15" i="3"/>
  <c r="AL15" i="3"/>
  <c r="X79" i="3"/>
  <c r="AC79" i="3"/>
  <c r="AH79" i="3"/>
  <c r="AF50" i="3"/>
  <c r="AA79" i="3"/>
  <c r="AF79" i="3"/>
  <c r="AE50" i="3"/>
  <c r="Z79" i="3"/>
  <c r="AE79" i="3"/>
  <c r="AD50" i="3"/>
  <c r="Y79" i="3"/>
  <c r="AD79" i="3"/>
  <c r="AC50" i="3"/>
  <c r="AA50" i="3"/>
  <c r="Z50" i="3"/>
  <c r="Y50" i="3"/>
  <c r="X50" i="3"/>
  <c r="V50" i="3"/>
  <c r="V56" i="3"/>
  <c r="U50" i="3"/>
  <c r="T50" i="3"/>
  <c r="S50" i="3"/>
  <c r="Q50" i="3"/>
  <c r="Q56" i="3"/>
  <c r="P50" i="3"/>
  <c r="P56" i="3"/>
  <c r="O50" i="3"/>
  <c r="N50" i="3"/>
  <c r="N236" i="3"/>
  <c r="N83" i="3"/>
  <c r="N89" i="3"/>
  <c r="N15" i="3"/>
  <c r="I291" i="3"/>
  <c r="J291" i="3"/>
  <c r="K291" i="3"/>
  <c r="N291" i="3"/>
  <c r="O236" i="3"/>
  <c r="O83" i="3"/>
  <c r="O89" i="3"/>
  <c r="O15" i="3"/>
  <c r="O291" i="3"/>
  <c r="P236" i="3"/>
  <c r="P83" i="3"/>
  <c r="P89" i="3"/>
  <c r="P13" i="3"/>
  <c r="P15" i="3"/>
  <c r="P291" i="3"/>
  <c r="Q236" i="3"/>
  <c r="Q83" i="3"/>
  <c r="Q15" i="3"/>
  <c r="Q291" i="3"/>
  <c r="S236" i="3"/>
  <c r="S83" i="3"/>
  <c r="S15" i="3"/>
  <c r="T236" i="3"/>
  <c r="T83" i="3"/>
  <c r="T15" i="3"/>
  <c r="U236" i="3"/>
  <c r="U83" i="3"/>
  <c r="U15" i="3"/>
  <c r="V236" i="3"/>
  <c r="V83" i="3"/>
  <c r="V15" i="3"/>
  <c r="X236" i="3"/>
  <c r="X83" i="3"/>
  <c r="X15" i="3"/>
  <c r="Y236" i="3"/>
  <c r="Y83" i="3"/>
  <c r="Y15" i="3"/>
  <c r="Z236" i="3"/>
  <c r="Z83" i="3"/>
  <c r="Z15" i="3"/>
  <c r="AA236" i="3"/>
  <c r="AA83" i="3"/>
  <c r="AA15" i="3"/>
  <c r="AC236" i="3"/>
  <c r="AC83" i="3"/>
  <c r="AC15" i="3"/>
  <c r="AC291" i="3"/>
  <c r="AD236" i="3"/>
  <c r="AD83" i="3"/>
  <c r="AD15" i="3"/>
  <c r="AD291" i="3"/>
  <c r="AE236" i="3"/>
  <c r="AE83" i="3"/>
  <c r="AE15" i="3"/>
  <c r="AE291" i="3"/>
  <c r="AF236" i="3"/>
  <c r="AC113" i="3"/>
  <c r="AH113" i="3"/>
  <c r="AF83" i="3"/>
  <c r="AA113" i="3"/>
  <c r="AF113" i="3"/>
  <c r="AE113" i="3"/>
  <c r="AD113" i="3"/>
  <c r="AI79" i="3"/>
  <c r="AF15" i="3"/>
  <c r="AF291" i="3"/>
  <c r="AH236" i="3"/>
  <c r="AI113" i="3"/>
  <c r="AJ79" i="3"/>
  <c r="AH291" i="3"/>
  <c r="AI236" i="3"/>
  <c r="AJ113" i="3"/>
  <c r="AK79" i="3"/>
  <c r="AI291" i="3"/>
  <c r="AJ236" i="3"/>
  <c r="AK113" i="3"/>
  <c r="S127" i="3"/>
  <c r="X127" i="3"/>
  <c r="AC127" i="3"/>
  <c r="AH127" i="3"/>
  <c r="V127" i="3"/>
  <c r="AA127" i="3"/>
  <c r="AF127" i="3"/>
  <c r="U127" i="3"/>
  <c r="Z127" i="3"/>
  <c r="AE127" i="3"/>
  <c r="T127" i="3"/>
  <c r="Y127" i="3"/>
  <c r="AD127" i="3"/>
  <c r="L122" i="3"/>
  <c r="L126" i="3"/>
  <c r="N118" i="3"/>
  <c r="N117" i="3"/>
  <c r="N120" i="3"/>
  <c r="N121" i="3"/>
  <c r="N132" i="3"/>
  <c r="O132" i="3"/>
  <c r="P132" i="3"/>
  <c r="Q132" i="3"/>
  <c r="S132" i="3"/>
  <c r="T132" i="3"/>
  <c r="U132" i="3"/>
  <c r="V132" i="3"/>
  <c r="X132" i="3"/>
  <c r="Y132" i="3"/>
  <c r="Z132" i="3"/>
  <c r="AA132" i="3"/>
  <c r="AC132" i="3"/>
  <c r="AD132" i="3"/>
  <c r="AE132" i="3"/>
  <c r="AF132" i="3"/>
  <c r="AH132" i="3"/>
  <c r="AI127" i="3"/>
  <c r="AI132" i="3"/>
  <c r="AJ127" i="3"/>
  <c r="AJ132" i="3"/>
  <c r="AK127" i="3"/>
  <c r="AK132" i="3"/>
  <c r="AJ291" i="3"/>
  <c r="AK236" i="3"/>
  <c r="N134" i="3"/>
  <c r="O134" i="3"/>
  <c r="P134" i="3"/>
  <c r="Q134" i="3"/>
  <c r="S134" i="3"/>
  <c r="T134" i="3"/>
  <c r="U134" i="3"/>
  <c r="V134" i="3"/>
  <c r="X134" i="3"/>
  <c r="Y134" i="3"/>
  <c r="Z134" i="3"/>
  <c r="AA134" i="3"/>
  <c r="AC134" i="3"/>
  <c r="AD134" i="3"/>
  <c r="AE134" i="3"/>
  <c r="AF134" i="3"/>
  <c r="AH134" i="3"/>
  <c r="AI134" i="3"/>
  <c r="AJ134" i="3"/>
  <c r="AK134" i="3"/>
  <c r="N135" i="3"/>
  <c r="O135" i="3"/>
  <c r="P135" i="3"/>
  <c r="Q135" i="3"/>
  <c r="S135" i="3"/>
  <c r="T135" i="3"/>
  <c r="U135" i="3"/>
  <c r="V135" i="3"/>
  <c r="X135" i="3"/>
  <c r="Y135" i="3"/>
  <c r="Z135" i="3"/>
  <c r="AA135" i="3"/>
  <c r="AC135" i="3"/>
  <c r="AD135" i="3"/>
  <c r="AE135" i="3"/>
  <c r="AF135" i="3"/>
  <c r="AH135" i="3"/>
  <c r="AI135" i="3"/>
  <c r="AJ135" i="3"/>
  <c r="AK135" i="3"/>
  <c r="N131" i="3"/>
  <c r="O131" i="3"/>
  <c r="P131" i="3"/>
  <c r="Q131" i="3"/>
  <c r="S131" i="3"/>
  <c r="T131" i="3"/>
  <c r="U131" i="3"/>
  <c r="V131" i="3"/>
  <c r="X131" i="3"/>
  <c r="Y131" i="3"/>
  <c r="Z131" i="3"/>
  <c r="AA131" i="3"/>
  <c r="AC131" i="3"/>
  <c r="AD131" i="3"/>
  <c r="AE131" i="3"/>
  <c r="AF131" i="3"/>
  <c r="AH131" i="3"/>
  <c r="AI131" i="3"/>
  <c r="AJ131" i="3"/>
  <c r="AK131" i="3"/>
  <c r="N109" i="3"/>
  <c r="O109" i="3"/>
  <c r="P109" i="3"/>
  <c r="Q109" i="3"/>
  <c r="S109" i="3"/>
  <c r="T109" i="3"/>
  <c r="U109" i="3"/>
  <c r="V109" i="3"/>
  <c r="X109" i="3"/>
  <c r="Y109" i="3"/>
  <c r="Z109" i="3"/>
  <c r="AA109" i="3"/>
  <c r="AC109" i="3"/>
  <c r="AD109" i="3"/>
  <c r="AE109" i="3"/>
  <c r="AF109" i="3"/>
  <c r="AH109" i="3"/>
  <c r="N123" i="3"/>
  <c r="O123" i="3"/>
  <c r="P123" i="3"/>
  <c r="Q123" i="3"/>
  <c r="S123" i="3"/>
  <c r="T123" i="3"/>
  <c r="U123" i="3"/>
  <c r="V123" i="3"/>
  <c r="X123" i="3"/>
  <c r="Y123" i="3"/>
  <c r="Z123" i="3"/>
  <c r="AA123" i="3"/>
  <c r="AC123" i="3"/>
  <c r="AD123" i="3"/>
  <c r="AE123" i="3"/>
  <c r="AF123" i="3"/>
  <c r="AH123" i="3"/>
  <c r="AH24" i="3"/>
  <c r="AI109" i="3"/>
  <c r="AI123" i="3"/>
  <c r="AI24" i="3"/>
  <c r="AJ109" i="3"/>
  <c r="AJ123" i="3"/>
  <c r="AJ24" i="3"/>
  <c r="AK109" i="3"/>
  <c r="AK123" i="3"/>
  <c r="AK24" i="3"/>
  <c r="AL24" i="3"/>
  <c r="L206" i="3"/>
  <c r="L209" i="3"/>
  <c r="L264" i="3"/>
  <c r="M264" i="3"/>
  <c r="M265" i="3"/>
  <c r="M266" i="3"/>
  <c r="M267" i="3"/>
  <c r="G161" i="3"/>
  <c r="G157" i="3"/>
  <c r="I161" i="3"/>
  <c r="I157" i="3"/>
  <c r="J161" i="3"/>
  <c r="J157" i="3"/>
  <c r="K161" i="3"/>
  <c r="K157" i="3"/>
  <c r="L157" i="3"/>
  <c r="L161" i="3"/>
  <c r="L38" i="3"/>
  <c r="L269" i="3"/>
  <c r="M269" i="3"/>
  <c r="K288" i="3"/>
  <c r="J288" i="3"/>
  <c r="I288" i="3"/>
  <c r="G288" i="3"/>
  <c r="L288" i="3"/>
  <c r="M271" i="3"/>
  <c r="G189" i="3"/>
  <c r="G198" i="3"/>
  <c r="G231" i="3"/>
  <c r="I189" i="3"/>
  <c r="I198" i="3"/>
  <c r="I231" i="3"/>
  <c r="J189" i="3"/>
  <c r="J198" i="3"/>
  <c r="J231" i="3"/>
  <c r="K189" i="3"/>
  <c r="K198" i="3"/>
  <c r="K231" i="3"/>
  <c r="L231" i="3"/>
  <c r="K215" i="3"/>
  <c r="L217" i="3"/>
  <c r="L218" i="3"/>
  <c r="L201" i="3"/>
  <c r="L202" i="3"/>
  <c r="L203" i="3"/>
  <c r="L204" i="3"/>
  <c r="L205" i="3"/>
  <c r="L210" i="3"/>
  <c r="L211" i="3"/>
  <c r="L212" i="3"/>
  <c r="G232" i="3"/>
  <c r="I232" i="3"/>
  <c r="J232" i="3"/>
  <c r="K232" i="3"/>
  <c r="L232" i="3"/>
  <c r="L191" i="3"/>
  <c r="K219" i="3"/>
  <c r="K208" i="3"/>
  <c r="K213" i="3"/>
  <c r="K220" i="3"/>
  <c r="L193" i="3"/>
  <c r="L196" i="3"/>
  <c r="L197" i="3"/>
  <c r="M242" i="3"/>
  <c r="G235" i="3"/>
  <c r="I235" i="3"/>
  <c r="J235" i="3"/>
  <c r="K235" i="3"/>
  <c r="L235" i="3"/>
  <c r="L194" i="3"/>
  <c r="L243" i="3"/>
  <c r="M243" i="3"/>
  <c r="L244" i="3"/>
  <c r="M244" i="3"/>
  <c r="L245" i="3"/>
  <c r="M245" i="3"/>
  <c r="L246" i="3"/>
  <c r="M246" i="3"/>
  <c r="M248" i="3"/>
  <c r="L188" i="3"/>
  <c r="L252" i="3"/>
  <c r="M252" i="3"/>
  <c r="L254" i="3"/>
  <c r="M254" i="3"/>
  <c r="L255" i="3"/>
  <c r="M255" i="3"/>
  <c r="L256" i="3"/>
  <c r="M256" i="3"/>
  <c r="M273" i="3"/>
  <c r="N206" i="3"/>
  <c r="N209" i="3"/>
  <c r="N264" i="3"/>
  <c r="O206" i="3"/>
  <c r="O209" i="3"/>
  <c r="O264" i="3"/>
  <c r="P206" i="3"/>
  <c r="P209" i="3"/>
  <c r="P264" i="3"/>
  <c r="Q209" i="3"/>
  <c r="Q264" i="3"/>
  <c r="R264" i="3"/>
  <c r="R265" i="3"/>
  <c r="R266" i="3"/>
  <c r="R267" i="3"/>
  <c r="N157" i="3"/>
  <c r="N161" i="3"/>
  <c r="G158" i="3"/>
  <c r="I158" i="3"/>
  <c r="J158" i="3"/>
  <c r="K158" i="3"/>
  <c r="L158" i="3"/>
  <c r="L39" i="3"/>
  <c r="N158" i="3"/>
  <c r="N39" i="3"/>
  <c r="O157" i="3"/>
  <c r="O161" i="3"/>
  <c r="P157" i="3"/>
  <c r="P162" i="3"/>
  <c r="P161" i="3"/>
  <c r="Q157" i="3"/>
  <c r="N269" i="3"/>
  <c r="O269" i="3"/>
  <c r="P269" i="3"/>
  <c r="Q269" i="3"/>
  <c r="R269" i="3"/>
  <c r="N288" i="3"/>
  <c r="O288" i="3"/>
  <c r="P288" i="3"/>
  <c r="Q288" i="3"/>
  <c r="R271" i="3"/>
  <c r="N231" i="3"/>
  <c r="N24" i="3"/>
  <c r="L275" i="3"/>
  <c r="N151" i="3"/>
  <c r="I206" i="3"/>
  <c r="J152" i="3"/>
  <c r="I152" i="3"/>
  <c r="N152" i="3"/>
  <c r="N30" i="3"/>
  <c r="N217" i="3"/>
  <c r="N218" i="3"/>
  <c r="M201" i="3"/>
  <c r="N201" i="3"/>
  <c r="N202" i="3"/>
  <c r="N203" i="3"/>
  <c r="N204" i="3"/>
  <c r="N205" i="3"/>
  <c r="N210" i="3"/>
  <c r="N211" i="3"/>
  <c r="N212" i="3"/>
  <c r="N232" i="3"/>
  <c r="O231" i="3"/>
  <c r="O24" i="3"/>
  <c r="N191" i="3"/>
  <c r="N193" i="3"/>
  <c r="N196" i="3"/>
  <c r="N197" i="3"/>
  <c r="N235" i="3"/>
  <c r="N194" i="3"/>
  <c r="N243" i="3"/>
  <c r="N244" i="3"/>
  <c r="N245" i="3"/>
  <c r="N246" i="3"/>
  <c r="N188" i="3"/>
  <c r="N252" i="3"/>
  <c r="N254" i="3"/>
  <c r="N255" i="3"/>
  <c r="N256" i="3"/>
  <c r="O151" i="3"/>
  <c r="O152" i="3"/>
  <c r="O30" i="3"/>
  <c r="O217" i="3"/>
  <c r="O218" i="3"/>
  <c r="O201" i="3"/>
  <c r="O202" i="3"/>
  <c r="O203" i="3"/>
  <c r="O204" i="3"/>
  <c r="O205" i="3"/>
  <c r="O210" i="3"/>
  <c r="O211" i="3"/>
  <c r="O212" i="3"/>
  <c r="O232" i="3"/>
  <c r="P231" i="3"/>
  <c r="P24" i="3"/>
  <c r="O191" i="3"/>
  <c r="O193" i="3"/>
  <c r="O196" i="3"/>
  <c r="O197" i="3"/>
  <c r="O235" i="3"/>
  <c r="O194" i="3"/>
  <c r="O243" i="3"/>
  <c r="O244" i="3"/>
  <c r="O245" i="3"/>
  <c r="O246" i="3"/>
  <c r="O188" i="3"/>
  <c r="O252" i="3"/>
  <c r="O254" i="3"/>
  <c r="O255" i="3"/>
  <c r="O256" i="3"/>
  <c r="P151" i="3"/>
  <c r="P152" i="3"/>
  <c r="P30" i="3"/>
  <c r="P217" i="3"/>
  <c r="P218" i="3"/>
  <c r="P201" i="3"/>
  <c r="P202" i="3"/>
  <c r="P203" i="3"/>
  <c r="P204" i="3"/>
  <c r="P205" i="3"/>
  <c r="P210" i="3"/>
  <c r="P211" i="3"/>
  <c r="P212" i="3"/>
  <c r="P232" i="3"/>
  <c r="Q231" i="3"/>
  <c r="Q24" i="3"/>
  <c r="P191" i="3"/>
  <c r="P193" i="3"/>
  <c r="P196" i="3"/>
  <c r="P197" i="3"/>
  <c r="P235" i="3"/>
  <c r="P194" i="3"/>
  <c r="P243" i="3"/>
  <c r="P244" i="3"/>
  <c r="P245" i="3"/>
  <c r="P246" i="3"/>
  <c r="P188" i="3"/>
  <c r="P252" i="3"/>
  <c r="P254" i="3"/>
  <c r="P255" i="3"/>
  <c r="P256" i="3"/>
  <c r="Q151" i="3"/>
  <c r="Q152" i="3"/>
  <c r="Q30" i="3"/>
  <c r="Q217" i="3"/>
  <c r="Q218" i="3"/>
  <c r="Q202" i="3"/>
  <c r="Q203" i="3"/>
  <c r="Q204" i="3"/>
  <c r="Q205" i="3"/>
  <c r="Q210" i="3"/>
  <c r="Q211" i="3"/>
  <c r="Q212" i="3"/>
  <c r="Q232" i="3"/>
  <c r="Q191" i="3"/>
  <c r="Q193" i="3"/>
  <c r="Q196" i="3"/>
  <c r="Q197" i="3"/>
  <c r="R15" i="3"/>
  <c r="R24" i="3"/>
  <c r="R30" i="3"/>
  <c r="R28" i="3"/>
  <c r="Q235" i="3"/>
  <c r="Q194" i="3"/>
  <c r="Q243" i="3"/>
  <c r="R243" i="3"/>
  <c r="Q244" i="3"/>
  <c r="R244" i="3"/>
  <c r="Q245" i="3"/>
  <c r="R245" i="3"/>
  <c r="Q246" i="3"/>
  <c r="R246" i="3"/>
  <c r="R248" i="3"/>
  <c r="Q188" i="3"/>
  <c r="Q252" i="3"/>
  <c r="R252" i="3"/>
  <c r="Q254" i="3"/>
  <c r="R254" i="3"/>
  <c r="Q255" i="3"/>
  <c r="R255" i="3"/>
  <c r="R273" i="3"/>
  <c r="S209" i="3"/>
  <c r="S264" i="3"/>
  <c r="T209" i="3"/>
  <c r="T264" i="3"/>
  <c r="U209" i="3"/>
  <c r="U264" i="3"/>
  <c r="V209" i="3"/>
  <c r="V264" i="3"/>
  <c r="W264" i="3"/>
  <c r="W265" i="3"/>
  <c r="W266" i="3"/>
  <c r="W267" i="3"/>
  <c r="S157" i="3"/>
  <c r="T157" i="3"/>
  <c r="U157" i="3"/>
  <c r="V157" i="3"/>
  <c r="S269" i="3"/>
  <c r="T269" i="3"/>
  <c r="U269" i="3"/>
  <c r="V269" i="3"/>
  <c r="W269" i="3"/>
  <c r="S288" i="3"/>
  <c r="T288" i="3"/>
  <c r="U288" i="3"/>
  <c r="V288" i="3"/>
  <c r="W271" i="3"/>
  <c r="S231" i="3"/>
  <c r="S24" i="3"/>
  <c r="S151" i="3"/>
  <c r="S152" i="3"/>
  <c r="S30" i="3"/>
  <c r="S150" i="3"/>
  <c r="S217" i="3"/>
  <c r="S218" i="3"/>
  <c r="I229" i="3"/>
  <c r="S229" i="3"/>
  <c r="S202" i="3"/>
  <c r="S203" i="3"/>
  <c r="S204" i="3"/>
  <c r="S205" i="3"/>
  <c r="S210" i="3"/>
  <c r="S211" i="3"/>
  <c r="S212" i="3"/>
  <c r="S232" i="3"/>
  <c r="T231" i="3"/>
  <c r="T24" i="3"/>
  <c r="S191" i="3"/>
  <c r="S193" i="3"/>
  <c r="S196" i="3"/>
  <c r="S197" i="3"/>
  <c r="S235" i="3"/>
  <c r="S194" i="3"/>
  <c r="S243" i="3"/>
  <c r="S244" i="3"/>
  <c r="S245" i="3"/>
  <c r="S246" i="3"/>
  <c r="S225" i="3"/>
  <c r="S227" i="3"/>
  <c r="S188" i="3"/>
  <c r="S252" i="3"/>
  <c r="S254" i="3"/>
  <c r="S255" i="3"/>
  <c r="T151" i="3"/>
  <c r="T152" i="3"/>
  <c r="T30" i="3"/>
  <c r="T150" i="3"/>
  <c r="T217" i="3"/>
  <c r="T218" i="3"/>
  <c r="J229" i="3"/>
  <c r="T229" i="3"/>
  <c r="T202" i="3"/>
  <c r="T203" i="3"/>
  <c r="T204" i="3"/>
  <c r="T205" i="3"/>
  <c r="T210" i="3"/>
  <c r="T211" i="3"/>
  <c r="T212" i="3"/>
  <c r="T232" i="3"/>
  <c r="U231" i="3"/>
  <c r="U24" i="3"/>
  <c r="T191" i="3"/>
  <c r="T193" i="3"/>
  <c r="T196" i="3"/>
  <c r="T197" i="3"/>
  <c r="T235" i="3"/>
  <c r="T194" i="3"/>
  <c r="T243" i="3"/>
  <c r="T244" i="3"/>
  <c r="T245" i="3"/>
  <c r="T246" i="3"/>
  <c r="T225" i="3"/>
  <c r="T227" i="3"/>
  <c r="T188" i="3"/>
  <c r="T252" i="3"/>
  <c r="T254" i="3"/>
  <c r="T255" i="3"/>
  <c r="U151" i="3"/>
  <c r="U152" i="3"/>
  <c r="U30" i="3"/>
  <c r="U150" i="3"/>
  <c r="U217" i="3"/>
  <c r="U218" i="3"/>
  <c r="K229" i="3"/>
  <c r="U229" i="3"/>
  <c r="U202" i="3"/>
  <c r="U203" i="3"/>
  <c r="U204" i="3"/>
  <c r="U205" i="3"/>
  <c r="U210" i="3"/>
  <c r="U211" i="3"/>
  <c r="U212" i="3"/>
  <c r="U232" i="3"/>
  <c r="V231" i="3"/>
  <c r="V24" i="3"/>
  <c r="U191" i="3"/>
  <c r="U193" i="3"/>
  <c r="U196" i="3"/>
  <c r="U197" i="3"/>
  <c r="U235" i="3"/>
  <c r="U194" i="3"/>
  <c r="U243" i="3"/>
  <c r="U244" i="3"/>
  <c r="U245" i="3"/>
  <c r="U246" i="3"/>
  <c r="U225" i="3"/>
  <c r="U227" i="3"/>
  <c r="U188" i="3"/>
  <c r="U252" i="3"/>
  <c r="U254" i="3"/>
  <c r="U255" i="3"/>
  <c r="V151" i="3"/>
  <c r="V152" i="3"/>
  <c r="V30" i="3"/>
  <c r="V150" i="3"/>
  <c r="V217" i="3"/>
  <c r="V218" i="3"/>
  <c r="V229" i="3"/>
  <c r="V202" i="3"/>
  <c r="V203" i="3"/>
  <c r="V204" i="3"/>
  <c r="V205" i="3"/>
  <c r="V210" i="3"/>
  <c r="V211" i="3"/>
  <c r="V212" i="3"/>
  <c r="V232" i="3"/>
  <c r="V191" i="3"/>
  <c r="V193" i="3"/>
  <c r="V196" i="3"/>
  <c r="V197" i="3"/>
  <c r="W15" i="3"/>
  <c r="W24" i="3"/>
  <c r="W30" i="3"/>
  <c r="W28" i="3"/>
  <c r="V235" i="3"/>
  <c r="V194" i="3"/>
  <c r="V243" i="3"/>
  <c r="W243" i="3"/>
  <c r="V244" i="3"/>
  <c r="W244" i="3"/>
  <c r="V245" i="3"/>
  <c r="W245" i="3"/>
  <c r="V246" i="3"/>
  <c r="W246" i="3"/>
  <c r="W248" i="3"/>
  <c r="V225" i="3"/>
  <c r="V227" i="3"/>
  <c r="V188" i="3"/>
  <c r="V252" i="3"/>
  <c r="W252" i="3"/>
  <c r="V254" i="3"/>
  <c r="W254" i="3"/>
  <c r="V255" i="3"/>
  <c r="W255" i="3"/>
  <c r="W273" i="3"/>
  <c r="X209" i="3"/>
  <c r="X264" i="3"/>
  <c r="Y209" i="3"/>
  <c r="Y264" i="3"/>
  <c r="Z209" i="3"/>
  <c r="Z264" i="3"/>
  <c r="AA209" i="3"/>
  <c r="AA264" i="3"/>
  <c r="AB264" i="3"/>
  <c r="AB265" i="3"/>
  <c r="AB266" i="3"/>
  <c r="AB267" i="3"/>
  <c r="X157" i="3"/>
  <c r="Y157" i="3"/>
  <c r="Z157" i="3"/>
  <c r="AA157" i="3"/>
  <c r="X269" i="3"/>
  <c r="Y269" i="3"/>
  <c r="Z269" i="3"/>
  <c r="AA269" i="3"/>
  <c r="AB269" i="3"/>
  <c r="X288" i="3"/>
  <c r="Y288" i="3"/>
  <c r="Z288" i="3"/>
  <c r="AA288" i="3"/>
  <c r="AB271" i="3"/>
  <c r="X231" i="3"/>
  <c r="X24" i="3"/>
  <c r="X151" i="3"/>
  <c r="X152" i="3"/>
  <c r="X30" i="3"/>
  <c r="X150" i="3"/>
  <c r="X217" i="3"/>
  <c r="X218" i="3"/>
  <c r="X229" i="3"/>
  <c r="X202" i="3"/>
  <c r="X203" i="3"/>
  <c r="X204" i="3"/>
  <c r="X205" i="3"/>
  <c r="X210" i="3"/>
  <c r="X211" i="3"/>
  <c r="X212" i="3"/>
  <c r="X232" i="3"/>
  <c r="Y231" i="3"/>
  <c r="Y24" i="3"/>
  <c r="X191" i="3"/>
  <c r="X193" i="3"/>
  <c r="X196" i="3"/>
  <c r="X197" i="3"/>
  <c r="X235" i="3"/>
  <c r="X194" i="3"/>
  <c r="X243" i="3"/>
  <c r="X244" i="3"/>
  <c r="X245" i="3"/>
  <c r="X246" i="3"/>
  <c r="X225" i="3"/>
  <c r="X227" i="3"/>
  <c r="X188" i="3"/>
  <c r="X252" i="3"/>
  <c r="X254" i="3"/>
  <c r="X255" i="3"/>
  <c r="Y151" i="3"/>
  <c r="Y152" i="3"/>
  <c r="Y30" i="3"/>
  <c r="Y150" i="3"/>
  <c r="Y217" i="3"/>
  <c r="Y218" i="3"/>
  <c r="Y229" i="3"/>
  <c r="Y202" i="3"/>
  <c r="Y203" i="3"/>
  <c r="Y204" i="3"/>
  <c r="Y205" i="3"/>
  <c r="Y210" i="3"/>
  <c r="Y211" i="3"/>
  <c r="Y212" i="3"/>
  <c r="Y232" i="3"/>
  <c r="Z231" i="3"/>
  <c r="Z24" i="3"/>
  <c r="Y191" i="3"/>
  <c r="Y193" i="3"/>
  <c r="Y196" i="3"/>
  <c r="Y197" i="3"/>
  <c r="Y235" i="3"/>
  <c r="Y194" i="3"/>
  <c r="Y243" i="3"/>
  <c r="Y244" i="3"/>
  <c r="Y245" i="3"/>
  <c r="Y246" i="3"/>
  <c r="Y225" i="3"/>
  <c r="Y227" i="3"/>
  <c r="Y188" i="3"/>
  <c r="Y252" i="3"/>
  <c r="Y254" i="3"/>
  <c r="Y255" i="3"/>
  <c r="Z151" i="3"/>
  <c r="Z152" i="3"/>
  <c r="Z30" i="3"/>
  <c r="Z150" i="3"/>
  <c r="Z217" i="3"/>
  <c r="Z218" i="3"/>
  <c r="Z229" i="3"/>
  <c r="Z202" i="3"/>
  <c r="Z203" i="3"/>
  <c r="Z204" i="3"/>
  <c r="Z205" i="3"/>
  <c r="Z210" i="3"/>
  <c r="Z211" i="3"/>
  <c r="Z212" i="3"/>
  <c r="Z232" i="3"/>
  <c r="AA231" i="3"/>
  <c r="AA24" i="3"/>
  <c r="Z191" i="3"/>
  <c r="Z193" i="3"/>
  <c r="Z196" i="3"/>
  <c r="Z197" i="3"/>
  <c r="Z235" i="3"/>
  <c r="Z194" i="3"/>
  <c r="Z243" i="3"/>
  <c r="Z244" i="3"/>
  <c r="Z245" i="3"/>
  <c r="Z246" i="3"/>
  <c r="Z225" i="3"/>
  <c r="Z227" i="3"/>
  <c r="Z188" i="3"/>
  <c r="Z252" i="3"/>
  <c r="Z254" i="3"/>
  <c r="Z255" i="3"/>
  <c r="AA151" i="3"/>
  <c r="AA152" i="3"/>
  <c r="AA30" i="3"/>
  <c r="AA150" i="3"/>
  <c r="AA217" i="3"/>
  <c r="AA218" i="3"/>
  <c r="AA229" i="3"/>
  <c r="AA202" i="3"/>
  <c r="AA203" i="3"/>
  <c r="AA204" i="3"/>
  <c r="AA205" i="3"/>
  <c r="AA210" i="3"/>
  <c r="AA211" i="3"/>
  <c r="AA212" i="3"/>
  <c r="AA232" i="3"/>
  <c r="AA191" i="3"/>
  <c r="AA193" i="3"/>
  <c r="AA196" i="3"/>
  <c r="AA197" i="3"/>
  <c r="AB15" i="3"/>
  <c r="AB24" i="3"/>
  <c r="AB30" i="3"/>
  <c r="AB28" i="3"/>
  <c r="AA235" i="3"/>
  <c r="AA194" i="3"/>
  <c r="AA243" i="3"/>
  <c r="AB243" i="3"/>
  <c r="AA244" i="3"/>
  <c r="AB244" i="3"/>
  <c r="AA245" i="3"/>
  <c r="AB245" i="3"/>
  <c r="AA246" i="3"/>
  <c r="AB246" i="3"/>
  <c r="AB248" i="3"/>
  <c r="AA225" i="3"/>
  <c r="AA227" i="3"/>
  <c r="AA188" i="3"/>
  <c r="AA252" i="3"/>
  <c r="AB252" i="3"/>
  <c r="AA254" i="3"/>
  <c r="AB254" i="3"/>
  <c r="AA255" i="3"/>
  <c r="AB255" i="3"/>
  <c r="AB273" i="3"/>
  <c r="AC206" i="3"/>
  <c r="AC209" i="3"/>
  <c r="AC264" i="3"/>
  <c r="AC157" i="3"/>
  <c r="AC269" i="3"/>
  <c r="AC288" i="3"/>
  <c r="AC231" i="3"/>
  <c r="AC24" i="3"/>
  <c r="AC151" i="3"/>
  <c r="AC152" i="3"/>
  <c r="AC30" i="3"/>
  <c r="AC150" i="3"/>
  <c r="AC217" i="3"/>
  <c r="AC218" i="3"/>
  <c r="AC229" i="3"/>
  <c r="AC202" i="3"/>
  <c r="AC203" i="3"/>
  <c r="AC204" i="3"/>
  <c r="AC205" i="3"/>
  <c r="AC210" i="3"/>
  <c r="AC211" i="3"/>
  <c r="AC212" i="3"/>
  <c r="AC232" i="3"/>
  <c r="AC191" i="3"/>
  <c r="AC193" i="3"/>
  <c r="AC196" i="3"/>
  <c r="AC197" i="3"/>
  <c r="AC235" i="3"/>
  <c r="AC194" i="3"/>
  <c r="AC243" i="3"/>
  <c r="AC244" i="3"/>
  <c r="AC245" i="3"/>
  <c r="AC246" i="3"/>
  <c r="AC225" i="3"/>
  <c r="AC227" i="3"/>
  <c r="AC188" i="3"/>
  <c r="AC252" i="3"/>
  <c r="AC254" i="3"/>
  <c r="AC255" i="3"/>
  <c r="AD206" i="3"/>
  <c r="AD209" i="3"/>
  <c r="AD264" i="3"/>
  <c r="AD157" i="3"/>
  <c r="AD269" i="3"/>
  <c r="AD288" i="3"/>
  <c r="AD231" i="3"/>
  <c r="AD24" i="3"/>
  <c r="AD151" i="3"/>
  <c r="AD152" i="3"/>
  <c r="AD30" i="3"/>
  <c r="AD150" i="3"/>
  <c r="AD217" i="3"/>
  <c r="AD218" i="3"/>
  <c r="AD229" i="3"/>
  <c r="AD202" i="3"/>
  <c r="AD203" i="3"/>
  <c r="AD204" i="3"/>
  <c r="AD205" i="3"/>
  <c r="AD210" i="3"/>
  <c r="AD211" i="3"/>
  <c r="AD212" i="3"/>
  <c r="AD232" i="3"/>
  <c r="AD191" i="3"/>
  <c r="AD193" i="3"/>
  <c r="AD196" i="3"/>
  <c r="AD197" i="3"/>
  <c r="AD235" i="3"/>
  <c r="AD194" i="3"/>
  <c r="AD243" i="3"/>
  <c r="AD244" i="3"/>
  <c r="AD245" i="3"/>
  <c r="AD246" i="3"/>
  <c r="AD225" i="3"/>
  <c r="AD227" i="3"/>
  <c r="AD188" i="3"/>
  <c r="AD252" i="3"/>
  <c r="AD254" i="3"/>
  <c r="AD255" i="3"/>
  <c r="AE206" i="3"/>
  <c r="AE209" i="3"/>
  <c r="AE264" i="3"/>
  <c r="AE157" i="3"/>
  <c r="AE269" i="3"/>
  <c r="AE288" i="3"/>
  <c r="AE231" i="3"/>
  <c r="AE24" i="3"/>
  <c r="AE151" i="3"/>
  <c r="AE152" i="3"/>
  <c r="AE30" i="3"/>
  <c r="AE150" i="3"/>
  <c r="AE217" i="3"/>
  <c r="AE218" i="3"/>
  <c r="AE229" i="3"/>
  <c r="AE202" i="3"/>
  <c r="AE203" i="3"/>
  <c r="AE204" i="3"/>
  <c r="AE205" i="3"/>
  <c r="AE210" i="3"/>
  <c r="AE211" i="3"/>
  <c r="AE212" i="3"/>
  <c r="AE232" i="3"/>
  <c r="AE191" i="3"/>
  <c r="AE193" i="3"/>
  <c r="AE196" i="3"/>
  <c r="AE197" i="3"/>
  <c r="AE235" i="3"/>
  <c r="AE194" i="3"/>
  <c r="AE243" i="3"/>
  <c r="AE244" i="3"/>
  <c r="AE245" i="3"/>
  <c r="AE246" i="3"/>
  <c r="AE225" i="3"/>
  <c r="AE227" i="3"/>
  <c r="AE188" i="3"/>
  <c r="AE252" i="3"/>
  <c r="AE254" i="3"/>
  <c r="AE255" i="3"/>
  <c r="AF209" i="3"/>
  <c r="AF264" i="3"/>
  <c r="AF157" i="3"/>
  <c r="AF269" i="3"/>
  <c r="AF288" i="3"/>
  <c r="AF231" i="3"/>
  <c r="AF24" i="3"/>
  <c r="AF151" i="3"/>
  <c r="AF152" i="3"/>
  <c r="AF30" i="3"/>
  <c r="AF150" i="3"/>
  <c r="AF217" i="3"/>
  <c r="AF218" i="3"/>
  <c r="AF229" i="3"/>
  <c r="AF202" i="3"/>
  <c r="AF203" i="3"/>
  <c r="AF204" i="3"/>
  <c r="AF205" i="3"/>
  <c r="AF210" i="3"/>
  <c r="AF211" i="3"/>
  <c r="AF212" i="3"/>
  <c r="AF232" i="3"/>
  <c r="AF191" i="3"/>
  <c r="AF193" i="3"/>
  <c r="AF196" i="3"/>
  <c r="AF197" i="3"/>
  <c r="AF235" i="3"/>
  <c r="AF194" i="3"/>
  <c r="AF243" i="3"/>
  <c r="AF244" i="3"/>
  <c r="AF245" i="3"/>
  <c r="AF246" i="3"/>
  <c r="AF225" i="3"/>
  <c r="AF227" i="3"/>
  <c r="AF188" i="3"/>
  <c r="AF252" i="3"/>
  <c r="AF254" i="3"/>
  <c r="AF255" i="3"/>
  <c r="AH151" i="3"/>
  <c r="AG264" i="3"/>
  <c r="AG265" i="3"/>
  <c r="AG266" i="3"/>
  <c r="AG267" i="3"/>
  <c r="AG269" i="3"/>
  <c r="AG271" i="3"/>
  <c r="AG15" i="3"/>
  <c r="AG24" i="3"/>
  <c r="AG30" i="3"/>
  <c r="AG28" i="3"/>
  <c r="AG243" i="3"/>
  <c r="AG244" i="3"/>
  <c r="AG245" i="3"/>
  <c r="AG246" i="3"/>
  <c r="AG248" i="3"/>
  <c r="AG252" i="3"/>
  <c r="AG254" i="3"/>
  <c r="AG255" i="3"/>
  <c r="AG273" i="3"/>
  <c r="AH206" i="3"/>
  <c r="AH209" i="3"/>
  <c r="AH264" i="3"/>
  <c r="AH157" i="3"/>
  <c r="AH269" i="3"/>
  <c r="AH288" i="3"/>
  <c r="AH231" i="3"/>
  <c r="AH152" i="3"/>
  <c r="AH30" i="3"/>
  <c r="AH150" i="3"/>
  <c r="AH217" i="3"/>
  <c r="AH218" i="3"/>
  <c r="AH229" i="3"/>
  <c r="AH202" i="3"/>
  <c r="AH203" i="3"/>
  <c r="AH204" i="3"/>
  <c r="AH205" i="3"/>
  <c r="AH210" i="3"/>
  <c r="AH211" i="3"/>
  <c r="AH212" i="3"/>
  <c r="AH232" i="3"/>
  <c r="AH191" i="3"/>
  <c r="AH193" i="3"/>
  <c r="AH196" i="3"/>
  <c r="AH197" i="3"/>
  <c r="AH235" i="3"/>
  <c r="AH194" i="3"/>
  <c r="AH243" i="3"/>
  <c r="AH244" i="3"/>
  <c r="AH245" i="3"/>
  <c r="AH246" i="3"/>
  <c r="AH225" i="3"/>
  <c r="AH227" i="3"/>
  <c r="AH188" i="3"/>
  <c r="AH252" i="3"/>
  <c r="AH254" i="3"/>
  <c r="AH255" i="3"/>
  <c r="AI151" i="3"/>
  <c r="AI206" i="3"/>
  <c r="AI209" i="3"/>
  <c r="AI264" i="3"/>
  <c r="AI157" i="3"/>
  <c r="AI269" i="3"/>
  <c r="AI288" i="3"/>
  <c r="AI231" i="3"/>
  <c r="AI152" i="3"/>
  <c r="AI30" i="3"/>
  <c r="AI150" i="3"/>
  <c r="AI217" i="3"/>
  <c r="AI218" i="3"/>
  <c r="AI229" i="3"/>
  <c r="AI202" i="3"/>
  <c r="AI203" i="3"/>
  <c r="AI204" i="3"/>
  <c r="AI205" i="3"/>
  <c r="AI210" i="3"/>
  <c r="AI211" i="3"/>
  <c r="AI212" i="3"/>
  <c r="AI232" i="3"/>
  <c r="AI191" i="3"/>
  <c r="AI193" i="3"/>
  <c r="AI196" i="3"/>
  <c r="AI197" i="3"/>
  <c r="AI235" i="3"/>
  <c r="AI194" i="3"/>
  <c r="AI243" i="3"/>
  <c r="AI244" i="3"/>
  <c r="AI245" i="3"/>
  <c r="AI246" i="3"/>
  <c r="AI225" i="3"/>
  <c r="AI227" i="3"/>
  <c r="AI188" i="3"/>
  <c r="AI252" i="3"/>
  <c r="AI254" i="3"/>
  <c r="AI255" i="3"/>
  <c r="AJ151" i="3"/>
  <c r="AJ206" i="3"/>
  <c r="AJ209" i="3"/>
  <c r="AJ264" i="3"/>
  <c r="AJ157" i="3"/>
  <c r="AJ269" i="3"/>
  <c r="AJ288" i="3"/>
  <c r="AJ231" i="3"/>
  <c r="AJ152" i="3"/>
  <c r="AJ30" i="3"/>
  <c r="AJ150" i="3"/>
  <c r="AJ217" i="3"/>
  <c r="AJ218" i="3"/>
  <c r="AJ229" i="3"/>
  <c r="AJ202" i="3"/>
  <c r="AJ203" i="3"/>
  <c r="AJ204" i="3"/>
  <c r="AJ205" i="3"/>
  <c r="AJ210" i="3"/>
  <c r="AJ211" i="3"/>
  <c r="AJ212" i="3"/>
  <c r="AJ232" i="3"/>
  <c r="AJ191" i="3"/>
  <c r="AJ193" i="3"/>
  <c r="AJ196" i="3"/>
  <c r="AJ197" i="3"/>
  <c r="AJ235" i="3"/>
  <c r="AJ194" i="3"/>
  <c r="AJ243" i="3"/>
  <c r="AJ244" i="3"/>
  <c r="AJ245" i="3"/>
  <c r="AJ246" i="3"/>
  <c r="AJ225" i="3"/>
  <c r="AJ227" i="3"/>
  <c r="AJ188" i="3"/>
  <c r="AJ252" i="3"/>
  <c r="AJ254" i="3"/>
  <c r="AJ255" i="3"/>
  <c r="AK151" i="3"/>
  <c r="AK152" i="3"/>
  <c r="AK30" i="3"/>
  <c r="AL30" i="3"/>
  <c r="AL28" i="3"/>
  <c r="AK150" i="3"/>
  <c r="AK235" i="3"/>
  <c r="AK205" i="3"/>
  <c r="AK211" i="3"/>
  <c r="AK194" i="3"/>
  <c r="AK243" i="3"/>
  <c r="AL243" i="3"/>
  <c r="AK244" i="3"/>
  <c r="AL244" i="3"/>
  <c r="AK245" i="3"/>
  <c r="AL245" i="3"/>
  <c r="AK246" i="3"/>
  <c r="AL246" i="3"/>
  <c r="AK288" i="3"/>
  <c r="AL248" i="3"/>
  <c r="AK225" i="3"/>
  <c r="AK227" i="3"/>
  <c r="AK188" i="3"/>
  <c r="AK252" i="3"/>
  <c r="AL252" i="3"/>
  <c r="AK229" i="3"/>
  <c r="AK254" i="3"/>
  <c r="AL254" i="3"/>
  <c r="AK203" i="3"/>
  <c r="AK255" i="3"/>
  <c r="AL255" i="3"/>
  <c r="AK212" i="3"/>
  <c r="AK204" i="3"/>
  <c r="AK202" i="3"/>
  <c r="AL206" i="3"/>
  <c r="AK209" i="3"/>
  <c r="AL209" i="3"/>
  <c r="C309" i="3"/>
  <c r="C311" i="3"/>
  <c r="R278" i="3"/>
  <c r="W278" i="3"/>
  <c r="AB278" i="3"/>
  <c r="AG278" i="3"/>
  <c r="AK291" i="3"/>
  <c r="AL278" i="3"/>
  <c r="K281" i="3"/>
  <c r="K282" i="3"/>
  <c r="K283" i="3"/>
  <c r="C325" i="3"/>
  <c r="AK157" i="3"/>
  <c r="AK264" i="3"/>
  <c r="AK269" i="3"/>
  <c r="AK217" i="3"/>
  <c r="AK218" i="3"/>
  <c r="AK210" i="3"/>
  <c r="AK231" i="3"/>
  <c r="AK232" i="3"/>
  <c r="AK191" i="3"/>
  <c r="AK193" i="3"/>
  <c r="AK196" i="3"/>
  <c r="AK197" i="3"/>
  <c r="AL264" i="3"/>
  <c r="AL265" i="3"/>
  <c r="AL266" i="3"/>
  <c r="AL267" i="3"/>
  <c r="AL269" i="3"/>
  <c r="AL271" i="3"/>
  <c r="AL273" i="3"/>
  <c r="L169" i="3"/>
  <c r="D169" i="3"/>
  <c r="D170" i="3"/>
  <c r="D171" i="3"/>
  <c r="D174" i="3"/>
  <c r="E174" i="3"/>
  <c r="F174" i="3"/>
  <c r="G169" i="3"/>
  <c r="G171" i="3"/>
  <c r="G174" i="3"/>
  <c r="I174" i="3"/>
  <c r="J174" i="3"/>
  <c r="K169" i="3"/>
  <c r="K174" i="3"/>
  <c r="L171" i="3"/>
  <c r="L174" i="3"/>
  <c r="L176" i="3"/>
  <c r="L26" i="3"/>
  <c r="G34" i="3"/>
  <c r="L34" i="3"/>
  <c r="L178" i="3"/>
  <c r="L36" i="3"/>
  <c r="K176" i="3"/>
  <c r="K26" i="3"/>
  <c r="AB49" i="3"/>
  <c r="N34" i="3"/>
  <c r="O34" i="3"/>
  <c r="P34" i="3"/>
  <c r="Q34" i="3"/>
  <c r="S34" i="3"/>
  <c r="T34" i="3"/>
  <c r="U34" i="3"/>
  <c r="V34" i="3"/>
  <c r="W34" i="3"/>
  <c r="O158" i="3"/>
  <c r="P158" i="3"/>
  <c r="Q158" i="3"/>
  <c r="S158" i="3"/>
  <c r="T158" i="3"/>
  <c r="U158" i="3"/>
  <c r="V158" i="3"/>
  <c r="L136" i="3"/>
  <c r="L138" i="3"/>
  <c r="L139" i="3"/>
  <c r="H205" i="3"/>
  <c r="M205" i="3"/>
  <c r="R205" i="3"/>
  <c r="W205" i="3"/>
  <c r="AB205" i="3"/>
  <c r="AG205" i="3"/>
  <c r="AG210" i="3"/>
  <c r="AB210" i="3"/>
  <c r="W210" i="3"/>
  <c r="R210" i="3"/>
  <c r="M210" i="3"/>
  <c r="J154" i="3"/>
  <c r="K154" i="3"/>
  <c r="I154" i="3"/>
  <c r="J176" i="3"/>
  <c r="J26" i="3"/>
  <c r="J27" i="3"/>
  <c r="J36" i="3"/>
  <c r="J37" i="3"/>
  <c r="J42" i="3"/>
  <c r="E176" i="3"/>
  <c r="E26" i="3"/>
  <c r="E27" i="3"/>
  <c r="E177" i="3"/>
  <c r="E36" i="3"/>
  <c r="E37" i="3"/>
  <c r="E42" i="3"/>
  <c r="J153" i="3"/>
  <c r="K27" i="3"/>
  <c r="K178" i="3"/>
  <c r="K36" i="3"/>
  <c r="K37" i="3"/>
  <c r="K42" i="3"/>
  <c r="F176" i="3"/>
  <c r="F26" i="3"/>
  <c r="F27" i="3"/>
  <c r="F177" i="3"/>
  <c r="F36" i="3"/>
  <c r="F37" i="3"/>
  <c r="F42" i="3"/>
  <c r="K153" i="3"/>
  <c r="G176" i="3"/>
  <c r="G26" i="3"/>
  <c r="G27" i="3"/>
  <c r="G36" i="3"/>
  <c r="G37" i="3"/>
  <c r="G42" i="3"/>
  <c r="I176" i="3"/>
  <c r="I26" i="3"/>
  <c r="M26" i="3"/>
  <c r="M34" i="3"/>
  <c r="I36" i="3"/>
  <c r="M36" i="3"/>
  <c r="I35" i="3"/>
  <c r="J35" i="3"/>
  <c r="K35" i="3"/>
  <c r="D176" i="3"/>
  <c r="D26" i="3"/>
  <c r="H26" i="3"/>
  <c r="H27" i="3"/>
  <c r="D36" i="3"/>
  <c r="H36" i="3"/>
  <c r="H37" i="3"/>
  <c r="H42" i="3"/>
  <c r="I27" i="3"/>
  <c r="I37" i="3"/>
  <c r="I42" i="3"/>
  <c r="R34" i="3"/>
  <c r="X34" i="3"/>
  <c r="X158" i="3"/>
  <c r="Y34" i="3"/>
  <c r="Y158" i="3"/>
  <c r="Z34" i="3"/>
  <c r="Z158" i="3"/>
  <c r="AA34" i="3"/>
  <c r="AA158" i="3"/>
  <c r="AB34" i="3"/>
  <c r="AC34" i="3"/>
  <c r="AC158" i="3"/>
  <c r="AD34" i="3"/>
  <c r="AD158" i="3"/>
  <c r="AE34" i="3"/>
  <c r="AE158" i="3"/>
  <c r="AF34" i="3"/>
  <c r="AF158" i="3"/>
  <c r="AG34" i="3"/>
  <c r="AH34" i="3"/>
  <c r="AH158" i="3"/>
  <c r="AI34" i="3"/>
  <c r="AI158" i="3"/>
  <c r="AJ34" i="3"/>
  <c r="AJ158" i="3"/>
  <c r="AK34" i="3"/>
  <c r="AK158" i="3"/>
  <c r="AL34" i="3"/>
  <c r="D27" i="3"/>
  <c r="D37" i="3"/>
  <c r="D42" i="3"/>
  <c r="I153" i="3"/>
  <c r="M115" i="3"/>
  <c r="H115" i="3"/>
  <c r="M116" i="3"/>
  <c r="I93" i="3"/>
  <c r="J93" i="3"/>
  <c r="K93" i="3"/>
  <c r="M93" i="3"/>
  <c r="I82" i="3"/>
  <c r="J82" i="3"/>
  <c r="K82" i="3"/>
  <c r="M82" i="3"/>
  <c r="M100" i="3"/>
  <c r="M60" i="3"/>
  <c r="M49" i="3"/>
  <c r="M67" i="3"/>
  <c r="G229" i="3"/>
  <c r="G227" i="3"/>
  <c r="G225" i="3"/>
  <c r="AL212" i="3"/>
  <c r="AL211" i="3"/>
  <c r="AL210" i="3"/>
  <c r="AL202" i="3"/>
  <c r="AL203" i="3"/>
  <c r="AL204" i="3"/>
  <c r="AL205" i="3"/>
  <c r="AL207" i="3"/>
  <c r="AG212" i="3"/>
  <c r="AG211" i="3"/>
  <c r="AG209" i="3"/>
  <c r="AG202" i="3"/>
  <c r="AG203" i="3"/>
  <c r="AG204" i="3"/>
  <c r="AG206" i="3"/>
  <c r="AG207" i="3"/>
  <c r="AB212" i="3"/>
  <c r="AB211" i="3"/>
  <c r="AB209" i="3"/>
  <c r="AB202" i="3"/>
  <c r="AB203" i="3"/>
  <c r="AB204" i="3"/>
  <c r="AB206" i="3"/>
  <c r="AB207" i="3"/>
  <c r="W212" i="3"/>
  <c r="W211" i="3"/>
  <c r="W209" i="3"/>
  <c r="W202" i="3"/>
  <c r="W203" i="3"/>
  <c r="W204" i="3"/>
  <c r="W206" i="3"/>
  <c r="W207" i="3"/>
  <c r="R212" i="3"/>
  <c r="R211" i="3"/>
  <c r="R209" i="3"/>
  <c r="R202" i="3"/>
  <c r="R203" i="3"/>
  <c r="R204" i="3"/>
  <c r="R206" i="3"/>
  <c r="R207" i="3"/>
  <c r="M207" i="3"/>
  <c r="M202" i="3"/>
  <c r="M203" i="3"/>
  <c r="M204" i="3"/>
  <c r="M193" i="3"/>
  <c r="R193" i="3"/>
  <c r="W193" i="3"/>
  <c r="AB193" i="3"/>
  <c r="AG193" i="3"/>
  <c r="AL193" i="3"/>
  <c r="G152" i="3"/>
  <c r="G291" i="3"/>
  <c r="G55" i="3"/>
  <c r="G60" i="3"/>
  <c r="G61" i="3"/>
  <c r="G62" i="3"/>
  <c r="G93" i="3"/>
  <c r="G94" i="3"/>
  <c r="G95" i="3"/>
  <c r="I61" i="3"/>
  <c r="I62" i="3"/>
  <c r="I94" i="3"/>
  <c r="I95" i="3"/>
  <c r="K116" i="3"/>
  <c r="J116" i="3"/>
  <c r="I116" i="3"/>
  <c r="K130" i="3"/>
  <c r="J130" i="3"/>
  <c r="I130" i="3"/>
  <c r="J61" i="3"/>
  <c r="J62" i="3"/>
  <c r="J94" i="3"/>
  <c r="J95" i="3"/>
  <c r="K61" i="3"/>
  <c r="K62" i="3"/>
  <c r="K94" i="3"/>
  <c r="K95" i="3"/>
  <c r="G49" i="3"/>
  <c r="G82" i="3"/>
  <c r="I75" i="3"/>
  <c r="I78" i="3"/>
  <c r="I68" i="3"/>
  <c r="I79" i="3"/>
  <c r="G75" i="3"/>
  <c r="G78" i="3"/>
  <c r="G68" i="3"/>
  <c r="G79" i="3"/>
  <c r="J75" i="3"/>
  <c r="J78" i="3"/>
  <c r="J68" i="3"/>
  <c r="J79" i="3"/>
  <c r="K68" i="3"/>
  <c r="K79" i="3"/>
  <c r="I108" i="3"/>
  <c r="I112" i="3"/>
  <c r="I101" i="3"/>
  <c r="I113" i="3"/>
  <c r="G108" i="3"/>
  <c r="G112" i="3"/>
  <c r="G101" i="3"/>
  <c r="G113" i="3"/>
  <c r="J108" i="3"/>
  <c r="J112" i="3"/>
  <c r="J101" i="3"/>
  <c r="J113" i="3"/>
  <c r="K101" i="3"/>
  <c r="K113" i="3"/>
  <c r="I122" i="3"/>
  <c r="I126" i="3"/>
  <c r="I127" i="3"/>
  <c r="J122" i="3"/>
  <c r="J126" i="3"/>
  <c r="J127" i="3"/>
  <c r="K127" i="3"/>
  <c r="F160" i="3"/>
  <c r="F167" i="3"/>
  <c r="I150" i="3"/>
  <c r="J150" i="3"/>
  <c r="K150" i="3"/>
  <c r="D229" i="3"/>
  <c r="D227" i="3"/>
  <c r="I227" i="3"/>
  <c r="D225" i="3"/>
  <c r="I225" i="3"/>
  <c r="E229" i="3"/>
  <c r="E227" i="3"/>
  <c r="J227" i="3"/>
  <c r="E225" i="3"/>
  <c r="J225" i="3"/>
  <c r="F229" i="3"/>
  <c r="F227" i="3"/>
  <c r="K227" i="3"/>
  <c r="F225" i="3"/>
  <c r="K225" i="3"/>
  <c r="F161" i="3"/>
  <c r="F157" i="3"/>
  <c r="F158" i="3"/>
  <c r="E161" i="3"/>
  <c r="E164" i="3"/>
  <c r="E167" i="3"/>
  <c r="E158" i="3"/>
  <c r="E157" i="3"/>
  <c r="D163" i="3"/>
  <c r="D164" i="3"/>
  <c r="H188" i="3"/>
  <c r="L137" i="3"/>
  <c r="G179" i="3"/>
  <c r="H170" i="3"/>
  <c r="H171" i="3"/>
  <c r="H172" i="3"/>
  <c r="H173" i="3"/>
  <c r="H169" i="3"/>
  <c r="J179" i="3"/>
  <c r="L179" i="3"/>
  <c r="K179" i="3"/>
  <c r="H150" i="3"/>
  <c r="G150" i="3"/>
  <c r="AK144" i="3"/>
  <c r="AJ144" i="3"/>
  <c r="AI144" i="3"/>
  <c r="AH144" i="3"/>
  <c r="AK143" i="3"/>
  <c r="AJ143" i="3"/>
  <c r="AI143" i="3"/>
  <c r="AH143" i="3"/>
  <c r="AF144" i="3"/>
  <c r="AE144" i="3"/>
  <c r="AD144" i="3"/>
  <c r="AC144" i="3"/>
  <c r="AF143" i="3"/>
  <c r="AE143" i="3"/>
  <c r="AD143" i="3"/>
  <c r="AC143" i="3"/>
  <c r="AA144" i="3"/>
  <c r="Z144" i="3"/>
  <c r="Y144" i="3"/>
  <c r="X144" i="3"/>
  <c r="AA143" i="3"/>
  <c r="Z143" i="3"/>
  <c r="Y143" i="3"/>
  <c r="X143" i="3"/>
  <c r="V144" i="3"/>
  <c r="U144" i="3"/>
  <c r="T144" i="3"/>
  <c r="S144" i="3"/>
  <c r="V143" i="3"/>
  <c r="U143" i="3"/>
  <c r="T143" i="3"/>
  <c r="S143" i="3"/>
  <c r="Q144" i="3"/>
  <c r="P144" i="3"/>
  <c r="O144" i="3"/>
  <c r="N144" i="3"/>
  <c r="Q143" i="3"/>
  <c r="P143" i="3"/>
  <c r="O143" i="3"/>
  <c r="N143" i="3"/>
  <c r="K141" i="3"/>
  <c r="I141" i="3"/>
  <c r="L124" i="3"/>
  <c r="K76" i="3"/>
  <c r="K110" i="3"/>
  <c r="K124" i="3"/>
  <c r="K136" i="3"/>
  <c r="K137" i="3"/>
  <c r="K145" i="3"/>
  <c r="J76" i="3"/>
  <c r="J110" i="3"/>
  <c r="J124" i="3"/>
  <c r="J136" i="3"/>
  <c r="J137" i="3"/>
  <c r="J145" i="3"/>
  <c r="I110" i="3"/>
  <c r="I76" i="3"/>
  <c r="I124" i="3"/>
  <c r="I136" i="3"/>
  <c r="I137" i="3"/>
  <c r="I145" i="3"/>
  <c r="L144" i="3"/>
  <c r="K144" i="3"/>
  <c r="J144" i="3"/>
  <c r="I144" i="3"/>
  <c r="L143" i="3"/>
  <c r="K143" i="3"/>
  <c r="J143" i="3"/>
  <c r="I143" i="3"/>
  <c r="K142" i="3"/>
  <c r="J142" i="3"/>
  <c r="I142" i="3"/>
  <c r="L141" i="3"/>
  <c r="J141" i="3"/>
  <c r="E141" i="3"/>
  <c r="F141" i="3"/>
  <c r="G141" i="3"/>
  <c r="E142" i="3"/>
  <c r="F142" i="3"/>
  <c r="G142" i="3"/>
  <c r="E143" i="3"/>
  <c r="F143" i="3"/>
  <c r="G143" i="3"/>
  <c r="E144" i="3"/>
  <c r="F144" i="3"/>
  <c r="G144" i="3"/>
  <c r="E68" i="3"/>
  <c r="E75" i="3"/>
  <c r="E76" i="3"/>
  <c r="E101" i="3"/>
  <c r="E108" i="3"/>
  <c r="E110" i="3"/>
  <c r="E122" i="3"/>
  <c r="E124" i="3"/>
  <c r="E136" i="3"/>
  <c r="E137" i="3"/>
  <c r="E145" i="3"/>
  <c r="F68" i="3"/>
  <c r="F75" i="3"/>
  <c r="F76" i="3"/>
  <c r="F101" i="3"/>
  <c r="F108" i="3"/>
  <c r="F110" i="3"/>
  <c r="F122" i="3"/>
  <c r="F124" i="3"/>
  <c r="F136" i="3"/>
  <c r="F137" i="3"/>
  <c r="F145" i="3"/>
  <c r="G136" i="3"/>
  <c r="G137" i="3"/>
  <c r="G76" i="3"/>
  <c r="G110" i="3"/>
  <c r="G124" i="3"/>
  <c r="G145" i="3"/>
  <c r="D68" i="3"/>
  <c r="D75" i="3"/>
  <c r="D76" i="3"/>
  <c r="D101" i="3"/>
  <c r="D108" i="3"/>
  <c r="D110" i="3"/>
  <c r="D122" i="3"/>
  <c r="D124" i="3"/>
  <c r="D136" i="3"/>
  <c r="D137" i="3"/>
  <c r="D145" i="3"/>
  <c r="D144" i="3"/>
  <c r="D143" i="3"/>
  <c r="D142" i="3"/>
  <c r="D141" i="3"/>
  <c r="J138" i="3"/>
  <c r="J139" i="3"/>
  <c r="I138" i="3"/>
  <c r="I139" i="3"/>
  <c r="G138" i="3"/>
  <c r="G139" i="3"/>
  <c r="F138" i="3"/>
  <c r="F139" i="3"/>
  <c r="E138" i="3"/>
  <c r="E139" i="3"/>
  <c r="D138" i="3"/>
  <c r="D139" i="3"/>
  <c r="K138" i="3"/>
  <c r="K139" i="3"/>
  <c r="J98" i="3"/>
  <c r="K98" i="3"/>
  <c r="I98" i="3"/>
  <c r="D94" i="3"/>
  <c r="D95" i="3"/>
  <c r="E91" i="3"/>
  <c r="D91" i="3"/>
  <c r="K65" i="3"/>
  <c r="I65" i="3"/>
  <c r="D57" i="3"/>
  <c r="E61" i="3"/>
  <c r="E62" i="3"/>
  <c r="F61" i="3"/>
  <c r="F62" i="3"/>
  <c r="J65" i="3"/>
  <c r="G100" i="3"/>
  <c r="F93" i="3"/>
  <c r="D93" i="3"/>
  <c r="F82" i="3"/>
  <c r="E82" i="3"/>
  <c r="D82" i="3"/>
  <c r="D61" i="3"/>
  <c r="D60" i="3"/>
  <c r="E60" i="3"/>
  <c r="F60" i="3"/>
  <c r="H60" i="3"/>
  <c r="I50" i="3"/>
  <c r="D49" i="3"/>
  <c r="E49" i="3"/>
  <c r="F49" i="3"/>
  <c r="H49" i="3"/>
  <c r="AK224" i="3"/>
  <c r="AJ224" i="3"/>
  <c r="AI224" i="3"/>
  <c r="AH224" i="3"/>
  <c r="F90" i="3"/>
  <c r="E90" i="3"/>
  <c r="D90" i="3"/>
  <c r="D62" i="3"/>
  <c r="D78" i="3"/>
  <c r="D79" i="3"/>
  <c r="K50" i="3"/>
  <c r="J50" i="3"/>
  <c r="E93" i="3"/>
  <c r="D112" i="3"/>
  <c r="D113" i="3"/>
  <c r="K83" i="3"/>
  <c r="F94" i="3"/>
  <c r="F95" i="3"/>
  <c r="J83" i="3"/>
  <c r="E94" i="3"/>
  <c r="E95" i="3"/>
  <c r="I83" i="3"/>
  <c r="F112" i="3"/>
  <c r="E112" i="3"/>
  <c r="E113" i="3"/>
  <c r="F113" i="3"/>
  <c r="D126" i="3"/>
  <c r="D127" i="3"/>
  <c r="F126" i="3"/>
  <c r="E126" i="3"/>
  <c r="E127" i="3"/>
  <c r="F127" i="3"/>
  <c r="F78" i="3"/>
  <c r="F79" i="3"/>
  <c r="E78" i="3"/>
  <c r="E79" i="3"/>
  <c r="AL282" i="3"/>
  <c r="AK282" i="3"/>
  <c r="AJ282" i="3"/>
  <c r="AI282" i="3"/>
  <c r="AH282" i="3"/>
  <c r="AK234" i="3"/>
  <c r="AJ234" i="3"/>
  <c r="AI234" i="3"/>
  <c r="AH234" i="3"/>
  <c r="AK230" i="3"/>
  <c r="AJ230" i="3"/>
  <c r="AI230" i="3"/>
  <c r="AH230" i="3"/>
  <c r="AK228" i="3"/>
  <c r="AJ228" i="3"/>
  <c r="AI228" i="3"/>
  <c r="AH228" i="3"/>
  <c r="AK226" i="3"/>
  <c r="AJ226" i="3"/>
  <c r="AI226" i="3"/>
  <c r="AH226" i="3"/>
  <c r="AL218" i="3"/>
  <c r="AL197" i="3"/>
  <c r="AL196" i="3"/>
  <c r="AL191" i="3"/>
  <c r="AL188" i="3"/>
  <c r="AL160" i="3"/>
  <c r="AL152" i="3"/>
  <c r="AL93" i="3"/>
  <c r="AH82" i="3"/>
  <c r="AI82" i="3"/>
  <c r="AJ82" i="3"/>
  <c r="AK82" i="3"/>
  <c r="AL82" i="3"/>
  <c r="AL100" i="3"/>
  <c r="AK100" i="3"/>
  <c r="AJ100" i="3"/>
  <c r="AI100" i="3"/>
  <c r="AH100" i="3"/>
  <c r="AH81" i="3"/>
  <c r="AI81" i="3"/>
  <c r="AJ81" i="3"/>
  <c r="AK81" i="3"/>
  <c r="AL49" i="3"/>
  <c r="AD224" i="3"/>
  <c r="AF224" i="3"/>
  <c r="AE224" i="3"/>
  <c r="AC224" i="3"/>
  <c r="AA224" i="3"/>
  <c r="Z224" i="3"/>
  <c r="Y224" i="3"/>
  <c r="X224" i="3"/>
  <c r="V224" i="3"/>
  <c r="U224" i="3"/>
  <c r="T224" i="3"/>
  <c r="S224" i="3"/>
  <c r="Q224" i="3"/>
  <c r="P224" i="3"/>
  <c r="O224" i="3"/>
  <c r="N224" i="3"/>
  <c r="L224" i="3"/>
  <c r="K224" i="3"/>
  <c r="J224" i="3"/>
  <c r="E224" i="3"/>
  <c r="D224" i="3"/>
  <c r="I224" i="3"/>
  <c r="G224" i="3"/>
  <c r="F224" i="3"/>
  <c r="K230" i="3"/>
  <c r="K228" i="3"/>
  <c r="K226" i="3"/>
  <c r="F235" i="3"/>
  <c r="H194" i="3"/>
  <c r="H211" i="3"/>
  <c r="H235" i="3"/>
  <c r="F236" i="3"/>
  <c r="H192" i="3"/>
  <c r="H236" i="3"/>
  <c r="F232" i="3"/>
  <c r="H185" i="3"/>
  <c r="H190" i="3"/>
  <c r="H232" i="3"/>
  <c r="F189" i="3"/>
  <c r="F198" i="3"/>
  <c r="F231" i="3"/>
  <c r="H184" i="3"/>
  <c r="H186" i="3"/>
  <c r="H187" i="3"/>
  <c r="H189" i="3"/>
  <c r="H191" i="3"/>
  <c r="H193" i="3"/>
  <c r="H195" i="3"/>
  <c r="H196" i="3"/>
  <c r="H197" i="3"/>
  <c r="H198" i="3"/>
  <c r="H231" i="3"/>
  <c r="H200" i="3"/>
  <c r="H229" i="3"/>
  <c r="H227" i="3"/>
  <c r="H225" i="3"/>
  <c r="F288" i="3"/>
  <c r="H288" i="3"/>
  <c r="F291" i="3"/>
  <c r="H291" i="3"/>
  <c r="F289" i="3"/>
  <c r="G289" i="3"/>
  <c r="H289" i="3"/>
  <c r="I289" i="3"/>
  <c r="J289" i="3"/>
  <c r="K289" i="3"/>
  <c r="J208" i="3"/>
  <c r="I208" i="3"/>
  <c r="D208" i="3"/>
  <c r="G208" i="3"/>
  <c r="H207" i="3"/>
  <c r="H201" i="3"/>
  <c r="H202" i="3"/>
  <c r="H203" i="3"/>
  <c r="H204" i="3"/>
  <c r="H206" i="3"/>
  <c r="H208" i="3"/>
  <c r="F208" i="3"/>
  <c r="E206" i="3"/>
  <c r="E208" i="3"/>
  <c r="I215" i="3"/>
  <c r="J215" i="3"/>
  <c r="G215" i="3"/>
  <c r="H210" i="3"/>
  <c r="E291" i="3"/>
  <c r="D291" i="3"/>
  <c r="E236" i="3"/>
  <c r="F215" i="3"/>
  <c r="H275" i="3"/>
  <c r="E288" i="3"/>
  <c r="D288" i="3"/>
  <c r="D184" i="3"/>
  <c r="D189" i="3"/>
  <c r="D198" i="3"/>
  <c r="D231" i="3"/>
  <c r="E184" i="3"/>
  <c r="E189" i="3"/>
  <c r="E198" i="3"/>
  <c r="E231" i="3"/>
  <c r="E215" i="3"/>
  <c r="F219" i="3"/>
  <c r="F213" i="3"/>
  <c r="F220" i="3"/>
  <c r="D232" i="3"/>
  <c r="E232" i="3"/>
  <c r="E219" i="3"/>
  <c r="E213" i="3"/>
  <c r="E220" i="3"/>
  <c r="D235" i="3"/>
  <c r="E235" i="3"/>
  <c r="F281" i="3"/>
  <c r="F282" i="3"/>
  <c r="F283" i="3"/>
  <c r="F152" i="3"/>
  <c r="F57" i="3"/>
  <c r="E57" i="3"/>
  <c r="G213" i="3"/>
  <c r="G219" i="3"/>
  <c r="G220" i="3"/>
  <c r="I213" i="3"/>
  <c r="J213" i="3"/>
  <c r="AG282" i="3"/>
  <c r="AF282" i="3"/>
  <c r="AE282" i="3"/>
  <c r="AD282" i="3"/>
  <c r="AC282" i="3"/>
  <c r="AF234" i="3"/>
  <c r="AE234" i="3"/>
  <c r="AD234" i="3"/>
  <c r="AC234" i="3"/>
  <c r="AF230" i="3"/>
  <c r="AE230" i="3"/>
  <c r="AD230" i="3"/>
  <c r="AC230" i="3"/>
  <c r="AF228" i="3"/>
  <c r="AE228" i="3"/>
  <c r="AD228" i="3"/>
  <c r="AC228" i="3"/>
  <c r="AF226" i="3"/>
  <c r="AE226" i="3"/>
  <c r="AD226" i="3"/>
  <c r="AC226" i="3"/>
  <c r="AG218" i="3"/>
  <c r="AG188" i="3"/>
  <c r="AG191" i="3"/>
  <c r="AG196" i="3"/>
  <c r="AG197" i="3"/>
  <c r="AG160" i="3"/>
  <c r="AG152" i="3"/>
  <c r="AG93" i="3"/>
  <c r="AG82" i="3"/>
  <c r="AG100" i="3"/>
  <c r="AF100" i="3"/>
  <c r="AE100" i="3"/>
  <c r="AD100" i="3"/>
  <c r="AC100" i="3"/>
  <c r="AG49" i="3"/>
  <c r="F151" i="3"/>
  <c r="E151" i="3"/>
  <c r="F150" i="3"/>
  <c r="E150" i="3"/>
  <c r="D150" i="3"/>
  <c r="F35" i="3"/>
  <c r="E152" i="3"/>
  <c r="E281" i="3"/>
  <c r="E282" i="3"/>
  <c r="E283" i="3"/>
  <c r="E289" i="3"/>
  <c r="E66" i="3"/>
  <c r="E67" i="3"/>
  <c r="D281" i="3"/>
  <c r="D215" i="3"/>
  <c r="D219" i="3"/>
  <c r="D213" i="3"/>
  <c r="D220" i="3"/>
  <c r="H209" i="3"/>
  <c r="H82" i="3"/>
  <c r="H93" i="3"/>
  <c r="I230" i="3"/>
  <c r="S228" i="3"/>
  <c r="J230" i="3"/>
  <c r="T228" i="3"/>
  <c r="U228" i="3"/>
  <c r="Y226" i="3"/>
  <c r="P230" i="3"/>
  <c r="P226" i="3"/>
  <c r="X226" i="3"/>
  <c r="T226" i="3"/>
  <c r="U226" i="3"/>
  <c r="V226" i="3"/>
  <c r="AA230" i="3"/>
  <c r="G282" i="3"/>
  <c r="H282" i="3"/>
  <c r="I282" i="3"/>
  <c r="J282" i="3"/>
  <c r="L282" i="3"/>
  <c r="M206" i="3"/>
  <c r="M209" i="3"/>
  <c r="M282" i="3"/>
  <c r="N282" i="3"/>
  <c r="O282" i="3"/>
  <c r="P282" i="3"/>
  <c r="Q282" i="3"/>
  <c r="R282" i="3"/>
  <c r="S282" i="3"/>
  <c r="T282" i="3"/>
  <c r="U282" i="3"/>
  <c r="V282" i="3"/>
  <c r="W282" i="3"/>
  <c r="X282" i="3"/>
  <c r="Y282" i="3"/>
  <c r="Z282" i="3"/>
  <c r="AA282" i="3"/>
  <c r="AB282" i="3"/>
  <c r="E35" i="3"/>
  <c r="D35" i="3"/>
  <c r="D282" i="3"/>
  <c r="D283" i="3"/>
  <c r="F5" i="29"/>
  <c r="G5" i="29"/>
  <c r="F6" i="29"/>
  <c r="G6" i="29"/>
  <c r="F7" i="29"/>
  <c r="G7" i="29"/>
  <c r="F8" i="29"/>
  <c r="G8" i="29"/>
  <c r="F9" i="29"/>
  <c r="G9" i="29"/>
  <c r="F10" i="29"/>
  <c r="G10" i="29"/>
  <c r="F11" i="29"/>
  <c r="G11" i="29"/>
  <c r="F12" i="29"/>
  <c r="G12" i="29"/>
  <c r="F13" i="29"/>
  <c r="G13" i="29"/>
  <c r="F14" i="29"/>
  <c r="G14" i="29"/>
  <c r="F15" i="29"/>
  <c r="G15" i="29"/>
  <c r="F16" i="29"/>
  <c r="G16" i="29"/>
  <c r="G18" i="29"/>
  <c r="G19" i="29"/>
  <c r="G20" i="29"/>
  <c r="C330" i="3"/>
  <c r="D289" i="3"/>
  <c r="D234" i="3"/>
  <c r="E234" i="3"/>
  <c r="G234" i="3"/>
  <c r="J234" i="3"/>
  <c r="I234" i="3"/>
  <c r="F234" i="3"/>
  <c r="D228" i="3"/>
  <c r="E228" i="3"/>
  <c r="K234" i="3"/>
  <c r="L234" i="3"/>
  <c r="N234" i="3"/>
  <c r="I228" i="3"/>
  <c r="F228" i="3"/>
  <c r="O234" i="3"/>
  <c r="M211" i="3"/>
  <c r="P234" i="3"/>
  <c r="P228" i="3"/>
  <c r="O228" i="3"/>
  <c r="Q234" i="3"/>
  <c r="X228" i="3"/>
  <c r="AB218" i="3"/>
  <c r="W218" i="3"/>
  <c r="R218" i="3"/>
  <c r="M218" i="3"/>
  <c r="H218" i="3"/>
  <c r="S234" i="3"/>
  <c r="T234" i="3"/>
  <c r="U234" i="3"/>
  <c r="V234" i="3"/>
  <c r="W234" i="3"/>
  <c r="H174" i="3"/>
  <c r="X234" i="3"/>
  <c r="Y234" i="3"/>
  <c r="Z234" i="3"/>
  <c r="AA234" i="3"/>
  <c r="D179" i="3"/>
  <c r="H43" i="3"/>
  <c r="D125" i="3"/>
  <c r="F100" i="3"/>
  <c r="E100" i="3"/>
  <c r="D99" i="3"/>
  <c r="D66" i="3"/>
  <c r="M43" i="3"/>
  <c r="D111" i="3"/>
  <c r="E99" i="3"/>
  <c r="D67" i="3"/>
  <c r="D58" i="3"/>
  <c r="I67" i="3"/>
  <c r="R43" i="3"/>
  <c r="D77" i="3"/>
  <c r="F99" i="3"/>
  <c r="J67" i="3"/>
  <c r="I66" i="3"/>
  <c r="G66" i="3"/>
  <c r="K67" i="3"/>
  <c r="J66" i="3"/>
  <c r="K66" i="3"/>
  <c r="R49" i="3"/>
  <c r="W49" i="3"/>
  <c r="G21" i="29"/>
  <c r="H160" i="3"/>
  <c r="E226" i="3"/>
  <c r="H212" i="3"/>
  <c r="F230" i="3"/>
  <c r="F226" i="3"/>
  <c r="G226" i="3"/>
  <c r="D226" i="3"/>
  <c r="D230" i="3"/>
  <c r="G230" i="3"/>
  <c r="Q226" i="3"/>
  <c r="V230" i="3"/>
  <c r="N226" i="3"/>
  <c r="J226" i="3"/>
  <c r="E230" i="3"/>
  <c r="U230" i="3"/>
  <c r="L226" i="3"/>
  <c r="L230" i="3"/>
  <c r="M160" i="3"/>
  <c r="I226" i="3"/>
  <c r="O226" i="3"/>
  <c r="Q230" i="3"/>
  <c r="M212" i="3"/>
  <c r="AA226" i="3"/>
  <c r="M197" i="3"/>
  <c r="R160" i="3"/>
  <c r="W160" i="3"/>
  <c r="D148" i="3"/>
  <c r="R197" i="3"/>
  <c r="D41" i="3"/>
  <c r="AB160" i="3"/>
  <c r="D40" i="3"/>
  <c r="D233" i="3"/>
  <c r="W197" i="3"/>
  <c r="D221" i="3"/>
  <c r="AB197" i="3"/>
  <c r="H215" i="3"/>
  <c r="E148" i="3"/>
  <c r="E125" i="3"/>
  <c r="E41" i="3"/>
  <c r="E233" i="3"/>
  <c r="E40" i="3"/>
  <c r="M188" i="3"/>
  <c r="R188" i="3"/>
  <c r="W188" i="3"/>
  <c r="AB188" i="3"/>
  <c r="M196" i="3"/>
  <c r="R196" i="3"/>
  <c r="W196" i="3"/>
  <c r="AB196" i="3"/>
  <c r="E221" i="3"/>
  <c r="E58" i="3"/>
  <c r="E77" i="3"/>
  <c r="Y228" i="3"/>
  <c r="L228" i="3"/>
  <c r="Z228" i="3"/>
  <c r="G228" i="3"/>
  <c r="N228" i="3"/>
  <c r="Z226" i="3"/>
  <c r="Z230" i="3"/>
  <c r="S226" i="3"/>
  <c r="J228" i="3"/>
  <c r="E179" i="3"/>
  <c r="H161" i="3"/>
  <c r="G99" i="3"/>
  <c r="I99" i="3"/>
  <c r="D100" i="3"/>
  <c r="E111" i="3"/>
  <c r="H100" i="3"/>
  <c r="L91" i="3"/>
  <c r="F58" i="3"/>
  <c r="Q228" i="3"/>
  <c r="N230" i="3"/>
  <c r="S230" i="3"/>
  <c r="T230" i="3"/>
  <c r="O230" i="3"/>
  <c r="V228" i="3"/>
  <c r="F125" i="3"/>
  <c r="E149" i="3"/>
  <c r="D149" i="3"/>
  <c r="J100" i="3"/>
  <c r="J91" i="3"/>
  <c r="I100" i="3"/>
  <c r="G90" i="3"/>
  <c r="F91" i="3"/>
  <c r="G91" i="3"/>
  <c r="I90" i="3"/>
  <c r="I91" i="3"/>
  <c r="J99" i="3"/>
  <c r="AA228" i="3"/>
  <c r="Y230" i="3"/>
  <c r="X230" i="3"/>
  <c r="M161" i="3"/>
  <c r="H101" i="3"/>
  <c r="K91" i="3"/>
  <c r="L100" i="3"/>
  <c r="K90" i="3"/>
  <c r="J90" i="3"/>
  <c r="K100" i="3"/>
  <c r="N91" i="3"/>
  <c r="G57" i="3"/>
  <c r="G58" i="3"/>
  <c r="H56" i="3"/>
  <c r="I57" i="3"/>
  <c r="I58" i="3"/>
  <c r="K99" i="3"/>
  <c r="F148" i="3"/>
  <c r="M152" i="3"/>
  <c r="N100" i="3"/>
  <c r="J58" i="3"/>
  <c r="J57" i="3"/>
  <c r="O100" i="3"/>
  <c r="L90" i="3"/>
  <c r="L99" i="3"/>
  <c r="R82" i="3"/>
  <c r="P91" i="3"/>
  <c r="J147" i="3"/>
  <c r="K58" i="3"/>
  <c r="K57" i="3"/>
  <c r="I147" i="3"/>
  <c r="M56" i="3"/>
  <c r="P100" i="3"/>
  <c r="R93" i="3"/>
  <c r="R100" i="3"/>
  <c r="F149" i="3"/>
  <c r="S100" i="3"/>
  <c r="N90" i="3"/>
  <c r="M191" i="3"/>
  <c r="L57" i="3"/>
  <c r="L58" i="3"/>
  <c r="Q100" i="3"/>
  <c r="F41" i="3"/>
  <c r="F40" i="3"/>
  <c r="W82" i="3"/>
  <c r="T100" i="3"/>
  <c r="R152" i="3"/>
  <c r="AB82" i="3"/>
  <c r="P90" i="3"/>
  <c r="U100" i="3"/>
  <c r="F233" i="3"/>
  <c r="Y100" i="3"/>
  <c r="P58" i="3"/>
  <c r="P57" i="3"/>
  <c r="X100" i="3"/>
  <c r="V100" i="3"/>
  <c r="W93" i="3"/>
  <c r="W100" i="3"/>
  <c r="Z100" i="3"/>
  <c r="AA100" i="3"/>
  <c r="Q57" i="3"/>
  <c r="Q58" i="3"/>
  <c r="AB93" i="3"/>
  <c r="AB100" i="3"/>
  <c r="R191" i="3"/>
  <c r="W152" i="3"/>
  <c r="F221" i="3"/>
  <c r="V58" i="3"/>
  <c r="V57" i="3"/>
  <c r="AB152" i="3"/>
  <c r="W191" i="3"/>
  <c r="AB191" i="3"/>
  <c r="K147" i="3"/>
  <c r="F77" i="3"/>
  <c r="F111" i="3"/>
  <c r="G111" i="3"/>
  <c r="H110" i="3"/>
  <c r="H111" i="3"/>
  <c r="I111" i="3"/>
  <c r="K41" i="3"/>
  <c r="K40" i="3"/>
  <c r="J41" i="3"/>
  <c r="J40" i="3"/>
  <c r="I41" i="3"/>
  <c r="I40" i="3"/>
  <c r="H213" i="3"/>
  <c r="K149" i="3"/>
  <c r="K148" i="3"/>
  <c r="J149" i="3"/>
  <c r="J148" i="3"/>
  <c r="I149" i="3"/>
  <c r="I148" i="3"/>
  <c r="F179" i="3"/>
  <c r="G148" i="3"/>
  <c r="H148" i="3"/>
  <c r="G149" i="3"/>
  <c r="H149" i="3"/>
  <c r="I290" i="3"/>
  <c r="J290" i="3"/>
  <c r="K290" i="3"/>
  <c r="K111" i="3"/>
  <c r="J111" i="3"/>
  <c r="M194" i="3"/>
  <c r="M217" i="3"/>
  <c r="K125" i="3"/>
  <c r="H217" i="3"/>
  <c r="I219" i="3"/>
  <c r="I220" i="3"/>
  <c r="J219" i="3"/>
  <c r="J220" i="3"/>
  <c r="K221" i="3"/>
  <c r="K233" i="3"/>
  <c r="J221" i="3"/>
  <c r="J281" i="3"/>
  <c r="J283" i="3"/>
  <c r="J233" i="3"/>
  <c r="I281" i="3"/>
  <c r="I283" i="3"/>
  <c r="I221" i="3"/>
  <c r="I233" i="3"/>
  <c r="H216" i="3"/>
  <c r="H219" i="3"/>
  <c r="H220" i="3"/>
  <c r="H221" i="3"/>
  <c r="H281" i="3"/>
  <c r="H283" i="3"/>
  <c r="M275" i="3"/>
  <c r="G281" i="3"/>
  <c r="G221" i="3"/>
  <c r="G233" i="3"/>
  <c r="H35" i="3"/>
  <c r="H41" i="3"/>
  <c r="H40" i="3"/>
  <c r="G35" i="3"/>
  <c r="K77" i="3"/>
  <c r="J77" i="3"/>
  <c r="G77" i="3"/>
  <c r="H76" i="3"/>
  <c r="H68" i="3"/>
  <c r="H77" i="3"/>
  <c r="I77" i="3"/>
  <c r="N66" i="3"/>
  <c r="L66" i="3"/>
  <c r="N67" i="3"/>
  <c r="L67" i="3"/>
  <c r="F66" i="3"/>
  <c r="H67" i="3"/>
  <c r="G67" i="3"/>
  <c r="F67" i="3"/>
  <c r="AC67" i="3"/>
  <c r="AD67" i="3"/>
  <c r="AE67" i="3"/>
  <c r="AF67" i="3"/>
  <c r="AG60" i="3"/>
  <c r="AG67" i="3"/>
  <c r="AH67" i="3"/>
  <c r="AI67" i="3"/>
  <c r="AJ67" i="3"/>
  <c r="AK67" i="3"/>
  <c r="AL60" i="3"/>
  <c r="AL67" i="3"/>
  <c r="W115" i="3"/>
  <c r="AB115" i="3"/>
  <c r="AG115" i="3"/>
  <c r="R115" i="3"/>
  <c r="AL115" i="3"/>
  <c r="I125" i="3"/>
  <c r="M124" i="3"/>
  <c r="M125" i="3"/>
  <c r="J125" i="3"/>
  <c r="L125" i="3"/>
  <c r="G125" i="3"/>
  <c r="H124" i="3"/>
  <c r="H125" i="3"/>
  <c r="AL217" i="3"/>
  <c r="AL194" i="3"/>
  <c r="R194" i="3"/>
  <c r="R217" i="3"/>
  <c r="W194" i="3"/>
  <c r="W217" i="3"/>
  <c r="AB194" i="3"/>
  <c r="AB217" i="3"/>
  <c r="AG194" i="3"/>
  <c r="AG217" i="3"/>
  <c r="I179" i="3"/>
  <c r="G41" i="3"/>
  <c r="G40" i="3"/>
  <c r="G283" i="3"/>
  <c r="O39" i="3"/>
  <c r="P39" i="3"/>
  <c r="M101" i="3"/>
  <c r="L104" i="3"/>
  <c r="L102" i="3"/>
  <c r="L103" i="3"/>
  <c r="L107" i="3"/>
  <c r="L106" i="3"/>
  <c r="N92" i="3"/>
  <c r="L68" i="3"/>
  <c r="L14" i="3"/>
  <c r="L142" i="3"/>
  <c r="X51" i="3"/>
  <c r="S56" i="3"/>
  <c r="N56" i="3"/>
  <c r="L268" i="3"/>
  <c r="N38" i="3"/>
  <c r="O66" i="3"/>
  <c r="O61" i="3"/>
  <c r="O63" i="3"/>
  <c r="O67" i="3"/>
  <c r="N61" i="3"/>
  <c r="N63" i="3"/>
  <c r="AF51" i="3"/>
  <c r="AA56" i="3"/>
  <c r="Z51" i="3"/>
  <c r="U56" i="3"/>
  <c r="O56" i="3"/>
  <c r="Y51" i="3"/>
  <c r="T56" i="3"/>
  <c r="O57" i="3"/>
  <c r="O13" i="3"/>
  <c r="Q89" i="3"/>
  <c r="V89" i="3"/>
  <c r="AA84" i="3"/>
  <c r="P141" i="3"/>
  <c r="U89" i="3"/>
  <c r="Z84" i="3"/>
  <c r="O141" i="3"/>
  <c r="T89" i="3"/>
  <c r="Y84" i="3"/>
  <c r="O90" i="3"/>
  <c r="O91" i="3"/>
  <c r="S89" i="3"/>
  <c r="X84" i="3"/>
  <c r="X43" i="3"/>
  <c r="O92" i="3"/>
  <c r="N94" i="3"/>
  <c r="N96" i="3"/>
  <c r="N101" i="3"/>
  <c r="N99" i="3"/>
  <c r="L108" i="3"/>
  <c r="M14" i="3"/>
  <c r="M16" i="3"/>
  <c r="L16" i="3"/>
  <c r="L74" i="3"/>
  <c r="L22" i="3"/>
  <c r="M22" i="3"/>
  <c r="L69" i="3"/>
  <c r="M68" i="3"/>
  <c r="L70" i="3"/>
  <c r="L18" i="3"/>
  <c r="M18" i="3"/>
  <c r="L71" i="3"/>
  <c r="L19" i="3"/>
  <c r="M19" i="3"/>
  <c r="L73" i="3"/>
  <c r="L21" i="3"/>
  <c r="N57" i="3"/>
  <c r="N58" i="3"/>
  <c r="N13" i="3"/>
  <c r="N141" i="3"/>
  <c r="S57" i="3"/>
  <c r="S58" i="3"/>
  <c r="R56" i="3"/>
  <c r="X56" i="3"/>
  <c r="AC51" i="3"/>
  <c r="Q162" i="3"/>
  <c r="S159" i="3"/>
  <c r="Q161" i="3"/>
  <c r="N268" i="3"/>
  <c r="O38" i="3"/>
  <c r="M268" i="3"/>
  <c r="P67" i="3"/>
  <c r="N14" i="3"/>
  <c r="N142" i="3"/>
  <c r="N68" i="3"/>
  <c r="P59" i="3"/>
  <c r="S60" i="3"/>
  <c r="R60" i="3"/>
  <c r="R67" i="3"/>
  <c r="AA57" i="3"/>
  <c r="AA58" i="3"/>
  <c r="AK51" i="3"/>
  <c r="AK56" i="3"/>
  <c r="AF56" i="3"/>
  <c r="U57" i="3"/>
  <c r="U58" i="3"/>
  <c r="AE51" i="3"/>
  <c r="Z56" i="3"/>
  <c r="O68" i="3"/>
  <c r="O58" i="3"/>
  <c r="T58" i="3"/>
  <c r="W56" i="3"/>
  <c r="T57" i="3"/>
  <c r="AD51" i="3"/>
  <c r="Y56" i="3"/>
  <c r="Q13" i="3"/>
  <c r="Q91" i="3"/>
  <c r="Q90" i="3"/>
  <c r="AF84" i="3"/>
  <c r="AA89" i="3"/>
  <c r="V91" i="3"/>
  <c r="V90" i="3"/>
  <c r="V13" i="3"/>
  <c r="AE84" i="3"/>
  <c r="Z89" i="3"/>
  <c r="U90" i="3"/>
  <c r="U13" i="3"/>
  <c r="U91" i="3"/>
  <c r="T91" i="3"/>
  <c r="T90" i="3"/>
  <c r="T13" i="3"/>
  <c r="AD84" i="3"/>
  <c r="Y89" i="3"/>
  <c r="S13" i="3"/>
  <c r="S141" i="3"/>
  <c r="S90" i="3"/>
  <c r="S91" i="3"/>
  <c r="AC84" i="3"/>
  <c r="X89" i="3"/>
  <c r="W43" i="3"/>
  <c r="L112" i="3"/>
  <c r="N106" i="3"/>
  <c r="L110" i="3"/>
  <c r="N102" i="3"/>
  <c r="N104" i="3"/>
  <c r="N103" i="3"/>
  <c r="N107" i="3"/>
  <c r="O94" i="3"/>
  <c r="O96" i="3"/>
  <c r="P92" i="3"/>
  <c r="O99" i="3"/>
  <c r="L247" i="3"/>
  <c r="L260" i="3"/>
  <c r="L147" i="3"/>
  <c r="L186" i="3"/>
  <c r="L75" i="3"/>
  <c r="L17" i="3"/>
  <c r="M21" i="3"/>
  <c r="L200" i="3"/>
  <c r="M147" i="3"/>
  <c r="X57" i="3"/>
  <c r="X58" i="3"/>
  <c r="AH51" i="3"/>
  <c r="AH56" i="3"/>
  <c r="AC56" i="3"/>
  <c r="R161" i="3"/>
  <c r="Q39" i="3"/>
  <c r="S161" i="3"/>
  <c r="S39" i="3"/>
  <c r="T159" i="3"/>
  <c r="O268" i="3"/>
  <c r="P38" i="3"/>
  <c r="Q59" i="3"/>
  <c r="P61" i="3"/>
  <c r="P63" i="3"/>
  <c r="P66" i="3"/>
  <c r="S67" i="3"/>
  <c r="Q67" i="3"/>
  <c r="N70" i="3"/>
  <c r="N18" i="3"/>
  <c r="N74" i="3"/>
  <c r="N22" i="3"/>
  <c r="N169" i="3"/>
  <c r="T60" i="3"/>
  <c r="N16" i="3"/>
  <c r="AK58" i="3"/>
  <c r="AK57" i="3"/>
  <c r="AF57" i="3"/>
  <c r="AF58" i="3"/>
  <c r="AJ51" i="3"/>
  <c r="AJ56" i="3"/>
  <c r="AE56" i="3"/>
  <c r="U141" i="3"/>
  <c r="Z57" i="3"/>
  <c r="Z58" i="3"/>
  <c r="Y57" i="3"/>
  <c r="AB56" i="3"/>
  <c r="Y58" i="3"/>
  <c r="AI51" i="3"/>
  <c r="AI56" i="3"/>
  <c r="AD56" i="3"/>
  <c r="Q141" i="3"/>
  <c r="R13" i="3"/>
  <c r="V141" i="3"/>
  <c r="AA91" i="3"/>
  <c r="AA90" i="3"/>
  <c r="AA13" i="3"/>
  <c r="AK84" i="3"/>
  <c r="AK89" i="3"/>
  <c r="AF89" i="3"/>
  <c r="Z90" i="3"/>
  <c r="Z91" i="3"/>
  <c r="Z13" i="3"/>
  <c r="AJ84" i="3"/>
  <c r="AJ89" i="3"/>
  <c r="AE89" i="3"/>
  <c r="AD89" i="3"/>
  <c r="AI84" i="3"/>
  <c r="AI89" i="3"/>
  <c r="Y90" i="3"/>
  <c r="Y91" i="3"/>
  <c r="Y13" i="3"/>
  <c r="T141" i="3"/>
  <c r="X13" i="3"/>
  <c r="X141" i="3"/>
  <c r="X91" i="3"/>
  <c r="X90" i="3"/>
  <c r="AH84" i="3"/>
  <c r="AH89" i="3"/>
  <c r="AC89" i="3"/>
  <c r="W13" i="3"/>
  <c r="Y43" i="3"/>
  <c r="O101" i="3"/>
  <c r="O14" i="3"/>
  <c r="M110" i="3"/>
  <c r="M111" i="3"/>
  <c r="L111" i="3"/>
  <c r="P94" i="3"/>
  <c r="P96" i="3"/>
  <c r="P101" i="3"/>
  <c r="Q92" i="3"/>
  <c r="P99" i="3"/>
  <c r="L250" i="3"/>
  <c r="M250" i="3"/>
  <c r="M186" i="3"/>
  <c r="L253" i="3"/>
  <c r="M253" i="3"/>
  <c r="L208" i="3"/>
  <c r="L213" i="3"/>
  <c r="M200" i="3"/>
  <c r="M208" i="3"/>
  <c r="M213" i="3"/>
  <c r="L78" i="3"/>
  <c r="L76" i="3"/>
  <c r="L192" i="3"/>
  <c r="M192" i="3"/>
  <c r="N242" i="3"/>
  <c r="M260" i="3"/>
  <c r="M291" i="3"/>
  <c r="L270" i="3"/>
  <c r="L215" i="3"/>
  <c r="M247" i="3"/>
  <c r="M17" i="3"/>
  <c r="M23" i="3"/>
  <c r="M25" i="3"/>
  <c r="L23" i="3"/>
  <c r="L187" i="3"/>
  <c r="AC58" i="3"/>
  <c r="AC57" i="3"/>
  <c r="AH57" i="3"/>
  <c r="AH58" i="3"/>
  <c r="T161" i="3"/>
  <c r="T39" i="3"/>
  <c r="U159" i="3"/>
  <c r="P268" i="3"/>
  <c r="Q38" i="3"/>
  <c r="P14" i="3"/>
  <c r="P142" i="3"/>
  <c r="P68" i="3"/>
  <c r="T67" i="3"/>
  <c r="S59" i="3"/>
  <c r="Q61" i="3"/>
  <c r="Q63" i="3"/>
  <c r="Q66" i="3"/>
  <c r="N260" i="3"/>
  <c r="N147" i="3"/>
  <c r="N247" i="3"/>
  <c r="N186" i="3"/>
  <c r="U60" i="3"/>
  <c r="V60" i="3"/>
  <c r="AA141" i="3"/>
  <c r="AE57" i="3"/>
  <c r="AE58" i="3"/>
  <c r="AJ57" i="3"/>
  <c r="AJ58" i="3"/>
  <c r="AD57" i="3"/>
  <c r="AG56" i="3"/>
  <c r="AD58" i="3"/>
  <c r="AL56" i="3"/>
  <c r="AI58" i="3"/>
  <c r="AI57" i="3"/>
  <c r="AK13" i="3"/>
  <c r="AK90" i="3"/>
  <c r="AK91" i="3"/>
  <c r="AF91" i="3"/>
  <c r="AF90" i="3"/>
  <c r="AF13" i="3"/>
  <c r="AE13" i="3"/>
  <c r="AE90" i="3"/>
  <c r="AE91" i="3"/>
  <c r="Z141" i="3"/>
  <c r="AJ13" i="3"/>
  <c r="AJ91" i="3"/>
  <c r="AJ90" i="3"/>
  <c r="AI13" i="3"/>
  <c r="AI90" i="3"/>
  <c r="AI91" i="3"/>
  <c r="AD13" i="3"/>
  <c r="AD141" i="3"/>
  <c r="AD91" i="3"/>
  <c r="AD90" i="3"/>
  <c r="Y141" i="3"/>
  <c r="AH13" i="3"/>
  <c r="AH141" i="3"/>
  <c r="AH91" i="3"/>
  <c r="AH90" i="3"/>
  <c r="N173" i="3"/>
  <c r="N174" i="3"/>
  <c r="AB13" i="3"/>
  <c r="AC13" i="3"/>
  <c r="AC141" i="3"/>
  <c r="AC91" i="3"/>
  <c r="AC90" i="3"/>
  <c r="Z43" i="3"/>
  <c r="S92" i="3"/>
  <c r="Q94" i="3"/>
  <c r="Q96" i="3"/>
  <c r="Q101" i="3"/>
  <c r="R101" i="3"/>
  <c r="Q99" i="3"/>
  <c r="O16" i="3"/>
  <c r="O142" i="3"/>
  <c r="M215" i="3"/>
  <c r="M187" i="3"/>
  <c r="L251" i="3"/>
  <c r="M251" i="3"/>
  <c r="L77" i="3"/>
  <c r="M76" i="3"/>
  <c r="M77" i="3"/>
  <c r="N192" i="3"/>
  <c r="Q201" i="3"/>
  <c r="L25" i="3"/>
  <c r="L145" i="3"/>
  <c r="M270" i="3"/>
  <c r="M272" i="3"/>
  <c r="L272" i="3"/>
  <c r="N71" i="3"/>
  <c r="N19" i="3"/>
  <c r="N73" i="3"/>
  <c r="N21" i="3"/>
  <c r="N200" i="3"/>
  <c r="N69" i="3"/>
  <c r="N105" i="3"/>
  <c r="N108" i="3"/>
  <c r="N119" i="3"/>
  <c r="N122" i="3"/>
  <c r="N133" i="3"/>
  <c r="N136" i="3"/>
  <c r="N72" i="3"/>
  <c r="M27" i="3"/>
  <c r="M148" i="3"/>
  <c r="M31" i="3"/>
  <c r="V159" i="3"/>
  <c r="U161" i="3"/>
  <c r="U39" i="3"/>
  <c r="Q268" i="3"/>
  <c r="R268" i="3"/>
  <c r="S38" i="3"/>
  <c r="V67" i="3"/>
  <c r="N250" i="3"/>
  <c r="N270" i="3"/>
  <c r="Q68" i="3"/>
  <c r="R68" i="3"/>
  <c r="P16" i="3"/>
  <c r="T59" i="3"/>
  <c r="S66" i="3"/>
  <c r="S61" i="3"/>
  <c r="S63" i="3"/>
  <c r="U67" i="3"/>
  <c r="O242" i="3"/>
  <c r="W60" i="3"/>
  <c r="W67" i="3"/>
  <c r="X60" i="3"/>
  <c r="AI141" i="3"/>
  <c r="AF141" i="3"/>
  <c r="AK141" i="3"/>
  <c r="AJ141" i="3"/>
  <c r="AE141" i="3"/>
  <c r="N176" i="3"/>
  <c r="AG13" i="3"/>
  <c r="AL13" i="3"/>
  <c r="AA43" i="3"/>
  <c r="Q14" i="3"/>
  <c r="Q16" i="3"/>
  <c r="O186" i="3"/>
  <c r="O250" i="3"/>
  <c r="O147" i="3"/>
  <c r="O260" i="3"/>
  <c r="O247" i="3"/>
  <c r="S94" i="3"/>
  <c r="S96" i="3"/>
  <c r="S101" i="3"/>
  <c r="T92" i="3"/>
  <c r="S99" i="3"/>
  <c r="M149" i="3"/>
  <c r="N112" i="3"/>
  <c r="N110" i="3"/>
  <c r="N111" i="3"/>
  <c r="Q256" i="3"/>
  <c r="R256" i="3"/>
  <c r="R201" i="3"/>
  <c r="N20" i="3"/>
  <c r="N75" i="3"/>
  <c r="N17" i="3"/>
  <c r="N187" i="3"/>
  <c r="N251" i="3"/>
  <c r="N126" i="3"/>
  <c r="N124" i="3"/>
  <c r="N125" i="3"/>
  <c r="N137" i="3"/>
  <c r="N138" i="3"/>
  <c r="N139" i="3"/>
  <c r="N253" i="3"/>
  <c r="N208" i="3"/>
  <c r="N213" i="3"/>
  <c r="L31" i="3"/>
  <c r="L27" i="3"/>
  <c r="L148" i="3"/>
  <c r="V161" i="3"/>
  <c r="V39" i="3"/>
  <c r="X159" i="3"/>
  <c r="S268" i="3"/>
  <c r="T38" i="3"/>
  <c r="Q142" i="3"/>
  <c r="R14" i="3"/>
  <c r="R16" i="3"/>
  <c r="R147" i="3"/>
  <c r="O72" i="3"/>
  <c r="O105" i="3"/>
  <c r="O119" i="3"/>
  <c r="O133" i="3"/>
  <c r="Q247" i="3"/>
  <c r="Q186" i="3"/>
  <c r="Q147" i="3"/>
  <c r="Q260" i="3"/>
  <c r="Y60" i="3"/>
  <c r="Y67" i="3"/>
  <c r="S68" i="3"/>
  <c r="S14" i="3"/>
  <c r="S142" i="3"/>
  <c r="P247" i="3"/>
  <c r="P186" i="3"/>
  <c r="P260" i="3"/>
  <c r="P147" i="3"/>
  <c r="N272" i="3"/>
  <c r="O270" i="3"/>
  <c r="X67" i="3"/>
  <c r="O192" i="3"/>
  <c r="P242" i="3"/>
  <c r="U59" i="3"/>
  <c r="T66" i="3"/>
  <c r="T61" i="3"/>
  <c r="T63" i="3"/>
  <c r="N215" i="3"/>
  <c r="N178" i="3"/>
  <c r="N36" i="3"/>
  <c r="N26" i="3"/>
  <c r="AC43" i="3"/>
  <c r="AB43" i="3"/>
  <c r="N23" i="3"/>
  <c r="N25" i="3"/>
  <c r="P250" i="3"/>
  <c r="T94" i="3"/>
  <c r="T96" i="3"/>
  <c r="T101" i="3"/>
  <c r="U92" i="3"/>
  <c r="T99" i="3"/>
  <c r="S201" i="3"/>
  <c r="S256" i="3"/>
  <c r="O103" i="3"/>
  <c r="O102" i="3"/>
  <c r="O107" i="3"/>
  <c r="O106" i="3"/>
  <c r="O104" i="3"/>
  <c r="L149" i="3"/>
  <c r="L32" i="3"/>
  <c r="M32" i="3"/>
  <c r="O121" i="3"/>
  <c r="O118" i="3"/>
  <c r="O117" i="3"/>
  <c r="O120" i="3"/>
  <c r="N76" i="3"/>
  <c r="N77" i="3"/>
  <c r="N78" i="3"/>
  <c r="O215" i="3"/>
  <c r="W161" i="3"/>
  <c r="X161" i="3"/>
  <c r="Y159" i="3"/>
  <c r="U38" i="3"/>
  <c r="T268" i="3"/>
  <c r="P192" i="3"/>
  <c r="Q242" i="3"/>
  <c r="R242" i="3"/>
  <c r="V59" i="3"/>
  <c r="U61" i="3"/>
  <c r="U63" i="3"/>
  <c r="U66" i="3"/>
  <c r="P270" i="3"/>
  <c r="O272" i="3"/>
  <c r="Q250" i="3"/>
  <c r="R250" i="3"/>
  <c r="R186" i="3"/>
  <c r="P105" i="3"/>
  <c r="S16" i="3"/>
  <c r="R247" i="3"/>
  <c r="O20" i="3"/>
  <c r="P72" i="3"/>
  <c r="T14" i="3"/>
  <c r="T16" i="3"/>
  <c r="T68" i="3"/>
  <c r="R260" i="3"/>
  <c r="R291" i="3"/>
  <c r="P133" i="3"/>
  <c r="O136" i="3"/>
  <c r="P119" i="3"/>
  <c r="Z60" i="3"/>
  <c r="AD43" i="3"/>
  <c r="N148" i="3"/>
  <c r="N27" i="3"/>
  <c r="L37" i="3"/>
  <c r="L42" i="3"/>
  <c r="L153" i="3"/>
  <c r="O122" i="3"/>
  <c r="P215" i="3"/>
  <c r="U99" i="3"/>
  <c r="V92" i="3"/>
  <c r="U94" i="3"/>
  <c r="U96" i="3"/>
  <c r="U101" i="3"/>
  <c r="O108" i="3"/>
  <c r="O110" i="3"/>
  <c r="O111" i="3"/>
  <c r="N145" i="3"/>
  <c r="L33" i="3"/>
  <c r="M150" i="3"/>
  <c r="C314" i="3"/>
  <c r="M33" i="3"/>
  <c r="M37" i="3"/>
  <c r="O73" i="3"/>
  <c r="O21" i="3"/>
  <c r="O200" i="3"/>
  <c r="O253" i="3"/>
  <c r="O71" i="3"/>
  <c r="O19" i="3"/>
  <c r="O69" i="3"/>
  <c r="O70" i="3"/>
  <c r="O18" i="3"/>
  <c r="O74" i="3"/>
  <c r="O22" i="3"/>
  <c r="O169" i="3"/>
  <c r="O173" i="3"/>
  <c r="O174" i="3"/>
  <c r="O176" i="3"/>
  <c r="O26" i="3"/>
  <c r="Z159" i="3"/>
  <c r="Y161" i="3"/>
  <c r="X39" i="3"/>
  <c r="Y39" i="3"/>
  <c r="V38" i="3"/>
  <c r="U268" i="3"/>
  <c r="Q119" i="3"/>
  <c r="Q192" i="3"/>
  <c r="R192" i="3"/>
  <c r="S242" i="3"/>
  <c r="T142" i="3"/>
  <c r="Z67" i="3"/>
  <c r="AA60" i="3"/>
  <c r="AA67" i="3"/>
  <c r="P136" i="3"/>
  <c r="Q133" i="3"/>
  <c r="Q270" i="3"/>
  <c r="Q215" i="3"/>
  <c r="P272" i="3"/>
  <c r="T247" i="3"/>
  <c r="T186" i="3"/>
  <c r="T147" i="3"/>
  <c r="T260" i="3"/>
  <c r="S247" i="3"/>
  <c r="S260" i="3"/>
  <c r="S147" i="3"/>
  <c r="S186" i="3"/>
  <c r="S250" i="3"/>
  <c r="Q105" i="3"/>
  <c r="U14" i="3"/>
  <c r="U16" i="3"/>
  <c r="U68" i="3"/>
  <c r="O126" i="3"/>
  <c r="O124" i="3"/>
  <c r="O125" i="3"/>
  <c r="O137" i="3"/>
  <c r="O138" i="3"/>
  <c r="O139" i="3"/>
  <c r="O208" i="3"/>
  <c r="O213" i="3"/>
  <c r="Q72" i="3"/>
  <c r="P20" i="3"/>
  <c r="V66" i="3"/>
  <c r="X59" i="3"/>
  <c r="V61" i="3"/>
  <c r="V63" i="3"/>
  <c r="N149" i="3"/>
  <c r="AE43" i="3"/>
  <c r="O112" i="3"/>
  <c r="X92" i="3"/>
  <c r="V99" i="3"/>
  <c r="V94" i="3"/>
  <c r="V96" i="3"/>
  <c r="V101" i="3"/>
  <c r="W101" i="3"/>
  <c r="O178" i="3"/>
  <c r="O36" i="3"/>
  <c r="O17" i="3"/>
  <c r="O75" i="3"/>
  <c r="M241" i="3"/>
  <c r="M257" i="3"/>
  <c r="M35" i="3"/>
  <c r="E277" i="3"/>
  <c r="K277" i="3"/>
  <c r="D277" i="3"/>
  <c r="C315" i="3"/>
  <c r="G277" i="3"/>
  <c r="I277" i="3"/>
  <c r="F277" i="3"/>
  <c r="J277" i="3"/>
  <c r="L241" i="3"/>
  <c r="L35" i="3"/>
  <c r="R270" i="3"/>
  <c r="R272" i="3"/>
  <c r="AA159" i="3"/>
  <c r="Z161" i="3"/>
  <c r="Z39" i="3"/>
  <c r="X38" i="3"/>
  <c r="V268" i="3"/>
  <c r="W268" i="3"/>
  <c r="S119" i="3"/>
  <c r="U142" i="3"/>
  <c r="AB60" i="3"/>
  <c r="AB67" i="3"/>
  <c r="T250" i="3"/>
  <c r="P121" i="3"/>
  <c r="P118" i="3"/>
  <c r="P120" i="3"/>
  <c r="P117" i="3"/>
  <c r="R215" i="3"/>
  <c r="V14" i="3"/>
  <c r="V68" i="3"/>
  <c r="W68" i="3"/>
  <c r="Y59" i="3"/>
  <c r="X61" i="3"/>
  <c r="X63" i="3"/>
  <c r="X66" i="3"/>
  <c r="Q20" i="3"/>
  <c r="R20" i="3"/>
  <c r="S72" i="3"/>
  <c r="S105" i="3"/>
  <c r="S133" i="3"/>
  <c r="Q136" i="3"/>
  <c r="U260" i="3"/>
  <c r="U147" i="3"/>
  <c r="U247" i="3"/>
  <c r="U186" i="3"/>
  <c r="U250" i="3"/>
  <c r="S192" i="3"/>
  <c r="T242" i="3"/>
  <c r="T192" i="3"/>
  <c r="U242" i="3"/>
  <c r="P103" i="3"/>
  <c r="P102" i="3"/>
  <c r="P107" i="3"/>
  <c r="P104" i="3"/>
  <c r="P106" i="3"/>
  <c r="S270" i="3"/>
  <c r="Q272" i="3"/>
  <c r="P137" i="3"/>
  <c r="P138" i="3"/>
  <c r="P139" i="3"/>
  <c r="AF43" i="3"/>
  <c r="AG43" i="3"/>
  <c r="X94" i="3"/>
  <c r="X96" i="3"/>
  <c r="X101" i="3"/>
  <c r="Y92" i="3"/>
  <c r="X99" i="3"/>
  <c r="H277" i="3"/>
  <c r="M154" i="3"/>
  <c r="M290" i="3"/>
  <c r="K155" i="3"/>
  <c r="L257" i="3"/>
  <c r="L216" i="3"/>
  <c r="O187" i="3"/>
  <c r="O251" i="3"/>
  <c r="O23" i="3"/>
  <c r="L41" i="3"/>
  <c r="L40" i="3"/>
  <c r="I155" i="3"/>
  <c r="O78" i="3"/>
  <c r="O76" i="3"/>
  <c r="O77" i="3"/>
  <c r="J155" i="3"/>
  <c r="C321" i="3"/>
  <c r="C316" i="3"/>
  <c r="M39" i="3"/>
  <c r="M42" i="3"/>
  <c r="M153" i="3"/>
  <c r="M38" i="3"/>
  <c r="M40" i="3"/>
  <c r="U192" i="3"/>
  <c r="V242" i="3"/>
  <c r="W242" i="3"/>
  <c r="AA161" i="3"/>
  <c r="AB161" i="3"/>
  <c r="AC159" i="3"/>
  <c r="Y38" i="3"/>
  <c r="X268" i="3"/>
  <c r="S272" i="3"/>
  <c r="T270" i="3"/>
  <c r="P108" i="3"/>
  <c r="Q138" i="3"/>
  <c r="Q139" i="3"/>
  <c r="Q137" i="3"/>
  <c r="T72" i="3"/>
  <c r="S20" i="3"/>
  <c r="Z59" i="3"/>
  <c r="Y61" i="3"/>
  <c r="Y63" i="3"/>
  <c r="Y66" i="3"/>
  <c r="T133" i="3"/>
  <c r="S136" i="3"/>
  <c r="V16" i="3"/>
  <c r="W14" i="3"/>
  <c r="W16" i="3"/>
  <c r="W147" i="3"/>
  <c r="S215" i="3"/>
  <c r="P122" i="3"/>
  <c r="T119" i="3"/>
  <c r="T105" i="3"/>
  <c r="X68" i="3"/>
  <c r="X14" i="3"/>
  <c r="X142" i="3"/>
  <c r="V142" i="3"/>
  <c r="AH43" i="3"/>
  <c r="Y94" i="3"/>
  <c r="Y96" i="3"/>
  <c r="Y101" i="3"/>
  <c r="Z92" i="3"/>
  <c r="Y99" i="3"/>
  <c r="T201" i="3"/>
  <c r="T256" i="3"/>
  <c r="O25" i="3"/>
  <c r="M41" i="3"/>
  <c r="M216" i="3"/>
  <c r="M219" i="3"/>
  <c r="M220" i="3"/>
  <c r="L219" i="3"/>
  <c r="P69" i="3"/>
  <c r="P73" i="3"/>
  <c r="P21" i="3"/>
  <c r="P200" i="3"/>
  <c r="P208" i="3"/>
  <c r="P213" i="3"/>
  <c r="P74" i="3"/>
  <c r="P22" i="3"/>
  <c r="P169" i="3"/>
  <c r="P173" i="3"/>
  <c r="P174" i="3"/>
  <c r="P176" i="3"/>
  <c r="P26" i="3"/>
  <c r="P70" i="3"/>
  <c r="P18" i="3"/>
  <c r="P71" i="3"/>
  <c r="P19" i="3"/>
  <c r="L277" i="3"/>
  <c r="L154" i="3"/>
  <c r="L290" i="3"/>
  <c r="H279" i="3"/>
  <c r="T215" i="3"/>
  <c r="AA39" i="3"/>
  <c r="AC161" i="3"/>
  <c r="AC39" i="3"/>
  <c r="AD159" i="3"/>
  <c r="Z38" i="3"/>
  <c r="Y268" i="3"/>
  <c r="U105" i="3"/>
  <c r="S137" i="3"/>
  <c r="S138" i="3"/>
  <c r="S139" i="3"/>
  <c r="AA59" i="3"/>
  <c r="Z61" i="3"/>
  <c r="Z63" i="3"/>
  <c r="Z66" i="3"/>
  <c r="P124" i="3"/>
  <c r="P125" i="3"/>
  <c r="P126" i="3"/>
  <c r="U133" i="3"/>
  <c r="T136" i="3"/>
  <c r="P112" i="3"/>
  <c r="P110" i="3"/>
  <c r="P111" i="3"/>
  <c r="U72" i="3"/>
  <c r="T20" i="3"/>
  <c r="V260" i="3"/>
  <c r="V247" i="3"/>
  <c r="W247" i="3"/>
  <c r="V186" i="3"/>
  <c r="V147" i="3"/>
  <c r="X16" i="3"/>
  <c r="U119" i="3"/>
  <c r="Y68" i="3"/>
  <c r="U270" i="3"/>
  <c r="T272" i="3"/>
  <c r="AI43" i="3"/>
  <c r="P253" i="3"/>
  <c r="P178" i="3"/>
  <c r="P36" i="3"/>
  <c r="Y14" i="3"/>
  <c r="Y16" i="3"/>
  <c r="Z94" i="3"/>
  <c r="Z96" i="3"/>
  <c r="Z101" i="3"/>
  <c r="AA92" i="3"/>
  <c r="Z99" i="3"/>
  <c r="L155" i="3"/>
  <c r="M277" i="3"/>
  <c r="P17" i="3"/>
  <c r="P187" i="3"/>
  <c r="P251" i="3"/>
  <c r="P75" i="3"/>
  <c r="O145" i="3"/>
  <c r="O27" i="3"/>
  <c r="O149" i="3"/>
  <c r="O148" i="3"/>
  <c r="L220" i="3"/>
  <c r="L233" i="3"/>
  <c r="AD161" i="3"/>
  <c r="AD39" i="3"/>
  <c r="AE159" i="3"/>
  <c r="AA38" i="3"/>
  <c r="Z268" i="3"/>
  <c r="Y142" i="3"/>
  <c r="V119" i="3"/>
  <c r="V105" i="3"/>
  <c r="Y247" i="3"/>
  <c r="Y147" i="3"/>
  <c r="Y186" i="3"/>
  <c r="Y260" i="3"/>
  <c r="T137" i="3"/>
  <c r="T138" i="3"/>
  <c r="T139" i="3"/>
  <c r="AA66" i="3"/>
  <c r="AC59" i="3"/>
  <c r="AA61" i="3"/>
  <c r="AA63" i="3"/>
  <c r="W186" i="3"/>
  <c r="V250" i="3"/>
  <c r="W250" i="3"/>
  <c r="V72" i="3"/>
  <c r="U20" i="3"/>
  <c r="V133" i="3"/>
  <c r="U136" i="3"/>
  <c r="U272" i="3"/>
  <c r="V270" i="3"/>
  <c r="X147" i="3"/>
  <c r="X260" i="3"/>
  <c r="X186" i="3"/>
  <c r="X250" i="3"/>
  <c r="X247" i="3"/>
  <c r="Q120" i="3"/>
  <c r="Q121" i="3"/>
  <c r="Q118" i="3"/>
  <c r="Q117" i="3"/>
  <c r="W260" i="3"/>
  <c r="W291" i="3"/>
  <c r="V192" i="3"/>
  <c r="W192" i="3"/>
  <c r="X242" i="3"/>
  <c r="X192" i="3"/>
  <c r="Q104" i="3"/>
  <c r="Q107" i="3"/>
  <c r="Q103" i="3"/>
  <c r="Q102" i="3"/>
  <c r="Q106" i="3"/>
  <c r="Z68" i="3"/>
  <c r="U215" i="3"/>
  <c r="AJ43" i="3"/>
  <c r="AC92" i="3"/>
  <c r="AA94" i="3"/>
  <c r="AA96" i="3"/>
  <c r="AA101" i="3"/>
  <c r="AB101" i="3"/>
  <c r="AA99" i="3"/>
  <c r="Z14" i="3"/>
  <c r="Z16" i="3"/>
  <c r="Z186" i="3"/>
  <c r="Z250" i="3"/>
  <c r="M155" i="3"/>
  <c r="M279" i="3"/>
  <c r="L185" i="3"/>
  <c r="L190" i="3"/>
  <c r="M190" i="3"/>
  <c r="L195" i="3"/>
  <c r="P78" i="3"/>
  <c r="P76" i="3"/>
  <c r="P77" i="3"/>
  <c r="P23" i="3"/>
  <c r="AE161" i="3"/>
  <c r="AE39" i="3"/>
  <c r="AF159" i="3"/>
  <c r="AC38" i="3"/>
  <c r="AA268" i="3"/>
  <c r="AB268" i="3"/>
  <c r="Y250" i="3"/>
  <c r="X72" i="3"/>
  <c r="V20" i="3"/>
  <c r="W20" i="3"/>
  <c r="Q108" i="3"/>
  <c r="U137" i="3"/>
  <c r="U138" i="3"/>
  <c r="U139" i="3"/>
  <c r="AC61" i="3"/>
  <c r="AC63" i="3"/>
  <c r="AC66" i="3"/>
  <c r="AD59" i="3"/>
  <c r="Z147" i="3"/>
  <c r="Z260" i="3"/>
  <c r="Z247" i="3"/>
  <c r="V215" i="3"/>
  <c r="X270" i="3"/>
  <c r="V272" i="3"/>
  <c r="W270" i="3"/>
  <c r="W272" i="3"/>
  <c r="X119" i="3"/>
  <c r="AA14" i="3"/>
  <c r="AA16" i="3"/>
  <c r="AA68" i="3"/>
  <c r="AB68" i="3"/>
  <c r="Y242" i="3"/>
  <c r="Y192" i="3"/>
  <c r="Z242" i="3"/>
  <c r="Q122" i="3"/>
  <c r="Z142" i="3"/>
  <c r="X133" i="3"/>
  <c r="V136" i="3"/>
  <c r="X105" i="3"/>
  <c r="AK43" i="3"/>
  <c r="AC94" i="3"/>
  <c r="AC96" i="3"/>
  <c r="AC101" i="3"/>
  <c r="AD92" i="3"/>
  <c r="AC99" i="3"/>
  <c r="U201" i="3"/>
  <c r="U256" i="3"/>
  <c r="P25" i="3"/>
  <c r="M185" i="3"/>
  <c r="L259" i="3"/>
  <c r="Q73" i="3"/>
  <c r="Q21" i="3"/>
  <c r="Q200" i="3"/>
  <c r="Q70" i="3"/>
  <c r="Q18" i="3"/>
  <c r="Q74" i="3"/>
  <c r="Q22" i="3"/>
  <c r="Q169" i="3"/>
  <c r="Q173" i="3"/>
  <c r="Q174" i="3"/>
  <c r="Q71" i="3"/>
  <c r="Q19" i="3"/>
  <c r="R19" i="3"/>
  <c r="Q69" i="3"/>
  <c r="M195" i="3"/>
  <c r="L261" i="3"/>
  <c r="M261" i="3"/>
  <c r="AF161" i="3"/>
  <c r="AF39" i="3"/>
  <c r="AH159" i="3"/>
  <c r="AD38" i="3"/>
  <c r="AC268" i="3"/>
  <c r="AA142" i="3"/>
  <c r="Y119" i="3"/>
  <c r="Q126" i="3"/>
  <c r="Q124" i="3"/>
  <c r="AA260" i="3"/>
  <c r="AB260" i="3"/>
  <c r="AA186" i="3"/>
  <c r="AA247" i="3"/>
  <c r="AB247" i="3"/>
  <c r="AA147" i="3"/>
  <c r="W215" i="3"/>
  <c r="X215" i="3"/>
  <c r="Q110" i="3"/>
  <c r="Q112" i="3"/>
  <c r="V138" i="3"/>
  <c r="V139" i="3"/>
  <c r="V137" i="3"/>
  <c r="AC68" i="3"/>
  <c r="AC14" i="3"/>
  <c r="Y72" i="3"/>
  <c r="X20" i="3"/>
  <c r="Y105" i="3"/>
  <c r="Y133" i="3"/>
  <c r="X136" i="3"/>
  <c r="Z192" i="3"/>
  <c r="AA242" i="3"/>
  <c r="AB242" i="3"/>
  <c r="Y270" i="3"/>
  <c r="X272" i="3"/>
  <c r="AB14" i="3"/>
  <c r="AB16" i="3"/>
  <c r="AB147" i="3"/>
  <c r="AD66" i="3"/>
  <c r="AE59" i="3"/>
  <c r="AD61" i="3"/>
  <c r="AD63" i="3"/>
  <c r="R18" i="3"/>
  <c r="AL43" i="3"/>
  <c r="R22" i="3"/>
  <c r="R21" i="3"/>
  <c r="AE92" i="3"/>
  <c r="AD99" i="3"/>
  <c r="AD94" i="3"/>
  <c r="AD96" i="3"/>
  <c r="AD101" i="3"/>
  <c r="P145" i="3"/>
  <c r="P27" i="3"/>
  <c r="P149" i="3"/>
  <c r="P148" i="3"/>
  <c r="L262" i="3"/>
  <c r="L274" i="3"/>
  <c r="L276" i="3"/>
  <c r="M259" i="3"/>
  <c r="M262" i="3"/>
  <c r="M274" i="3"/>
  <c r="M276" i="3"/>
  <c r="Q17" i="3"/>
  <c r="Q75" i="3"/>
  <c r="AG161" i="3"/>
  <c r="AI159" i="3"/>
  <c r="AH161" i="3"/>
  <c r="AH39" i="3"/>
  <c r="AE38" i="3"/>
  <c r="AD268" i="3"/>
  <c r="Z105" i="3"/>
  <c r="AA192" i="3"/>
  <c r="AB192" i="3"/>
  <c r="AC242" i="3"/>
  <c r="AF59" i="3"/>
  <c r="AE61" i="3"/>
  <c r="AE63" i="3"/>
  <c r="AE66" i="3"/>
  <c r="Z270" i="3"/>
  <c r="Y272" i="3"/>
  <c r="X138" i="3"/>
  <c r="X139" i="3"/>
  <c r="X137" i="3"/>
  <c r="Y20" i="3"/>
  <c r="Z72" i="3"/>
  <c r="Z119" i="3"/>
  <c r="AC16" i="3"/>
  <c r="S117" i="3"/>
  <c r="S118" i="3"/>
  <c r="S120" i="3"/>
  <c r="S121" i="3"/>
  <c r="Y136" i="3"/>
  <c r="Z133" i="3"/>
  <c r="S103" i="3"/>
  <c r="S107" i="3"/>
  <c r="S102" i="3"/>
  <c r="S106" i="3"/>
  <c r="S104" i="3"/>
  <c r="Y215" i="3"/>
  <c r="AB186" i="3"/>
  <c r="AA250" i="3"/>
  <c r="AB250" i="3"/>
  <c r="Q111" i="3"/>
  <c r="R110" i="3"/>
  <c r="R111" i="3"/>
  <c r="AB291" i="3"/>
  <c r="R200" i="3"/>
  <c r="R208" i="3"/>
  <c r="R213" i="3"/>
  <c r="Q208" i="3"/>
  <c r="Q213" i="3"/>
  <c r="Q253" i="3"/>
  <c r="R253" i="3"/>
  <c r="AD68" i="3"/>
  <c r="AC142" i="3"/>
  <c r="Q125" i="3"/>
  <c r="R124" i="3"/>
  <c r="R125" i="3"/>
  <c r="AD14" i="3"/>
  <c r="AD16" i="3"/>
  <c r="AE94" i="3"/>
  <c r="AE96" i="3"/>
  <c r="AE101" i="3"/>
  <c r="AE99" i="3"/>
  <c r="AF92" i="3"/>
  <c r="L184" i="3"/>
  <c r="L3" i="3"/>
  <c r="L4" i="3"/>
  <c r="Q78" i="3"/>
  <c r="Q76" i="3"/>
  <c r="Q187" i="3"/>
  <c r="R17" i="3"/>
  <c r="R23" i="3"/>
  <c r="R25" i="3"/>
  <c r="R148" i="3"/>
  <c r="Q23" i="3"/>
  <c r="N275" i="3"/>
  <c r="M3" i="3"/>
  <c r="M4" i="3"/>
  <c r="R275" i="3"/>
  <c r="AJ159" i="3"/>
  <c r="AI161" i="3"/>
  <c r="AI39" i="3"/>
  <c r="AF38" i="3"/>
  <c r="AE268" i="3"/>
  <c r="Z215" i="3"/>
  <c r="AD142" i="3"/>
  <c r="S122" i="3"/>
  <c r="AA72" i="3"/>
  <c r="Z20" i="3"/>
  <c r="AE68" i="3"/>
  <c r="AC247" i="3"/>
  <c r="AC260" i="3"/>
  <c r="AC147" i="3"/>
  <c r="AC186" i="3"/>
  <c r="AC250" i="3"/>
  <c r="AF61" i="3"/>
  <c r="AF63" i="3"/>
  <c r="AH59" i="3"/>
  <c r="AF66" i="3"/>
  <c r="AA133" i="3"/>
  <c r="Z136" i="3"/>
  <c r="AA270" i="3"/>
  <c r="Z272" i="3"/>
  <c r="AD260" i="3"/>
  <c r="AD247" i="3"/>
  <c r="AD147" i="3"/>
  <c r="AD186" i="3"/>
  <c r="S108" i="3"/>
  <c r="Y137" i="3"/>
  <c r="Y138" i="3"/>
  <c r="Y139" i="3"/>
  <c r="AA119" i="3"/>
  <c r="AA105" i="3"/>
  <c r="AE14" i="3"/>
  <c r="AH92" i="3"/>
  <c r="AF94" i="3"/>
  <c r="AF96" i="3"/>
  <c r="AF101" i="3"/>
  <c r="AG101" i="3"/>
  <c r="AF99" i="3"/>
  <c r="R76" i="3"/>
  <c r="R77" i="3"/>
  <c r="Q77" i="3"/>
  <c r="V201" i="3"/>
  <c r="Q25" i="3"/>
  <c r="S73" i="3"/>
  <c r="S21" i="3"/>
  <c r="S200" i="3"/>
  <c r="S208" i="3"/>
  <c r="S213" i="3"/>
  <c r="S69" i="3"/>
  <c r="S71" i="3"/>
  <c r="S19" i="3"/>
  <c r="S70" i="3"/>
  <c r="S18" i="3"/>
  <c r="S74" i="3"/>
  <c r="S22" i="3"/>
  <c r="S169" i="3"/>
  <c r="S173" i="3"/>
  <c r="S174" i="3"/>
  <c r="S176" i="3"/>
  <c r="S178" i="3"/>
  <c r="S36" i="3"/>
  <c r="Q251" i="3"/>
  <c r="R251" i="3"/>
  <c r="R187" i="3"/>
  <c r="M184" i="3"/>
  <c r="L281" i="3"/>
  <c r="L283" i="3"/>
  <c r="L189" i="3"/>
  <c r="L198" i="3"/>
  <c r="L221" i="3"/>
  <c r="N29" i="3"/>
  <c r="AK159" i="3"/>
  <c r="AK161" i="3"/>
  <c r="AJ161" i="3"/>
  <c r="AL161" i="3"/>
  <c r="AH38" i="3"/>
  <c r="AF268" i="3"/>
  <c r="AG268" i="3"/>
  <c r="AA215" i="3"/>
  <c r="AB215" i="3"/>
  <c r="AC105" i="3"/>
  <c r="AD250" i="3"/>
  <c r="AE16" i="3"/>
  <c r="Z137" i="3"/>
  <c r="Z138" i="3"/>
  <c r="Z139" i="3"/>
  <c r="AI59" i="3"/>
  <c r="AH66" i="3"/>
  <c r="AH61" i="3"/>
  <c r="AH63" i="3"/>
  <c r="AC192" i="3"/>
  <c r="AD242" i="3"/>
  <c r="AD192" i="3"/>
  <c r="AE242" i="3"/>
  <c r="AE142" i="3"/>
  <c r="S124" i="3"/>
  <c r="S125" i="3"/>
  <c r="S126" i="3"/>
  <c r="AA136" i="3"/>
  <c r="AC133" i="3"/>
  <c r="AF14" i="3"/>
  <c r="AF16" i="3"/>
  <c r="AF68" i="3"/>
  <c r="AG68" i="3"/>
  <c r="AC119" i="3"/>
  <c r="S112" i="3"/>
  <c r="S110" i="3"/>
  <c r="S111" i="3"/>
  <c r="AA272" i="3"/>
  <c r="AC270" i="3"/>
  <c r="AA20" i="3"/>
  <c r="AB20" i="3"/>
  <c r="AC72" i="3"/>
  <c r="AB270" i="3"/>
  <c r="AB272" i="3"/>
  <c r="AJ39" i="3"/>
  <c r="AK39" i="3"/>
  <c r="S26" i="3"/>
  <c r="AI92" i="3"/>
  <c r="AH99" i="3"/>
  <c r="AH94" i="3"/>
  <c r="AH96" i="3"/>
  <c r="AH101" i="3"/>
  <c r="S253" i="3"/>
  <c r="S17" i="3"/>
  <c r="S187" i="3"/>
  <c r="S251" i="3"/>
  <c r="S75" i="3"/>
  <c r="M189" i="3"/>
  <c r="M198" i="3"/>
  <c r="M221" i="3"/>
  <c r="M151" i="3"/>
  <c r="M281" i="3"/>
  <c r="M283" i="3"/>
  <c r="Q145" i="3"/>
  <c r="Q175" i="3"/>
  <c r="Q176" i="3"/>
  <c r="Q148" i="3"/>
  <c r="N31" i="3"/>
  <c r="N32" i="3"/>
  <c r="N33" i="3"/>
  <c r="V256" i="3"/>
  <c r="W256" i="3"/>
  <c r="W201" i="3"/>
  <c r="AI38" i="3"/>
  <c r="AH268" i="3"/>
  <c r="AD119" i="3"/>
  <c r="AA138" i="3"/>
  <c r="AA139" i="3"/>
  <c r="AA137" i="3"/>
  <c r="AH68" i="3"/>
  <c r="AH14" i="3"/>
  <c r="AE186" i="3"/>
  <c r="AE250" i="3"/>
  <c r="AE147" i="3"/>
  <c r="AE247" i="3"/>
  <c r="AE260" i="3"/>
  <c r="T107" i="3"/>
  <c r="T106" i="3"/>
  <c r="T102" i="3"/>
  <c r="T104" i="3"/>
  <c r="T103" i="3"/>
  <c r="AF142" i="3"/>
  <c r="AF147" i="3"/>
  <c r="AF186" i="3"/>
  <c r="AF260" i="3"/>
  <c r="AF247" i="3"/>
  <c r="AJ59" i="3"/>
  <c r="AI61" i="3"/>
  <c r="AI63" i="3"/>
  <c r="AI66" i="3"/>
  <c r="AD270" i="3"/>
  <c r="AC272" i="3"/>
  <c r="AC215" i="3"/>
  <c r="AD72" i="3"/>
  <c r="AC20" i="3"/>
  <c r="AC136" i="3"/>
  <c r="AD133" i="3"/>
  <c r="T121" i="3"/>
  <c r="T118" i="3"/>
  <c r="T117" i="3"/>
  <c r="T120" i="3"/>
  <c r="AG14" i="3"/>
  <c r="AG16" i="3"/>
  <c r="AG147" i="3"/>
  <c r="AD105" i="3"/>
  <c r="N37" i="3"/>
  <c r="N42" i="3"/>
  <c r="N153" i="3"/>
  <c r="AH142" i="3"/>
  <c r="AI99" i="3"/>
  <c r="AI94" i="3"/>
  <c r="AI96" i="3"/>
  <c r="AI101" i="3"/>
  <c r="AJ92" i="3"/>
  <c r="S78" i="3"/>
  <c r="S76" i="3"/>
  <c r="N241" i="3"/>
  <c r="N35" i="3"/>
  <c r="Q26" i="3"/>
  <c r="Q178" i="3"/>
  <c r="Q36" i="3"/>
  <c r="R36" i="3"/>
  <c r="S23" i="3"/>
  <c r="AJ38" i="3"/>
  <c r="AI268" i="3"/>
  <c r="AD215" i="3"/>
  <c r="AE72" i="3"/>
  <c r="AD20" i="3"/>
  <c r="AE133" i="3"/>
  <c r="AD136" i="3"/>
  <c r="AI14" i="3"/>
  <c r="AI16" i="3"/>
  <c r="AI68" i="3"/>
  <c r="AC137" i="3"/>
  <c r="AC138" i="3"/>
  <c r="AC139" i="3"/>
  <c r="AJ66" i="3"/>
  <c r="AJ61" i="3"/>
  <c r="AJ63" i="3"/>
  <c r="AK59" i="3"/>
  <c r="AG186" i="3"/>
  <c r="AF250" i="3"/>
  <c r="AG250" i="3"/>
  <c r="AG260" i="3"/>
  <c r="AG291" i="3"/>
  <c r="T122" i="3"/>
  <c r="AE105" i="3"/>
  <c r="AE270" i="3"/>
  <c r="AD272" i="3"/>
  <c r="AE192" i="3"/>
  <c r="AF242" i="3"/>
  <c r="T108" i="3"/>
  <c r="AG247" i="3"/>
  <c r="AH16" i="3"/>
  <c r="AE119" i="3"/>
  <c r="AJ94" i="3"/>
  <c r="AJ96" i="3"/>
  <c r="AJ101" i="3"/>
  <c r="AJ99" i="3"/>
  <c r="AK92" i="3"/>
  <c r="N41" i="3"/>
  <c r="N40" i="3"/>
  <c r="N257" i="3"/>
  <c r="N216" i="3"/>
  <c r="S77" i="3"/>
  <c r="S25" i="3"/>
  <c r="X201" i="3"/>
  <c r="X256" i="3"/>
  <c r="R26" i="3"/>
  <c r="R27" i="3"/>
  <c r="R149" i="3"/>
  <c r="Q27" i="3"/>
  <c r="Q149" i="3"/>
  <c r="T73" i="3"/>
  <c r="T21" i="3"/>
  <c r="T200" i="3"/>
  <c r="T208" i="3"/>
  <c r="T213" i="3"/>
  <c r="T69" i="3"/>
  <c r="T71" i="3"/>
  <c r="T19" i="3"/>
  <c r="T74" i="3"/>
  <c r="T22" i="3"/>
  <c r="T169" i="3"/>
  <c r="T173" i="3"/>
  <c r="T174" i="3"/>
  <c r="T176" i="3"/>
  <c r="T26" i="3"/>
  <c r="T70" i="3"/>
  <c r="T18" i="3"/>
  <c r="AK38" i="3"/>
  <c r="AK268" i="3"/>
  <c r="AJ268" i="3"/>
  <c r="AI142" i="3"/>
  <c r="AH247" i="3"/>
  <c r="AH186" i="3"/>
  <c r="AH250" i="3"/>
  <c r="AH147" i="3"/>
  <c r="AH260" i="3"/>
  <c r="AF105" i="3"/>
  <c r="AK61" i="3"/>
  <c r="AK63" i="3"/>
  <c r="AK66" i="3"/>
  <c r="AE136" i="3"/>
  <c r="AF133" i="3"/>
  <c r="AF192" i="3"/>
  <c r="AG192" i="3"/>
  <c r="AH242" i="3"/>
  <c r="AG242" i="3"/>
  <c r="AJ14" i="3"/>
  <c r="AJ142" i="3"/>
  <c r="AJ68" i="3"/>
  <c r="AI147" i="3"/>
  <c r="AI186" i="3"/>
  <c r="AI260" i="3"/>
  <c r="AI247" i="3"/>
  <c r="AE20" i="3"/>
  <c r="AF72" i="3"/>
  <c r="AF119" i="3"/>
  <c r="T110" i="3"/>
  <c r="T111" i="3"/>
  <c r="T112" i="3"/>
  <c r="AE215" i="3"/>
  <c r="AF270" i="3"/>
  <c r="AE272" i="3"/>
  <c r="T126" i="3"/>
  <c r="T124" i="3"/>
  <c r="T125" i="3"/>
  <c r="AD138" i="3"/>
  <c r="AD139" i="3"/>
  <c r="AD137" i="3"/>
  <c r="T253" i="3"/>
  <c r="AK94" i="3"/>
  <c r="AK96" i="3"/>
  <c r="AK101" i="3"/>
  <c r="AL101" i="3"/>
  <c r="AK99" i="3"/>
  <c r="T178" i="3"/>
  <c r="T36" i="3"/>
  <c r="N290" i="3"/>
  <c r="N277" i="3"/>
  <c r="N155" i="3"/>
  <c r="N154" i="3"/>
  <c r="T75" i="3"/>
  <c r="T17" i="3"/>
  <c r="N219" i="3"/>
  <c r="S27" i="3"/>
  <c r="S149" i="3"/>
  <c r="S148" i="3"/>
  <c r="S145" i="3"/>
  <c r="AL268" i="3"/>
  <c r="AH119" i="3"/>
  <c r="AH192" i="3"/>
  <c r="AI242" i="3"/>
  <c r="AI192" i="3"/>
  <c r="AJ242" i="3"/>
  <c r="AK14" i="3"/>
  <c r="AK16" i="3"/>
  <c r="AK68" i="3"/>
  <c r="AL68" i="3"/>
  <c r="AF215" i="3"/>
  <c r="AH270" i="3"/>
  <c r="AF272" i="3"/>
  <c r="AH133" i="3"/>
  <c r="AF136" i="3"/>
  <c r="AH105" i="3"/>
  <c r="U121" i="3"/>
  <c r="U118" i="3"/>
  <c r="U117" i="3"/>
  <c r="U120" i="3"/>
  <c r="AF20" i="3"/>
  <c r="AG20" i="3"/>
  <c r="AH72" i="3"/>
  <c r="AJ16" i="3"/>
  <c r="AI250" i="3"/>
  <c r="AE138" i="3"/>
  <c r="AE139" i="3"/>
  <c r="AE137" i="3"/>
  <c r="AG270" i="3"/>
  <c r="AG272" i="3"/>
  <c r="U106" i="3"/>
  <c r="U104" i="3"/>
  <c r="U107" i="3"/>
  <c r="U103" i="3"/>
  <c r="U102" i="3"/>
  <c r="T76" i="3"/>
  <c r="T78" i="3"/>
  <c r="N233" i="3"/>
  <c r="N220" i="3"/>
  <c r="T187" i="3"/>
  <c r="T251" i="3"/>
  <c r="T23" i="3"/>
  <c r="U108" i="3"/>
  <c r="U110" i="3"/>
  <c r="U111" i="3"/>
  <c r="AL14" i="3"/>
  <c r="AL16" i="3"/>
  <c r="AL147" i="3"/>
  <c r="AJ186" i="3"/>
  <c r="AJ250" i="3"/>
  <c r="AJ147" i="3"/>
  <c r="AJ247" i="3"/>
  <c r="AJ260" i="3"/>
  <c r="U122" i="3"/>
  <c r="AI105" i="3"/>
  <c r="AI270" i="3"/>
  <c r="AH272" i="3"/>
  <c r="AK142" i="3"/>
  <c r="AI72" i="3"/>
  <c r="AI119" i="3"/>
  <c r="AH20" i="3"/>
  <c r="AF137" i="3"/>
  <c r="AF138" i="3"/>
  <c r="AF139" i="3"/>
  <c r="AG215" i="3"/>
  <c r="AH215" i="3"/>
  <c r="AK260" i="3"/>
  <c r="AK147" i="3"/>
  <c r="AK186" i="3"/>
  <c r="AK247" i="3"/>
  <c r="AH136" i="3"/>
  <c r="AI133" i="3"/>
  <c r="N195" i="3"/>
  <c r="N185" i="3"/>
  <c r="N190" i="3"/>
  <c r="T25" i="3"/>
  <c r="Y201" i="3"/>
  <c r="Y256" i="3"/>
  <c r="U71" i="3"/>
  <c r="U19" i="3"/>
  <c r="U73" i="3"/>
  <c r="U21" i="3"/>
  <c r="U200" i="3"/>
  <c r="U208" i="3"/>
  <c r="U213" i="3"/>
  <c r="U69" i="3"/>
  <c r="U74" i="3"/>
  <c r="U22" i="3"/>
  <c r="U169" i="3"/>
  <c r="U173" i="3"/>
  <c r="U174" i="3"/>
  <c r="U176" i="3"/>
  <c r="U26" i="3"/>
  <c r="U70" i="3"/>
  <c r="U18" i="3"/>
  <c r="T77" i="3"/>
  <c r="U112" i="3"/>
  <c r="V104" i="3"/>
  <c r="AJ119" i="3"/>
  <c r="AL260" i="3"/>
  <c r="AL291" i="3"/>
  <c r="AH137" i="3"/>
  <c r="AH138" i="3"/>
  <c r="AH139" i="3"/>
  <c r="AI20" i="3"/>
  <c r="AJ72" i="3"/>
  <c r="AJ105" i="3"/>
  <c r="AL247" i="3"/>
  <c r="AJ270" i="3"/>
  <c r="AI272" i="3"/>
  <c r="AJ192" i="3"/>
  <c r="AI215" i="3"/>
  <c r="AI136" i="3"/>
  <c r="AJ133" i="3"/>
  <c r="AL186" i="3"/>
  <c r="AK250" i="3"/>
  <c r="AL250" i="3"/>
  <c r="U124" i="3"/>
  <c r="U125" i="3"/>
  <c r="U126" i="3"/>
  <c r="U178" i="3"/>
  <c r="U36" i="3"/>
  <c r="U253" i="3"/>
  <c r="N259" i="3"/>
  <c r="U75" i="3"/>
  <c r="U17" i="3"/>
  <c r="U187" i="3"/>
  <c r="U251" i="3"/>
  <c r="T27" i="3"/>
  <c r="T149" i="3"/>
  <c r="T148" i="3"/>
  <c r="T145" i="3"/>
  <c r="N261" i="3"/>
  <c r="V106" i="3"/>
  <c r="V102" i="3"/>
  <c r="V107" i="3"/>
  <c r="V103" i="3"/>
  <c r="AJ215" i="3"/>
  <c r="AK270" i="3"/>
  <c r="AK272" i="3"/>
  <c r="AJ272" i="3"/>
  <c r="AI138" i="3"/>
  <c r="AI139" i="3"/>
  <c r="AI137" i="3"/>
  <c r="AK242" i="3"/>
  <c r="AL242" i="3"/>
  <c r="V117" i="3"/>
  <c r="V118" i="3"/>
  <c r="V120" i="3"/>
  <c r="V121" i="3"/>
  <c r="AJ136" i="3"/>
  <c r="AL270" i="3"/>
  <c r="AL272" i="3"/>
  <c r="AJ20" i="3"/>
  <c r="N262" i="3"/>
  <c r="N274" i="3"/>
  <c r="N276" i="3"/>
  <c r="O275" i="3"/>
  <c r="U78" i="3"/>
  <c r="U76" i="3"/>
  <c r="U77" i="3"/>
  <c r="U23" i="3"/>
  <c r="V108" i="3"/>
  <c r="V112" i="3"/>
  <c r="AK215" i="3"/>
  <c r="AL215" i="3"/>
  <c r="AJ137" i="3"/>
  <c r="AJ138" i="3"/>
  <c r="AJ139" i="3"/>
  <c r="AK72" i="3"/>
  <c r="AK133" i="3"/>
  <c r="AK136" i="3"/>
  <c r="V122" i="3"/>
  <c r="AK192" i="3"/>
  <c r="AL192" i="3"/>
  <c r="AK105" i="3"/>
  <c r="AK119" i="3"/>
  <c r="N3" i="3"/>
  <c r="N4" i="3"/>
  <c r="N184" i="3"/>
  <c r="O29" i="3"/>
  <c r="U25" i="3"/>
  <c r="Z201" i="3"/>
  <c r="Z256" i="3"/>
  <c r="V71" i="3"/>
  <c r="V19" i="3"/>
  <c r="W19" i="3"/>
  <c r="V73" i="3"/>
  <c r="V21" i="3"/>
  <c r="W21" i="3"/>
  <c r="V70" i="3"/>
  <c r="V18" i="3"/>
  <c r="V74" i="3"/>
  <c r="V22" i="3"/>
  <c r="V169" i="3"/>
  <c r="V173" i="3"/>
  <c r="V174" i="3"/>
  <c r="V176" i="3"/>
  <c r="V69" i="3"/>
  <c r="N189" i="3"/>
  <c r="N198" i="3"/>
  <c r="N221" i="3"/>
  <c r="V110" i="3"/>
  <c r="V111" i="3"/>
  <c r="W110" i="3"/>
  <c r="W111" i="3"/>
  <c r="X107" i="3"/>
  <c r="X103" i="3"/>
  <c r="X104" i="3"/>
  <c r="X102" i="3"/>
  <c r="X106" i="3"/>
  <c r="V126" i="3"/>
  <c r="V124" i="3"/>
  <c r="AK20" i="3"/>
  <c r="AL20" i="3"/>
  <c r="AK137" i="3"/>
  <c r="AK138" i="3"/>
  <c r="AK139" i="3"/>
  <c r="W18" i="3"/>
  <c r="N281" i="3"/>
  <c r="N283" i="3"/>
  <c r="W22" i="3"/>
  <c r="V200" i="3"/>
  <c r="V17" i="3"/>
  <c r="V23" i="3"/>
  <c r="V75" i="3"/>
  <c r="O31" i="3"/>
  <c r="O32" i="3"/>
  <c r="O33" i="3"/>
  <c r="U145" i="3"/>
  <c r="U148" i="3"/>
  <c r="U27" i="3"/>
  <c r="U149" i="3"/>
  <c r="X108" i="3"/>
  <c r="V178" i="3"/>
  <c r="V36" i="3"/>
  <c r="W36" i="3"/>
  <c r="V26" i="3"/>
  <c r="W26" i="3"/>
  <c r="X121" i="3"/>
  <c r="X117" i="3"/>
  <c r="X120" i="3"/>
  <c r="X118" i="3"/>
  <c r="V125" i="3"/>
  <c r="W124" i="3"/>
  <c r="W125" i="3"/>
  <c r="V208" i="3"/>
  <c r="V213" i="3"/>
  <c r="V253" i="3"/>
  <c r="W253" i="3"/>
  <c r="W200" i="3"/>
  <c r="W208" i="3"/>
  <c r="W213" i="3"/>
  <c r="V25" i="3"/>
  <c r="V148" i="3"/>
  <c r="AA201" i="3"/>
  <c r="AA256" i="3"/>
  <c r="AB256" i="3"/>
  <c r="V76" i="3"/>
  <c r="V78" i="3"/>
  <c r="O241" i="3"/>
  <c r="O35" i="3"/>
  <c r="O37" i="3"/>
  <c r="O42" i="3"/>
  <c r="O153" i="3"/>
  <c r="V187" i="3"/>
  <c r="W17" i="3"/>
  <c r="W23" i="3"/>
  <c r="W25" i="3"/>
  <c r="W148" i="3"/>
  <c r="X110" i="3"/>
  <c r="X111" i="3"/>
  <c r="X112" i="3"/>
  <c r="X122" i="3"/>
  <c r="V27" i="3"/>
  <c r="V149" i="3"/>
  <c r="AB201" i="3"/>
  <c r="W27" i="3"/>
  <c r="W149" i="3"/>
  <c r="O257" i="3"/>
  <c r="O216" i="3"/>
  <c r="O219" i="3"/>
  <c r="V251" i="3"/>
  <c r="W251" i="3"/>
  <c r="W187" i="3"/>
  <c r="X73" i="3"/>
  <c r="X21" i="3"/>
  <c r="X200" i="3"/>
  <c r="X208" i="3"/>
  <c r="X213" i="3"/>
  <c r="X70" i="3"/>
  <c r="X18" i="3"/>
  <c r="X69" i="3"/>
  <c r="X74" i="3"/>
  <c r="X22" i="3"/>
  <c r="X169" i="3"/>
  <c r="X173" i="3"/>
  <c r="X174" i="3"/>
  <c r="X176" i="3"/>
  <c r="X26" i="3"/>
  <c r="X71" i="3"/>
  <c r="X19" i="3"/>
  <c r="W76" i="3"/>
  <c r="W77" i="3"/>
  <c r="V77" i="3"/>
  <c r="O41" i="3"/>
  <c r="O40" i="3"/>
  <c r="V145" i="3"/>
  <c r="Y104" i="3"/>
  <c r="Y103" i="3"/>
  <c r="Y106" i="3"/>
  <c r="Y102" i="3"/>
  <c r="Y107" i="3"/>
  <c r="X124" i="3"/>
  <c r="X125" i="3"/>
  <c r="X126" i="3"/>
  <c r="X253" i="3"/>
  <c r="X178" i="3"/>
  <c r="X36" i="3"/>
  <c r="X75" i="3"/>
  <c r="X17" i="3"/>
  <c r="X187" i="3"/>
  <c r="X251" i="3"/>
  <c r="O220" i="3"/>
  <c r="O233" i="3"/>
  <c r="O290" i="3"/>
  <c r="O277" i="3"/>
  <c r="O155" i="3"/>
  <c r="O154" i="3"/>
  <c r="Y108" i="3"/>
  <c r="Y120" i="3"/>
  <c r="Y118" i="3"/>
  <c r="Y121" i="3"/>
  <c r="Y117" i="3"/>
  <c r="X78" i="3"/>
  <c r="X76" i="3"/>
  <c r="O185" i="3"/>
  <c r="O190" i="3"/>
  <c r="O195" i="3"/>
  <c r="O261" i="3"/>
  <c r="X23" i="3"/>
  <c r="Y112" i="3"/>
  <c r="Y110" i="3"/>
  <c r="Y111" i="3"/>
  <c r="Y122" i="3"/>
  <c r="O259" i="3"/>
  <c r="O262" i="3"/>
  <c r="O274" i="3"/>
  <c r="O276" i="3"/>
  <c r="P275" i="3"/>
  <c r="AC201" i="3"/>
  <c r="AC256" i="3"/>
  <c r="X25" i="3"/>
  <c r="X145" i="3"/>
  <c r="X77" i="3"/>
  <c r="Y73" i="3"/>
  <c r="Y21" i="3"/>
  <c r="Y200" i="3"/>
  <c r="Y208" i="3"/>
  <c r="Y213" i="3"/>
  <c r="Y70" i="3"/>
  <c r="Y18" i="3"/>
  <c r="Y71" i="3"/>
  <c r="Y19" i="3"/>
  <c r="Y69" i="3"/>
  <c r="Y74" i="3"/>
  <c r="Y22" i="3"/>
  <c r="Y169" i="3"/>
  <c r="Y173" i="3"/>
  <c r="Y174" i="3"/>
  <c r="Y176" i="3"/>
  <c r="Y26" i="3"/>
  <c r="Z107" i="3"/>
  <c r="Z106" i="3"/>
  <c r="Z102" i="3"/>
  <c r="Z103" i="3"/>
  <c r="Z104" i="3"/>
  <c r="Y126" i="3"/>
  <c r="Y124" i="3"/>
  <c r="Y125" i="3"/>
  <c r="Y253" i="3"/>
  <c r="O3" i="3"/>
  <c r="O4" i="3"/>
  <c r="O184" i="3"/>
  <c r="O189" i="3"/>
  <c r="O198" i="3"/>
  <c r="O221" i="3"/>
  <c r="Y75" i="3"/>
  <c r="Y17" i="3"/>
  <c r="Y187" i="3"/>
  <c r="Y251" i="3"/>
  <c r="Y178" i="3"/>
  <c r="Y36" i="3"/>
  <c r="O281" i="3"/>
  <c r="O283" i="3"/>
  <c r="X148" i="3"/>
  <c r="X27" i="3"/>
  <c r="X149" i="3"/>
  <c r="Z108" i="3"/>
  <c r="Z117" i="3"/>
  <c r="Z121" i="3"/>
  <c r="Z118" i="3"/>
  <c r="Z120" i="3"/>
  <c r="P29" i="3"/>
  <c r="P31" i="3"/>
  <c r="P32" i="3"/>
  <c r="P33" i="3"/>
  <c r="Y23" i="3"/>
  <c r="AD201" i="3"/>
  <c r="AD256" i="3"/>
  <c r="Y78" i="3"/>
  <c r="Y76" i="3"/>
  <c r="Y77" i="3"/>
  <c r="Z112" i="3"/>
  <c r="Z110" i="3"/>
  <c r="Z111" i="3"/>
  <c r="Z122" i="3"/>
  <c r="Y25" i="3"/>
  <c r="Y27" i="3"/>
  <c r="Y149" i="3"/>
  <c r="P35" i="3"/>
  <c r="P241" i="3"/>
  <c r="Z69" i="3"/>
  <c r="Z70" i="3"/>
  <c r="Z18" i="3"/>
  <c r="Z71" i="3"/>
  <c r="Z19" i="3"/>
  <c r="Z73" i="3"/>
  <c r="Z21" i="3"/>
  <c r="Z200" i="3"/>
  <c r="Z253" i="3"/>
  <c r="Z74" i="3"/>
  <c r="Z22" i="3"/>
  <c r="Z169" i="3"/>
  <c r="Z173" i="3"/>
  <c r="Z174" i="3"/>
  <c r="Z176" i="3"/>
  <c r="P37" i="3"/>
  <c r="P42" i="3"/>
  <c r="P153" i="3"/>
  <c r="AA107" i="3"/>
  <c r="AA104" i="3"/>
  <c r="AA106" i="3"/>
  <c r="AA102" i="3"/>
  <c r="AA103" i="3"/>
  <c r="Z126" i="3"/>
  <c r="Z124" i="3"/>
  <c r="Z125" i="3"/>
  <c r="Y145" i="3"/>
  <c r="Y148" i="3"/>
  <c r="Z208" i="3"/>
  <c r="Z213" i="3"/>
  <c r="Z75" i="3"/>
  <c r="Z17" i="3"/>
  <c r="P257" i="3"/>
  <c r="P216" i="3"/>
  <c r="P219" i="3"/>
  <c r="P40" i="3"/>
  <c r="P41" i="3"/>
  <c r="AA108" i="3"/>
  <c r="AA118" i="3"/>
  <c r="AA117" i="3"/>
  <c r="AA121" i="3"/>
  <c r="AA120" i="3"/>
  <c r="Z178" i="3"/>
  <c r="Z36" i="3"/>
  <c r="Z26" i="3"/>
  <c r="P220" i="3"/>
  <c r="P233" i="3"/>
  <c r="P290" i="3"/>
  <c r="P277" i="3"/>
  <c r="P155" i="3"/>
  <c r="P154" i="3"/>
  <c r="Z187" i="3"/>
  <c r="Z251" i="3"/>
  <c r="Z23" i="3"/>
  <c r="Z78" i="3"/>
  <c r="Z76" i="3"/>
  <c r="Z77" i="3"/>
  <c r="AA110" i="3"/>
  <c r="AA112" i="3"/>
  <c r="AA122" i="3"/>
  <c r="AA71" i="3"/>
  <c r="AA19" i="3"/>
  <c r="AB19" i="3"/>
  <c r="AA69" i="3"/>
  <c r="AA70" i="3"/>
  <c r="AA18" i="3"/>
  <c r="AB18" i="3"/>
  <c r="AA73" i="3"/>
  <c r="AA21" i="3"/>
  <c r="AA74" i="3"/>
  <c r="AA22" i="3"/>
  <c r="AA169" i="3"/>
  <c r="AA173" i="3"/>
  <c r="AA174" i="3"/>
  <c r="AA176" i="3"/>
  <c r="AE201" i="3"/>
  <c r="AE256" i="3"/>
  <c r="Z25" i="3"/>
  <c r="P195" i="3"/>
  <c r="P261" i="3"/>
  <c r="P185" i="3"/>
  <c r="P190" i="3"/>
  <c r="AC106" i="3"/>
  <c r="AC103" i="3"/>
  <c r="AC102" i="3"/>
  <c r="AC104" i="3"/>
  <c r="AC107" i="3"/>
  <c r="AB110" i="3"/>
  <c r="AB111" i="3"/>
  <c r="AA111" i="3"/>
  <c r="AB22" i="3"/>
  <c r="AA124" i="3"/>
  <c r="AA126" i="3"/>
  <c r="Z148" i="3"/>
  <c r="Z145" i="3"/>
  <c r="Z27" i="3"/>
  <c r="Z149" i="3"/>
  <c r="AB21" i="3"/>
  <c r="AA200" i="3"/>
  <c r="AA253" i="3"/>
  <c r="AB253" i="3"/>
  <c r="AA75" i="3"/>
  <c r="AA17" i="3"/>
  <c r="P259" i="3"/>
  <c r="P262" i="3"/>
  <c r="P274" i="3"/>
  <c r="P276" i="3"/>
  <c r="AC108" i="3"/>
  <c r="AC112" i="3"/>
  <c r="AD107" i="3"/>
  <c r="AC117" i="3"/>
  <c r="AC118" i="3"/>
  <c r="AC120" i="3"/>
  <c r="AC121" i="3"/>
  <c r="AA125" i="3"/>
  <c r="AB124" i="3"/>
  <c r="AB125" i="3"/>
  <c r="AA26" i="3"/>
  <c r="AB26" i="3"/>
  <c r="AA178" i="3"/>
  <c r="AA36" i="3"/>
  <c r="AB36" i="3"/>
  <c r="AD102" i="3"/>
  <c r="AB200" i="3"/>
  <c r="AB208" i="3"/>
  <c r="AB213" i="3"/>
  <c r="AA208" i="3"/>
  <c r="AA213" i="3"/>
  <c r="AA187" i="3"/>
  <c r="AB17" i="3"/>
  <c r="AB23" i="3"/>
  <c r="AB25" i="3"/>
  <c r="AB148" i="3"/>
  <c r="AA78" i="3"/>
  <c r="AA76" i="3"/>
  <c r="Q275" i="3"/>
  <c r="P3" i="3"/>
  <c r="P4" i="3"/>
  <c r="P184" i="3"/>
  <c r="AA23" i="3"/>
  <c r="AD103" i="3"/>
  <c r="AD104" i="3"/>
  <c r="AC110" i="3"/>
  <c r="AC111" i="3"/>
  <c r="AD106" i="3"/>
  <c r="AC122" i="3"/>
  <c r="AB27" i="3"/>
  <c r="AB149" i="3"/>
  <c r="AF201" i="3"/>
  <c r="AA25" i="3"/>
  <c r="AA77" i="3"/>
  <c r="AB76" i="3"/>
  <c r="AB77" i="3"/>
  <c r="P281" i="3"/>
  <c r="P283" i="3"/>
  <c r="Q29" i="3"/>
  <c r="P189" i="3"/>
  <c r="P198" i="3"/>
  <c r="P221" i="3"/>
  <c r="AC69" i="3"/>
  <c r="AC74" i="3"/>
  <c r="AC22" i="3"/>
  <c r="AC169" i="3"/>
  <c r="AC173" i="3"/>
  <c r="AC174" i="3"/>
  <c r="AC176" i="3"/>
  <c r="AC26" i="3"/>
  <c r="AC71" i="3"/>
  <c r="AC19" i="3"/>
  <c r="AC73" i="3"/>
  <c r="AC21" i="3"/>
  <c r="AC200" i="3"/>
  <c r="AC208" i="3"/>
  <c r="AC213" i="3"/>
  <c r="AC70" i="3"/>
  <c r="AC18" i="3"/>
  <c r="AB187" i="3"/>
  <c r="AA251" i="3"/>
  <c r="AB251" i="3"/>
  <c r="AD108" i="3"/>
  <c r="AD112" i="3"/>
  <c r="AC124" i="3"/>
  <c r="AC125" i="3"/>
  <c r="AC126" i="3"/>
  <c r="AD110" i="3"/>
  <c r="AC253" i="3"/>
  <c r="AC178" i="3"/>
  <c r="AC36" i="3"/>
  <c r="AC75" i="3"/>
  <c r="AC17" i="3"/>
  <c r="AC187" i="3"/>
  <c r="AC251" i="3"/>
  <c r="Q31" i="3"/>
  <c r="Q32" i="3"/>
  <c r="Q37" i="3"/>
  <c r="Q42" i="3"/>
  <c r="Q153" i="3"/>
  <c r="R29" i="3"/>
  <c r="AA145" i="3"/>
  <c r="AA148" i="3"/>
  <c r="AA27" i="3"/>
  <c r="AA149" i="3"/>
  <c r="AG201" i="3"/>
  <c r="AF256" i="3"/>
  <c r="AG256" i="3"/>
  <c r="AD121" i="3"/>
  <c r="AD120" i="3"/>
  <c r="AD118" i="3"/>
  <c r="AD117" i="3"/>
  <c r="AD111" i="3"/>
  <c r="AE104" i="3"/>
  <c r="AE106" i="3"/>
  <c r="AE103" i="3"/>
  <c r="AE102" i="3"/>
  <c r="AE107" i="3"/>
  <c r="AC78" i="3"/>
  <c r="AC76" i="3"/>
  <c r="R31" i="3"/>
  <c r="Q33" i="3"/>
  <c r="R32" i="3"/>
  <c r="AC23" i="3"/>
  <c r="AD122" i="3"/>
  <c r="AE108" i="3"/>
  <c r="R150" i="3"/>
  <c r="R37" i="3"/>
  <c r="AC25" i="3"/>
  <c r="AC145" i="3"/>
  <c r="AH201" i="3"/>
  <c r="AH256" i="3"/>
  <c r="R33" i="3"/>
  <c r="AC77" i="3"/>
  <c r="Q241" i="3"/>
  <c r="Q35" i="3"/>
  <c r="AD71" i="3"/>
  <c r="AD19" i="3"/>
  <c r="AD74" i="3"/>
  <c r="AD22" i="3"/>
  <c r="AD169" i="3"/>
  <c r="AD173" i="3"/>
  <c r="AD174" i="3"/>
  <c r="AD176" i="3"/>
  <c r="AD178" i="3"/>
  <c r="AD36" i="3"/>
  <c r="AD70" i="3"/>
  <c r="AD18" i="3"/>
  <c r="AD73" i="3"/>
  <c r="AD21" i="3"/>
  <c r="AD200" i="3"/>
  <c r="AD208" i="3"/>
  <c r="AD213" i="3"/>
  <c r="AD69" i="3"/>
  <c r="AD126" i="3"/>
  <c r="AD124" i="3"/>
  <c r="AD125" i="3"/>
  <c r="AE112" i="3"/>
  <c r="AE110" i="3"/>
  <c r="AD26" i="3"/>
  <c r="R241" i="3"/>
  <c r="R257" i="3"/>
  <c r="R35" i="3"/>
  <c r="AD253" i="3"/>
  <c r="AC148" i="3"/>
  <c r="AC27" i="3"/>
  <c r="AC149" i="3"/>
  <c r="Q41" i="3"/>
  <c r="Q40" i="3"/>
  <c r="Q257" i="3"/>
  <c r="Q216" i="3"/>
  <c r="AD75" i="3"/>
  <c r="AD17" i="3"/>
  <c r="AD187" i="3"/>
  <c r="AD251" i="3"/>
  <c r="AE121" i="3"/>
  <c r="AE117" i="3"/>
  <c r="AE120" i="3"/>
  <c r="AE118" i="3"/>
  <c r="AF104" i="3"/>
  <c r="AF103" i="3"/>
  <c r="AF106" i="3"/>
  <c r="AF102" i="3"/>
  <c r="AF107" i="3"/>
  <c r="AE111" i="3"/>
  <c r="AD78" i="3"/>
  <c r="AD76" i="3"/>
  <c r="AD77" i="3"/>
  <c r="R38" i="3"/>
  <c r="R40" i="3"/>
  <c r="R39" i="3"/>
  <c r="R42" i="3"/>
  <c r="Q219" i="3"/>
  <c r="R216" i="3"/>
  <c r="R219" i="3"/>
  <c r="R220" i="3"/>
  <c r="R290" i="3"/>
  <c r="R154" i="3"/>
  <c r="Q277" i="3"/>
  <c r="Q154" i="3"/>
  <c r="Q290" i="3"/>
  <c r="AD23" i="3"/>
  <c r="AE122" i="3"/>
  <c r="AF108" i="3"/>
  <c r="R41" i="3"/>
  <c r="AI201" i="3"/>
  <c r="AI256" i="3"/>
  <c r="AD25" i="3"/>
  <c r="AE70" i="3"/>
  <c r="AE18" i="3"/>
  <c r="AE73" i="3"/>
  <c r="AE21" i="3"/>
  <c r="AE200" i="3"/>
  <c r="AE253" i="3"/>
  <c r="AE69" i="3"/>
  <c r="AE71" i="3"/>
  <c r="AE19" i="3"/>
  <c r="AE74" i="3"/>
  <c r="AE22" i="3"/>
  <c r="AE169" i="3"/>
  <c r="AE173" i="3"/>
  <c r="AE174" i="3"/>
  <c r="AE176" i="3"/>
  <c r="AE26" i="3"/>
  <c r="C299" i="3"/>
  <c r="C6" i="3"/>
  <c r="R153" i="3"/>
  <c r="Q155" i="3"/>
  <c r="R277" i="3"/>
  <c r="Q220" i="3"/>
  <c r="Q233" i="3"/>
  <c r="AE126" i="3"/>
  <c r="AE124" i="3"/>
  <c r="AE125" i="3"/>
  <c r="AE208" i="3"/>
  <c r="AE213" i="3"/>
  <c r="AF112" i="3"/>
  <c r="AF110" i="3"/>
  <c r="Q190" i="3"/>
  <c r="R190" i="3"/>
  <c r="Q185" i="3"/>
  <c r="Q195" i="3"/>
  <c r="AE178" i="3"/>
  <c r="AE36" i="3"/>
  <c r="AD27" i="3"/>
  <c r="AD149" i="3"/>
  <c r="AD148" i="3"/>
  <c r="AD145" i="3"/>
  <c r="R279" i="3"/>
  <c r="R155" i="3"/>
  <c r="AE17" i="3"/>
  <c r="AE187" i="3"/>
  <c r="AE251" i="3"/>
  <c r="AE75" i="3"/>
  <c r="AF117" i="3"/>
  <c r="AF118" i="3"/>
  <c r="AF121" i="3"/>
  <c r="AF120" i="3"/>
  <c r="AH107" i="3"/>
  <c r="AH106" i="3"/>
  <c r="AH102" i="3"/>
  <c r="AH104" i="3"/>
  <c r="AH103" i="3"/>
  <c r="AF111" i="3"/>
  <c r="AG110" i="3"/>
  <c r="AG111" i="3"/>
  <c r="Q259" i="3"/>
  <c r="R185" i="3"/>
  <c r="AE76" i="3"/>
  <c r="AE77" i="3"/>
  <c r="AE78" i="3"/>
  <c r="Q261" i="3"/>
  <c r="R261" i="3"/>
  <c r="R195" i="3"/>
  <c r="AE23" i="3"/>
  <c r="AF122" i="3"/>
  <c r="AH108" i="3"/>
  <c r="AE25" i="3"/>
  <c r="AE145" i="3"/>
  <c r="AJ201" i="3"/>
  <c r="AJ256" i="3"/>
  <c r="Q262" i="3"/>
  <c r="Q274" i="3"/>
  <c r="Q276" i="3"/>
  <c r="R259" i="3"/>
  <c r="R262" i="3"/>
  <c r="R274" i="3"/>
  <c r="R276" i="3"/>
  <c r="AF74" i="3"/>
  <c r="AF22" i="3"/>
  <c r="AF169" i="3"/>
  <c r="AF173" i="3"/>
  <c r="AF174" i="3"/>
  <c r="AF176" i="3"/>
  <c r="AF71" i="3"/>
  <c r="AF19" i="3"/>
  <c r="AG19" i="3"/>
  <c r="AF69" i="3"/>
  <c r="AF70" i="3"/>
  <c r="AF18" i="3"/>
  <c r="AG18" i="3"/>
  <c r="AF73" i="3"/>
  <c r="AF21" i="3"/>
  <c r="AF200" i="3"/>
  <c r="AF126" i="3"/>
  <c r="AF124" i="3"/>
  <c r="AH112" i="3"/>
  <c r="AH110" i="3"/>
  <c r="AG21" i="3"/>
  <c r="AG22" i="3"/>
  <c r="AF75" i="3"/>
  <c r="AF17" i="3"/>
  <c r="Q3" i="3"/>
  <c r="Q4" i="3"/>
  <c r="Q184" i="3"/>
  <c r="S275" i="3"/>
  <c r="R3" i="3"/>
  <c r="R4" i="3"/>
  <c r="W275" i="3"/>
  <c r="AE148" i="3"/>
  <c r="AE27" i="3"/>
  <c r="AE149" i="3"/>
  <c r="AF125" i="3"/>
  <c r="AG124" i="3"/>
  <c r="AG125" i="3"/>
  <c r="AF26" i="3"/>
  <c r="AG26" i="3"/>
  <c r="AF178" i="3"/>
  <c r="AF36" i="3"/>
  <c r="AG36" i="3"/>
  <c r="AH118" i="3"/>
  <c r="AH121" i="3"/>
  <c r="AH120" i="3"/>
  <c r="AH117" i="3"/>
  <c r="AF253" i="3"/>
  <c r="AG253" i="3"/>
  <c r="AF208" i="3"/>
  <c r="AF213" i="3"/>
  <c r="AG200" i="3"/>
  <c r="AG208" i="3"/>
  <c r="AG213" i="3"/>
  <c r="AI104" i="3"/>
  <c r="AI102" i="3"/>
  <c r="AI107" i="3"/>
  <c r="AI106" i="3"/>
  <c r="AI103" i="3"/>
  <c r="AH111" i="3"/>
  <c r="AF23" i="3"/>
  <c r="AF187" i="3"/>
  <c r="AG17" i="3"/>
  <c r="AG23" i="3"/>
  <c r="AG25" i="3"/>
  <c r="AG148" i="3"/>
  <c r="Q189" i="3"/>
  <c r="Q198" i="3"/>
  <c r="Q221" i="3"/>
  <c r="R184" i="3"/>
  <c r="Q281" i="3"/>
  <c r="Q283" i="3"/>
  <c r="S29" i="3"/>
  <c r="AF76" i="3"/>
  <c r="AF78" i="3"/>
  <c r="AH122" i="3"/>
  <c r="AI108" i="3"/>
  <c r="S31" i="3"/>
  <c r="S32" i="3"/>
  <c r="S33" i="3"/>
  <c r="AG187" i="3"/>
  <c r="AF251" i="3"/>
  <c r="AG251" i="3"/>
  <c r="AH73" i="3"/>
  <c r="AH21" i="3"/>
  <c r="AH200" i="3"/>
  <c r="AH253" i="3"/>
  <c r="AH71" i="3"/>
  <c r="AH19" i="3"/>
  <c r="AH70" i="3"/>
  <c r="AH18" i="3"/>
  <c r="AH74" i="3"/>
  <c r="AH22" i="3"/>
  <c r="AH169" i="3"/>
  <c r="AH173" i="3"/>
  <c r="AH174" i="3"/>
  <c r="AH176" i="3"/>
  <c r="AH26" i="3"/>
  <c r="AH69" i="3"/>
  <c r="R281" i="3"/>
  <c r="R283" i="3"/>
  <c r="R189" i="3"/>
  <c r="R198" i="3"/>
  <c r="R221" i="3"/>
  <c r="R151" i="3"/>
  <c r="AF25" i="3"/>
  <c r="AK201" i="3"/>
  <c r="AF77" i="3"/>
  <c r="AG76" i="3"/>
  <c r="AG77" i="3"/>
  <c r="AG27" i="3"/>
  <c r="AG149" i="3"/>
  <c r="AH126" i="3"/>
  <c r="AH124" i="3"/>
  <c r="AH125" i="3"/>
  <c r="AI112" i="3"/>
  <c r="AI110" i="3"/>
  <c r="AH208" i="3"/>
  <c r="AH213" i="3"/>
  <c r="S37" i="3"/>
  <c r="S42" i="3"/>
  <c r="S153" i="3"/>
  <c r="AH178" i="3"/>
  <c r="AH36" i="3"/>
  <c r="AK256" i="3"/>
  <c r="AL256" i="3"/>
  <c r="AL201" i="3"/>
  <c r="AF145" i="3"/>
  <c r="AF148" i="3"/>
  <c r="AF27" i="3"/>
  <c r="AF149" i="3"/>
  <c r="AH75" i="3"/>
  <c r="AH17" i="3"/>
  <c r="S241" i="3"/>
  <c r="S35" i="3"/>
  <c r="AI118" i="3"/>
  <c r="AI117" i="3"/>
  <c r="AI120" i="3"/>
  <c r="AI121" i="3"/>
  <c r="AI111" i="3"/>
  <c r="AJ106" i="3"/>
  <c r="AJ102" i="3"/>
  <c r="AJ103" i="3"/>
  <c r="AJ107" i="3"/>
  <c r="AJ104" i="3"/>
  <c r="AH187" i="3"/>
  <c r="AH251" i="3"/>
  <c r="AH23" i="3"/>
  <c r="AH25" i="3"/>
  <c r="AH76" i="3"/>
  <c r="AH78" i="3"/>
  <c r="S41" i="3"/>
  <c r="S40" i="3"/>
  <c r="S257" i="3"/>
  <c r="S216" i="3"/>
  <c r="S219" i="3"/>
  <c r="AI122" i="3"/>
  <c r="AJ108" i="3"/>
  <c r="S233" i="3"/>
  <c r="S220" i="3"/>
  <c r="AI71" i="3"/>
  <c r="AI19" i="3"/>
  <c r="AI74" i="3"/>
  <c r="AI22" i="3"/>
  <c r="AI169" i="3"/>
  <c r="AI173" i="3"/>
  <c r="AI174" i="3"/>
  <c r="AI176" i="3"/>
  <c r="AI178" i="3"/>
  <c r="AI36" i="3"/>
  <c r="AI70" i="3"/>
  <c r="AI18" i="3"/>
  <c r="AI69" i="3"/>
  <c r="AI73" i="3"/>
  <c r="AI21" i="3"/>
  <c r="AI200" i="3"/>
  <c r="AI208" i="3"/>
  <c r="AI213" i="3"/>
  <c r="S154" i="3"/>
  <c r="S290" i="3"/>
  <c r="S277" i="3"/>
  <c r="S155" i="3"/>
  <c r="AH77" i="3"/>
  <c r="AH145" i="3"/>
  <c r="AH148" i="3"/>
  <c r="AH27" i="3"/>
  <c r="AH149" i="3"/>
  <c r="AI126" i="3"/>
  <c r="AI124" i="3"/>
  <c r="AI125" i="3"/>
  <c r="AJ112" i="3"/>
  <c r="AJ110" i="3"/>
  <c r="AI26" i="3"/>
  <c r="AI253" i="3"/>
  <c r="AI75" i="3"/>
  <c r="AI17" i="3"/>
  <c r="AI187" i="3"/>
  <c r="AI251" i="3"/>
  <c r="S195" i="3"/>
  <c r="S261" i="3"/>
  <c r="S190" i="3"/>
  <c r="S185" i="3"/>
  <c r="AJ121" i="3"/>
  <c r="AJ117" i="3"/>
  <c r="AJ118" i="3"/>
  <c r="AJ120" i="3"/>
  <c r="AK106" i="3"/>
  <c r="AK107" i="3"/>
  <c r="AK103" i="3"/>
  <c r="AK102" i="3"/>
  <c r="AK104" i="3"/>
  <c r="AJ111" i="3"/>
  <c r="S259" i="3"/>
  <c r="S262" i="3"/>
  <c r="S274" i="3"/>
  <c r="S276" i="3"/>
  <c r="AI78" i="3"/>
  <c r="AI76" i="3"/>
  <c r="AI23" i="3"/>
  <c r="AI25" i="3"/>
  <c r="AJ122" i="3"/>
  <c r="AK108" i="3"/>
  <c r="AI148" i="3"/>
  <c r="AI27" i="3"/>
  <c r="AI149" i="3"/>
  <c r="AJ74" i="3"/>
  <c r="AJ22" i="3"/>
  <c r="AJ169" i="3"/>
  <c r="AJ173" i="3"/>
  <c r="AJ174" i="3"/>
  <c r="AJ176" i="3"/>
  <c r="AJ26" i="3"/>
  <c r="AJ73" i="3"/>
  <c r="AJ21" i="3"/>
  <c r="AJ200" i="3"/>
  <c r="AJ208" i="3"/>
  <c r="AJ213" i="3"/>
  <c r="AJ70" i="3"/>
  <c r="AJ18" i="3"/>
  <c r="AJ71" i="3"/>
  <c r="AJ19" i="3"/>
  <c r="AJ69" i="3"/>
  <c r="AI145" i="3"/>
  <c r="AI77" i="3"/>
  <c r="S3" i="3"/>
  <c r="S4" i="3"/>
  <c r="S184" i="3"/>
  <c r="T275" i="3"/>
  <c r="AJ124" i="3"/>
  <c r="AJ125" i="3"/>
  <c r="AJ126" i="3"/>
  <c r="AK110" i="3"/>
  <c r="AK112" i="3"/>
  <c r="AJ253" i="3"/>
  <c r="AJ178" i="3"/>
  <c r="AJ36" i="3"/>
  <c r="S189" i="3"/>
  <c r="S198" i="3"/>
  <c r="S221" i="3"/>
  <c r="S281" i="3"/>
  <c r="S283" i="3"/>
  <c r="T29" i="3"/>
  <c r="T31" i="3"/>
  <c r="AJ75" i="3"/>
  <c r="AJ17" i="3"/>
  <c r="AK118" i="3"/>
  <c r="AK120" i="3"/>
  <c r="AK121" i="3"/>
  <c r="AK117" i="3"/>
  <c r="AK111" i="3"/>
  <c r="AL110" i="3"/>
  <c r="AL111" i="3"/>
  <c r="T32" i="3"/>
  <c r="T37" i="3"/>
  <c r="T42" i="3"/>
  <c r="T153" i="3"/>
  <c r="AJ187" i="3"/>
  <c r="AJ251" i="3"/>
  <c r="AJ23" i="3"/>
  <c r="AJ25" i="3"/>
  <c r="AJ78" i="3"/>
  <c r="AJ76" i="3"/>
  <c r="AK122" i="3"/>
  <c r="T33" i="3"/>
  <c r="T35" i="3"/>
  <c r="AJ145" i="3"/>
  <c r="AJ77" i="3"/>
  <c r="AJ148" i="3"/>
  <c r="AJ27" i="3"/>
  <c r="AJ149" i="3"/>
  <c r="AK70" i="3"/>
  <c r="AK18" i="3"/>
  <c r="AL18" i="3"/>
  <c r="AK74" i="3"/>
  <c r="AK22" i="3"/>
  <c r="AK169" i="3"/>
  <c r="AK173" i="3"/>
  <c r="AK174" i="3"/>
  <c r="AK176" i="3"/>
  <c r="AK26" i="3"/>
  <c r="AL26" i="3"/>
  <c r="AK69" i="3"/>
  <c r="AK73" i="3"/>
  <c r="AK21" i="3"/>
  <c r="AK200" i="3"/>
  <c r="AK71" i="3"/>
  <c r="AK19" i="3"/>
  <c r="AL19" i="3"/>
  <c r="AK126" i="3"/>
  <c r="AK124" i="3"/>
  <c r="AL21" i="3"/>
  <c r="AL22" i="3"/>
  <c r="T241" i="3"/>
  <c r="T257" i="3"/>
  <c r="AK178" i="3"/>
  <c r="AK36" i="3"/>
  <c r="AL36" i="3"/>
  <c r="T41" i="3"/>
  <c r="T40" i="3"/>
  <c r="AK75" i="3"/>
  <c r="AK17" i="3"/>
  <c r="AL200" i="3"/>
  <c r="AL208" i="3"/>
  <c r="AL213" i="3"/>
  <c r="AK253" i="3"/>
  <c r="AL253" i="3"/>
  <c r="AK208" i="3"/>
  <c r="AK213" i="3"/>
  <c r="AK125" i="3"/>
  <c r="AL124" i="3"/>
  <c r="AL125" i="3"/>
  <c r="T216" i="3"/>
  <c r="T219" i="3"/>
  <c r="T233" i="3"/>
  <c r="AL17" i="3"/>
  <c r="AL23" i="3"/>
  <c r="AL25" i="3"/>
  <c r="AL148" i="3"/>
  <c r="AK187" i="3"/>
  <c r="AK76" i="3"/>
  <c r="AK78" i="3"/>
  <c r="AK23" i="3"/>
  <c r="AK25" i="3"/>
  <c r="T277" i="3"/>
  <c r="T155" i="3"/>
  <c r="T154" i="3"/>
  <c r="T290" i="3"/>
  <c r="T220" i="3"/>
  <c r="AL27" i="3"/>
  <c r="AL149" i="3"/>
  <c r="AK148" i="3"/>
  <c r="AK27" i="3"/>
  <c r="AK149" i="3"/>
  <c r="AK77" i="3"/>
  <c r="AL76" i="3"/>
  <c r="AL77" i="3"/>
  <c r="AK145" i="3"/>
  <c r="AK251" i="3"/>
  <c r="AL251" i="3"/>
  <c r="AL187" i="3"/>
  <c r="T190" i="3"/>
  <c r="T185" i="3"/>
  <c r="T195" i="3"/>
  <c r="T261" i="3"/>
  <c r="T259" i="3"/>
  <c r="T262" i="3"/>
  <c r="T274" i="3"/>
  <c r="T276" i="3"/>
  <c r="T3" i="3"/>
  <c r="T4" i="3"/>
  <c r="U275" i="3"/>
  <c r="T184" i="3"/>
  <c r="T281" i="3"/>
  <c r="T283" i="3"/>
  <c r="U29" i="3"/>
  <c r="U31" i="3"/>
  <c r="T189" i="3"/>
  <c r="T198" i="3"/>
  <c r="T221" i="3"/>
  <c r="U32" i="3"/>
  <c r="U33" i="3"/>
  <c r="U35" i="3"/>
  <c r="U241" i="3"/>
  <c r="U37" i="3"/>
  <c r="U42" i="3"/>
  <c r="U153" i="3"/>
  <c r="U257" i="3"/>
  <c r="U216" i="3"/>
  <c r="U40" i="3"/>
  <c r="U41" i="3"/>
  <c r="U277" i="3"/>
  <c r="U290" i="3"/>
  <c r="U154" i="3"/>
  <c r="U219" i="3"/>
  <c r="U220" i="3"/>
  <c r="U233" i="3"/>
  <c r="U155" i="3"/>
  <c r="U185" i="3"/>
  <c r="U190" i="3"/>
  <c r="U195" i="3"/>
  <c r="U259" i="3"/>
  <c r="U261" i="3"/>
  <c r="U262" i="3"/>
  <c r="U274" i="3"/>
  <c r="U276" i="3"/>
  <c r="U184" i="3"/>
  <c r="V275" i="3"/>
  <c r="U3" i="3"/>
  <c r="U4" i="3"/>
  <c r="U189" i="3"/>
  <c r="U198" i="3"/>
  <c r="U221" i="3"/>
  <c r="V29" i="3"/>
  <c r="U281" i="3"/>
  <c r="U283" i="3"/>
  <c r="V31" i="3"/>
  <c r="V32" i="3"/>
  <c r="V37" i="3"/>
  <c r="V42" i="3"/>
  <c r="V153" i="3"/>
  <c r="W29" i="3"/>
  <c r="W31" i="3"/>
  <c r="V33" i="3"/>
  <c r="W32" i="3"/>
  <c r="W33" i="3"/>
  <c r="W35" i="3"/>
  <c r="W150" i="3"/>
  <c r="V35" i="3"/>
  <c r="V241" i="3"/>
  <c r="W37" i="3"/>
  <c r="W241" i="3"/>
  <c r="W257" i="3"/>
  <c r="W154" i="3"/>
  <c r="V40" i="3"/>
  <c r="V41" i="3"/>
  <c r="V257" i="3"/>
  <c r="V216" i="3"/>
  <c r="W38" i="3"/>
  <c r="W40" i="3"/>
  <c r="W39" i="3"/>
  <c r="W42" i="3"/>
  <c r="W153" i="3"/>
  <c r="W290" i="3"/>
  <c r="W216" i="3"/>
  <c r="W219" i="3"/>
  <c r="V219" i="3"/>
  <c r="W41" i="3"/>
  <c r="V154" i="3"/>
  <c r="V277" i="3"/>
  <c r="V290" i="3"/>
  <c r="V155" i="3"/>
  <c r="W277" i="3"/>
  <c r="V233" i="3"/>
  <c r="V220" i="3"/>
  <c r="W233" i="3"/>
  <c r="W220" i="3"/>
  <c r="V185" i="3"/>
  <c r="V190" i="3"/>
  <c r="W190" i="3"/>
  <c r="V195" i="3"/>
  <c r="W279" i="3"/>
  <c r="W155" i="3"/>
  <c r="V261" i="3"/>
  <c r="W261" i="3"/>
  <c r="W195" i="3"/>
  <c r="W185" i="3"/>
  <c r="V259" i="3"/>
  <c r="V262" i="3"/>
  <c r="V274" i="3"/>
  <c r="V276" i="3"/>
  <c r="W259" i="3"/>
  <c r="W262" i="3"/>
  <c r="W274" i="3"/>
  <c r="W276" i="3"/>
  <c r="V3" i="3"/>
  <c r="V4" i="3"/>
  <c r="V184" i="3"/>
  <c r="X275" i="3"/>
  <c r="W3" i="3"/>
  <c r="W4" i="3"/>
  <c r="AB275" i="3"/>
  <c r="V281" i="3"/>
  <c r="V283" i="3"/>
  <c r="V189" i="3"/>
  <c r="V198" i="3"/>
  <c r="V221" i="3"/>
  <c r="W184" i="3"/>
  <c r="X29" i="3"/>
  <c r="X31" i="3"/>
  <c r="W189" i="3"/>
  <c r="W198" i="3"/>
  <c r="W221" i="3"/>
  <c r="W281" i="3"/>
  <c r="W283" i="3"/>
  <c r="W151" i="3"/>
  <c r="X32" i="3"/>
  <c r="X33" i="3"/>
  <c r="X35" i="3"/>
  <c r="X241" i="3"/>
  <c r="X37" i="3"/>
  <c r="X42" i="3"/>
  <c r="X153" i="3"/>
  <c r="X257" i="3"/>
  <c r="X216" i="3"/>
  <c r="X41" i="3"/>
  <c r="X40" i="3"/>
  <c r="X219" i="3"/>
  <c r="X277" i="3"/>
  <c r="X154" i="3"/>
  <c r="X290" i="3"/>
  <c r="X155" i="3"/>
  <c r="X220" i="3"/>
  <c r="X233" i="3"/>
  <c r="X185" i="3"/>
  <c r="X190" i="3"/>
  <c r="X195" i="3"/>
  <c r="X261" i="3"/>
  <c r="X259" i="3"/>
  <c r="X262" i="3"/>
  <c r="X274" i="3"/>
  <c r="X276" i="3"/>
  <c r="X184" i="3"/>
  <c r="X3" i="3"/>
  <c r="X4" i="3"/>
  <c r="Y275" i="3"/>
  <c r="Y29" i="3"/>
  <c r="X189" i="3"/>
  <c r="X198" i="3"/>
  <c r="X221" i="3"/>
  <c r="X281" i="3"/>
  <c r="X283" i="3"/>
  <c r="Y31" i="3"/>
  <c r="Y32" i="3"/>
  <c r="Y37" i="3"/>
  <c r="Y42" i="3"/>
  <c r="Y153" i="3"/>
  <c r="Y33" i="3"/>
  <c r="Y241" i="3"/>
  <c r="Y35" i="3"/>
  <c r="Y40" i="3"/>
  <c r="Y41" i="3"/>
  <c r="Y257" i="3"/>
  <c r="Y216" i="3"/>
  <c r="Y277" i="3"/>
  <c r="Y154" i="3"/>
  <c r="Y290" i="3"/>
  <c r="Y219" i="3"/>
  <c r="Y220" i="3"/>
  <c r="Y233" i="3"/>
  <c r="Y155" i="3"/>
  <c r="Y190" i="3"/>
  <c r="Y185" i="3"/>
  <c r="Y195" i="3"/>
  <c r="Y259" i="3"/>
  <c r="Y261" i="3"/>
  <c r="Y262" i="3"/>
  <c r="Y274" i="3"/>
  <c r="Y276" i="3"/>
  <c r="Y184" i="3"/>
  <c r="Z275" i="3"/>
  <c r="Y3" i="3"/>
  <c r="Y4" i="3"/>
  <c r="Y189" i="3"/>
  <c r="Y198" i="3"/>
  <c r="Y221" i="3"/>
  <c r="Z29" i="3"/>
  <c r="Y281" i="3"/>
  <c r="Y283" i="3"/>
  <c r="Z31" i="3"/>
  <c r="Z32" i="3"/>
  <c r="Z37" i="3"/>
  <c r="Z42" i="3"/>
  <c r="Z153" i="3"/>
  <c r="Z33" i="3"/>
  <c r="Z35" i="3"/>
  <c r="Z241" i="3"/>
  <c r="Z257" i="3"/>
  <c r="Z216" i="3"/>
  <c r="Z41" i="3"/>
  <c r="Z40" i="3"/>
  <c r="Z219" i="3"/>
  <c r="Z154" i="3"/>
  <c r="Z290" i="3"/>
  <c r="Z277" i="3"/>
  <c r="Z155" i="3"/>
  <c r="Z233" i="3"/>
  <c r="Z220" i="3"/>
  <c r="Z190" i="3"/>
  <c r="Z185" i="3"/>
  <c r="Z195" i="3"/>
  <c r="Z259" i="3"/>
  <c r="Z261" i="3"/>
  <c r="Z262" i="3"/>
  <c r="Z274" i="3"/>
  <c r="Z276" i="3"/>
  <c r="AA275" i="3"/>
  <c r="Z184" i="3"/>
  <c r="AA29" i="3"/>
  <c r="Z3" i="3"/>
  <c r="Z4" i="3"/>
  <c r="Z281" i="3"/>
  <c r="Z283" i="3"/>
  <c r="Z189" i="3"/>
  <c r="Z198" i="3"/>
  <c r="Z221" i="3"/>
  <c r="AA31" i="3"/>
  <c r="AA32" i="3"/>
  <c r="AA37" i="3"/>
  <c r="AA42" i="3"/>
  <c r="AA153" i="3"/>
  <c r="AB29" i="3"/>
  <c r="AB31" i="3"/>
  <c r="AA33" i="3"/>
  <c r="AB32" i="3"/>
  <c r="AB33" i="3"/>
  <c r="AB241" i="3"/>
  <c r="AB257" i="3"/>
  <c r="AB150" i="3"/>
  <c r="AA241" i="3"/>
  <c r="AA35" i="3"/>
  <c r="AB37" i="3"/>
  <c r="AB35" i="3"/>
  <c r="AB38" i="3"/>
  <c r="AB40" i="3"/>
  <c r="AA41" i="3"/>
  <c r="AA40" i="3"/>
  <c r="AA257" i="3"/>
  <c r="AA216" i="3"/>
  <c r="AB154" i="3"/>
  <c r="AB290" i="3"/>
  <c r="AB39" i="3"/>
  <c r="AB42" i="3"/>
  <c r="AB153" i="3"/>
  <c r="AA219" i="3"/>
  <c r="AB216" i="3"/>
  <c r="AB219" i="3"/>
  <c r="AB220" i="3"/>
  <c r="AA154" i="3"/>
  <c r="AA277" i="3"/>
  <c r="AA290" i="3"/>
  <c r="AB41" i="3"/>
  <c r="AA155" i="3"/>
  <c r="AB277" i="3"/>
  <c r="AA220" i="3"/>
  <c r="AA233" i="3"/>
  <c r="AA185" i="3"/>
  <c r="AA190" i="3"/>
  <c r="AB190" i="3"/>
  <c r="AA195" i="3"/>
  <c r="AB279" i="3"/>
  <c r="AB155" i="3"/>
  <c r="AA261" i="3"/>
  <c r="AB261" i="3"/>
  <c r="AB195" i="3"/>
  <c r="AA259" i="3"/>
  <c r="AB185" i="3"/>
  <c r="AA262" i="3"/>
  <c r="AA274" i="3"/>
  <c r="AA276" i="3"/>
  <c r="AB259" i="3"/>
  <c r="AB262" i="3"/>
  <c r="AB274" i="3"/>
  <c r="AB276" i="3"/>
  <c r="AG275" i="3"/>
  <c r="AC275" i="3"/>
  <c r="AB3" i="3"/>
  <c r="AB4" i="3"/>
  <c r="AA184" i="3"/>
  <c r="AA3" i="3"/>
  <c r="AA4" i="3"/>
  <c r="AC29" i="3"/>
  <c r="AA281" i="3"/>
  <c r="AA283" i="3"/>
  <c r="AA189" i="3"/>
  <c r="AA198" i="3"/>
  <c r="AA221" i="3"/>
  <c r="AB184" i="3"/>
  <c r="AB281" i="3"/>
  <c r="AB283" i="3"/>
  <c r="AB189" i="3"/>
  <c r="AB198" i="3"/>
  <c r="AB221" i="3"/>
  <c r="AB151" i="3"/>
  <c r="AC31" i="3"/>
  <c r="AC32" i="3"/>
  <c r="AC37" i="3"/>
  <c r="AC42" i="3"/>
  <c r="AC153" i="3"/>
  <c r="AC33" i="3"/>
  <c r="AC35" i="3"/>
  <c r="AC241" i="3"/>
  <c r="AC257" i="3"/>
  <c r="AC216" i="3"/>
  <c r="AC41" i="3"/>
  <c r="AC40" i="3"/>
  <c r="AC219" i="3"/>
  <c r="AC154" i="3"/>
  <c r="AC277" i="3"/>
  <c r="AC290" i="3"/>
  <c r="AC155" i="3"/>
  <c r="AC220" i="3"/>
  <c r="AC233" i="3"/>
  <c r="AC185" i="3"/>
  <c r="AC190" i="3"/>
  <c r="AC195" i="3"/>
  <c r="AC259" i="3"/>
  <c r="AC261" i="3"/>
  <c r="AC262" i="3"/>
  <c r="AC274" i="3"/>
  <c r="AC276" i="3"/>
  <c r="AC184" i="3"/>
  <c r="AD275" i="3"/>
  <c r="AC3" i="3"/>
  <c r="AC4" i="3"/>
  <c r="AC281" i="3"/>
  <c r="AC283" i="3"/>
  <c r="AC189" i="3"/>
  <c r="AC198" i="3"/>
  <c r="AC221" i="3"/>
  <c r="AD29" i="3"/>
  <c r="AD31" i="3"/>
  <c r="AD32" i="3"/>
  <c r="AD37" i="3"/>
  <c r="AD42" i="3"/>
  <c r="AD153" i="3"/>
  <c r="AD33" i="3"/>
  <c r="AD35" i="3"/>
  <c r="AD241" i="3"/>
  <c r="AD257" i="3"/>
  <c r="AD216" i="3"/>
  <c r="AD41" i="3"/>
  <c r="AD40" i="3"/>
  <c r="AD219" i="3"/>
  <c r="AD290" i="3"/>
  <c r="AD154" i="3"/>
  <c r="AD277" i="3"/>
  <c r="AD155" i="3"/>
  <c r="AD220" i="3"/>
  <c r="AD233" i="3"/>
  <c r="AD190" i="3"/>
  <c r="AD185" i="3"/>
  <c r="AD195" i="3"/>
  <c r="AD259" i="3"/>
  <c r="AD261" i="3"/>
  <c r="AD262" i="3"/>
  <c r="AD274" i="3"/>
  <c r="AD276" i="3"/>
  <c r="AD3" i="3"/>
  <c r="AD4" i="3"/>
  <c r="AE275" i="3"/>
  <c r="AD184" i="3"/>
  <c r="AD281" i="3"/>
  <c r="AD283" i="3"/>
  <c r="AD189" i="3"/>
  <c r="AD198" i="3"/>
  <c r="AD221" i="3"/>
  <c r="AE29" i="3"/>
  <c r="AE31" i="3"/>
  <c r="AE32" i="3"/>
  <c r="AE37" i="3"/>
  <c r="AE42" i="3"/>
  <c r="AE153" i="3"/>
  <c r="AE33" i="3"/>
  <c r="AE241" i="3"/>
  <c r="AE35" i="3"/>
  <c r="AE41" i="3"/>
  <c r="AE40" i="3"/>
  <c r="AE257" i="3"/>
  <c r="AE216" i="3"/>
  <c r="AE154" i="3"/>
  <c r="AE290" i="3"/>
  <c r="AE277" i="3"/>
  <c r="AE219" i="3"/>
  <c r="AE220" i="3"/>
  <c r="AE233" i="3"/>
  <c r="AE155" i="3"/>
  <c r="AE190" i="3"/>
  <c r="AE185" i="3"/>
  <c r="AE195" i="3"/>
  <c r="AE259" i="3"/>
  <c r="AE261" i="3"/>
  <c r="AE262" i="3"/>
  <c r="AE274" i="3"/>
  <c r="AE276" i="3"/>
  <c r="AE3" i="3"/>
  <c r="AE4" i="3"/>
  <c r="AE184" i="3"/>
  <c r="AE189" i="3"/>
  <c r="AE198" i="3"/>
  <c r="AE221" i="3"/>
  <c r="AF275" i="3"/>
  <c r="AE281" i="3"/>
  <c r="AE283" i="3"/>
  <c r="AF29" i="3"/>
  <c r="AF31" i="3"/>
  <c r="AF32" i="3"/>
  <c r="AF37" i="3"/>
  <c r="AF42" i="3"/>
  <c r="AF153" i="3"/>
  <c r="AG29" i="3"/>
  <c r="AG31" i="3"/>
  <c r="AF33" i="3"/>
  <c r="AG32" i="3"/>
  <c r="AG150" i="3"/>
  <c r="AG33" i="3"/>
  <c r="AG241" i="3"/>
  <c r="AG257" i="3"/>
  <c r="AF241" i="3"/>
  <c r="AF35" i="3"/>
  <c r="AG37" i="3"/>
  <c r="AG35" i="3"/>
  <c r="AG39" i="3"/>
  <c r="AG42" i="3"/>
  <c r="AG153" i="3"/>
  <c r="AG290" i="3"/>
  <c r="AG154" i="3"/>
  <c r="AF41" i="3"/>
  <c r="AF40" i="3"/>
  <c r="AF257" i="3"/>
  <c r="AF216" i="3"/>
  <c r="AG38" i="3"/>
  <c r="AG40" i="3"/>
  <c r="AF290" i="3"/>
  <c r="AF277" i="3"/>
  <c r="AF154" i="3"/>
  <c r="AF219" i="3"/>
  <c r="AG216" i="3"/>
  <c r="AG219" i="3"/>
  <c r="AG220" i="3"/>
  <c r="AG41" i="3"/>
  <c r="AF233" i="3"/>
  <c r="AF220" i="3"/>
  <c r="AF155" i="3"/>
  <c r="AG277" i="3"/>
  <c r="AG279" i="3"/>
  <c r="AG155" i="3"/>
  <c r="AF185" i="3"/>
  <c r="AF190" i="3"/>
  <c r="AG190" i="3"/>
  <c r="AF195" i="3"/>
  <c r="AF259" i="3"/>
  <c r="AG185" i="3"/>
  <c r="AG195" i="3"/>
  <c r="AF261" i="3"/>
  <c r="AG261" i="3"/>
  <c r="AF262" i="3"/>
  <c r="AF274" i="3"/>
  <c r="AF276" i="3"/>
  <c r="AG259" i="3"/>
  <c r="AG262" i="3"/>
  <c r="AG274" i="3"/>
  <c r="AG276" i="3"/>
  <c r="AL275" i="3"/>
  <c r="AG3" i="3"/>
  <c r="AG4" i="3"/>
  <c r="AH275" i="3"/>
  <c r="AF184" i="3"/>
  <c r="AF3" i="3"/>
  <c r="AF4" i="3"/>
  <c r="AF281" i="3"/>
  <c r="AF283" i="3"/>
  <c r="AF189" i="3"/>
  <c r="AF198" i="3"/>
  <c r="AF221" i="3"/>
  <c r="AH29" i="3"/>
  <c r="AG184" i="3"/>
  <c r="AG189" i="3"/>
  <c r="AG198" i="3"/>
  <c r="AG221" i="3"/>
  <c r="AG281" i="3"/>
  <c r="AG283" i="3"/>
  <c r="AG151" i="3"/>
  <c r="AH31" i="3"/>
  <c r="AH32" i="3"/>
  <c r="AH33" i="3"/>
  <c r="AH241" i="3"/>
  <c r="AH35" i="3"/>
  <c r="AH37" i="3"/>
  <c r="AH42" i="3"/>
  <c r="AH153" i="3"/>
  <c r="AH41" i="3"/>
  <c r="AH40" i="3"/>
  <c r="AH257" i="3"/>
  <c r="AH216" i="3"/>
  <c r="AH219" i="3"/>
  <c r="AH154" i="3"/>
  <c r="AH290" i="3"/>
  <c r="AH277" i="3"/>
  <c r="AH155" i="3"/>
  <c r="AH220" i="3"/>
  <c r="AH233" i="3"/>
  <c r="AH190" i="3"/>
  <c r="AH185" i="3"/>
  <c r="AH195" i="3"/>
  <c r="AH259" i="3"/>
  <c r="AH261" i="3"/>
  <c r="AH262" i="3"/>
  <c r="AH274" i="3"/>
  <c r="AH276" i="3"/>
  <c r="AI275" i="3"/>
  <c r="AH184" i="3"/>
  <c r="AI29" i="3"/>
  <c r="AH3" i="3"/>
  <c r="AH4" i="3"/>
  <c r="AH189" i="3"/>
  <c r="AH198" i="3"/>
  <c r="AH221" i="3"/>
  <c r="AH281" i="3"/>
  <c r="AH283" i="3"/>
  <c r="AI31" i="3"/>
  <c r="AI32" i="3"/>
  <c r="AI33" i="3"/>
  <c r="AI35" i="3"/>
  <c r="AI241" i="3"/>
  <c r="AI37" i="3"/>
  <c r="AI42" i="3"/>
  <c r="AI153" i="3"/>
  <c r="AI40" i="3"/>
  <c r="AI41" i="3"/>
  <c r="AI257" i="3"/>
  <c r="AI216" i="3"/>
  <c r="AI219" i="3"/>
  <c r="AI290" i="3"/>
  <c r="AI277" i="3"/>
  <c r="AI154" i="3"/>
  <c r="AI155" i="3"/>
  <c r="AI220" i="3"/>
  <c r="AI233" i="3"/>
  <c r="AI185" i="3"/>
  <c r="AI190" i="3"/>
  <c r="AI195" i="3"/>
  <c r="AI259" i="3"/>
  <c r="AI261" i="3"/>
  <c r="AI262" i="3"/>
  <c r="AI274" i="3"/>
  <c r="AI276" i="3"/>
  <c r="AJ275" i="3"/>
  <c r="AI184" i="3"/>
  <c r="AJ29" i="3"/>
  <c r="AI3" i="3"/>
  <c r="AI4" i="3"/>
  <c r="AI281" i="3"/>
  <c r="AI283" i="3"/>
  <c r="AI189" i="3"/>
  <c r="AI198" i="3"/>
  <c r="AI221" i="3"/>
  <c r="AJ31" i="3"/>
  <c r="AJ32" i="3"/>
  <c r="AJ37" i="3"/>
  <c r="AJ42" i="3"/>
  <c r="AJ153" i="3"/>
  <c r="AJ33" i="3"/>
  <c r="AJ241" i="3"/>
  <c r="AJ35" i="3"/>
  <c r="AJ257" i="3"/>
  <c r="AJ216" i="3"/>
  <c r="AJ40" i="3"/>
  <c r="AJ41" i="3"/>
  <c r="AJ290" i="3"/>
  <c r="AJ277" i="3"/>
  <c r="AJ154" i="3"/>
  <c r="AJ219" i="3"/>
  <c r="AJ220" i="3"/>
  <c r="AJ233" i="3"/>
  <c r="AJ155" i="3"/>
  <c r="AJ185" i="3"/>
  <c r="AJ190" i="3"/>
  <c r="AJ195" i="3"/>
  <c r="AJ261" i="3"/>
  <c r="AJ259" i="3"/>
  <c r="AJ262" i="3"/>
  <c r="AJ274" i="3"/>
  <c r="AJ276" i="3"/>
  <c r="AK275" i="3"/>
  <c r="AJ184" i="3"/>
  <c r="AJ3" i="3"/>
  <c r="AJ4" i="3"/>
  <c r="AK29" i="3"/>
  <c r="AJ281" i="3"/>
  <c r="AJ283" i="3"/>
  <c r="AJ189" i="3"/>
  <c r="AJ198" i="3"/>
  <c r="AJ221" i="3"/>
  <c r="AK31" i="3"/>
  <c r="AK32" i="3"/>
  <c r="AK37" i="3"/>
  <c r="AK42" i="3"/>
  <c r="AK153" i="3"/>
  <c r="AL29" i="3"/>
  <c r="AL31" i="3"/>
  <c r="AK33" i="3"/>
  <c r="AL32" i="3"/>
  <c r="AL150" i="3"/>
  <c r="AK241" i="3"/>
  <c r="AK35" i="3"/>
  <c r="AL37" i="3"/>
  <c r="AL33" i="3"/>
  <c r="AL35" i="3"/>
  <c r="AL241" i="3"/>
  <c r="AL257" i="3"/>
  <c r="AK41" i="3"/>
  <c r="AK40" i="3"/>
  <c r="AK257" i="3"/>
  <c r="AK216" i="3"/>
  <c r="AL216" i="3"/>
  <c r="AL219" i="3"/>
  <c r="AL220" i="3"/>
  <c r="AK219" i="3"/>
  <c r="C323" i="3"/>
  <c r="AL154" i="3"/>
  <c r="AL290" i="3"/>
  <c r="AK290" i="3"/>
  <c r="AK277" i="3"/>
  <c r="AK154" i="3"/>
  <c r="AL38" i="3"/>
  <c r="AL40" i="3"/>
  <c r="AL39" i="3"/>
  <c r="AL42" i="3"/>
  <c r="AL153" i="3"/>
  <c r="AL41" i="3"/>
  <c r="AK155" i="3"/>
  <c r="AL277" i="3"/>
  <c r="AK220" i="3"/>
  <c r="AK233" i="3"/>
  <c r="AK190" i="3"/>
  <c r="AL190" i="3"/>
  <c r="AK185" i="3"/>
  <c r="AK195" i="3"/>
  <c r="AL155" i="3"/>
  <c r="AL279" i="3"/>
  <c r="C324" i="3"/>
  <c r="C326" i="3"/>
  <c r="C300" i="3"/>
  <c r="C7" i="3"/>
  <c r="C8" i="3"/>
  <c r="C331" i="3"/>
  <c r="AL195" i="3"/>
  <c r="AK261" i="3"/>
  <c r="AL261" i="3"/>
  <c r="AK259" i="3"/>
  <c r="AL185" i="3"/>
  <c r="C332" i="3"/>
  <c r="C333" i="3"/>
  <c r="C9" i="3"/>
  <c r="AK262" i="3"/>
  <c r="AK274" i="3"/>
  <c r="AK276" i="3"/>
  <c r="AL259" i="3"/>
  <c r="AL262" i="3"/>
  <c r="AL274" i="3"/>
  <c r="AL276" i="3"/>
  <c r="AL3" i="3"/>
  <c r="AL4" i="3"/>
  <c r="AK184" i="3"/>
  <c r="AK3" i="3"/>
  <c r="AK4" i="3"/>
  <c r="AK281" i="3"/>
  <c r="AK283" i="3"/>
  <c r="AK189" i="3"/>
  <c r="AK198" i="3"/>
  <c r="AK221" i="3"/>
  <c r="AL184" i="3"/>
  <c r="AL189" i="3"/>
  <c r="AL198" i="3"/>
  <c r="AL221" i="3"/>
  <c r="AL281" i="3"/>
  <c r="AL283" i="3"/>
  <c r="AL1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Nikhil Nair</author>
    <author>GE User</author>
    <author>Owner</author>
  </authors>
  <commentList>
    <comment ref="C9" authorId="0" shapeId="0" xr:uid="{198B7886-F629-4EE4-A7EF-0E3CC6654E7B}">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B17" authorId="0" shapeId="0" xr:uid="{B9B1F949-59C3-4F66-B6B5-C4844C014784}">
      <text>
        <r>
          <rPr>
            <sz val="9"/>
            <color rgb="FF000000"/>
            <rFont val="Tahoma"/>
            <family val="2"/>
          </rPr>
          <t xml:space="preserve">'The caption "Product and distribution costs" replaced "Cost of sales" in financial statements published in periods prior to our third quarter of fiscal 2020. Besides the name change, there were no other changes in the types of costs reported within the
</t>
        </r>
        <r>
          <rPr>
            <sz val="9"/>
            <color rgb="FF000000"/>
            <rFont val="Tahoma"/>
            <family val="2"/>
          </rPr>
          <t xml:space="preserve">caption." 
</t>
        </r>
        <r>
          <rPr>
            <sz val="9"/>
            <color rgb="FF000000"/>
            <rFont val="Tahoma"/>
            <family val="2"/>
          </rPr>
          <t xml:space="preserve">
</t>
        </r>
        <r>
          <rPr>
            <sz val="9"/>
            <color rgb="FF000000"/>
            <rFont val="Tahoma"/>
            <family val="2"/>
          </rPr>
          <t>Management views as a percentage of total net revenue. Margin % tends to shift with changes in food/beverage mix, cost of coffee, and changes in fx.</t>
        </r>
      </text>
    </comment>
    <comment ref="B24" authorId="0" shapeId="0" xr:uid="{C5DF09ED-D5F1-46DD-8811-D48519F365D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H30" authorId="0" shapeId="0" xr:uid="{71A66D94-4905-4A14-B887-AFD5921667B9}">
      <text>
        <r>
          <rPr>
            <b/>
            <sz val="9"/>
            <color indexed="81"/>
            <rFont val="Tahoma"/>
            <family val="2"/>
          </rPr>
          <t>F3Q2019 Earnings call (7/25/2019) guidance for FY2019:</t>
        </r>
        <r>
          <rPr>
            <sz val="9"/>
            <color indexed="81"/>
            <rFont val="Tahoma"/>
            <family val="2"/>
          </rPr>
          <t xml:space="preserve"> Interest Expense guided to $330M.</t>
        </r>
      </text>
    </comment>
    <comment ref="M30" authorId="0" shapeId="0" xr:uid="{357846B1-DCC2-4E4F-8B9F-ABDAA337CD5D}">
      <text>
        <r>
          <rPr>
            <b/>
            <sz val="9"/>
            <color rgb="FF000000"/>
            <rFont val="Tahoma"/>
            <family val="2"/>
          </rPr>
          <t xml:space="preserve">Management Guidance: </t>
        </r>
        <r>
          <rPr>
            <sz val="9"/>
            <color rgb="FF000000"/>
            <rFont val="Tahoma"/>
            <family val="2"/>
          </rPr>
          <t>Interest expense of approximately $435 million to $445 million</t>
        </r>
        <r>
          <rPr>
            <b/>
            <sz val="9"/>
            <color rgb="FF000000"/>
            <rFont val="Tahoma"/>
            <family val="2"/>
          </rPr>
          <t xml:space="preserve">
</t>
        </r>
        <r>
          <rPr>
            <b/>
            <sz val="9"/>
            <color rgb="FF000000"/>
            <rFont val="Tahoma"/>
            <family val="2"/>
          </rPr>
          <t xml:space="preserve">Source: </t>
        </r>
        <r>
          <rPr>
            <sz val="9"/>
            <color rgb="FF000000"/>
            <rFont val="Tahoma"/>
            <family val="2"/>
          </rPr>
          <t>F3Q2020 Press Release, July 28, 2020</t>
        </r>
      </text>
    </comment>
    <comment ref="H41" authorId="0" shapeId="0" xr:uid="{DF6AC6E6-CF62-4BDB-9DE1-43B44074A433}">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41" authorId="0" shapeId="0" xr:uid="{48A4BEE2-4BB6-473A-AFEE-59BCA327A54A}">
      <text>
        <r>
          <rPr>
            <b/>
            <sz val="9"/>
            <color rgb="FF000000"/>
            <rFont val="Tahoma"/>
            <family val="2"/>
          </rPr>
          <t xml:space="preserve">Management Guidance: </t>
        </r>
        <r>
          <rPr>
            <sz val="9"/>
            <color rgb="FF000000"/>
            <rFont val="Tahoma"/>
            <family val="2"/>
          </rPr>
          <t xml:space="preserve">GAAP EPS in the range of $0.06 to $0.21 for Q4.
</t>
        </r>
        <r>
          <rPr>
            <b/>
            <sz val="9"/>
            <color rgb="FF000000"/>
            <rFont val="Tahoma"/>
            <family val="2"/>
          </rPr>
          <t>Source:</t>
        </r>
        <r>
          <rPr>
            <sz val="9"/>
            <color rgb="FF000000"/>
            <rFont val="Tahoma"/>
            <family val="2"/>
          </rPr>
          <t xml:space="preserve"> F3Q2020 Press Release, July 28, 2020</t>
        </r>
      </text>
    </comment>
    <comment ref="M41" authorId="0" shapeId="0" xr:uid="{8DB55CC6-CC86-4C75-81B1-95DFDFEDA794}">
      <text>
        <r>
          <rPr>
            <b/>
            <sz val="9"/>
            <color rgb="FF000000"/>
            <rFont val="Tahoma"/>
            <family val="2"/>
          </rPr>
          <t>Management Guidance:</t>
        </r>
        <r>
          <rPr>
            <sz val="9"/>
            <color rgb="FF000000"/>
            <rFont val="Tahoma"/>
            <family val="2"/>
          </rPr>
          <t xml:space="preserve"> GAAP EPS in the range of $0.50 to $0.65 for full year.
</t>
        </r>
        <r>
          <rPr>
            <b/>
            <sz val="9"/>
            <color rgb="FF000000"/>
            <rFont val="Tahoma"/>
            <family val="2"/>
          </rPr>
          <t>Source:</t>
        </r>
        <r>
          <rPr>
            <sz val="9"/>
            <color rgb="FF000000"/>
            <rFont val="Tahoma"/>
            <family val="2"/>
          </rPr>
          <t xml:space="preserve"> F3Q2020 Press Release, July 28, 2020</t>
        </r>
      </text>
    </comment>
    <comment ref="H42" authorId="0" shapeId="0" xr:uid="{F7FB76D6-F1C4-4BDC-B91F-D34DB0107C07}">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42" authorId="0" shapeId="0" xr:uid="{F046C3E8-E96A-4E61-A868-2A5D67E2D124}">
      <text>
        <r>
          <rPr>
            <b/>
            <sz val="9"/>
            <color rgb="FF000000"/>
            <rFont val="Tahoma"/>
            <family val="2"/>
          </rPr>
          <t>Management Guidance:</t>
        </r>
        <r>
          <rPr>
            <sz val="9"/>
            <color rgb="FF000000"/>
            <rFont val="Tahoma"/>
            <family val="2"/>
          </rPr>
          <t xml:space="preserve"> Non-GAAP EPS in the range of $0.18 to $0.33 for Q4.
</t>
        </r>
        <r>
          <rPr>
            <b/>
            <sz val="9"/>
            <color rgb="FF000000"/>
            <rFont val="Tahoma"/>
            <family val="2"/>
          </rPr>
          <t>Source:</t>
        </r>
        <r>
          <rPr>
            <sz val="9"/>
            <color rgb="FF000000"/>
            <rFont val="Tahoma"/>
            <family val="2"/>
          </rPr>
          <t xml:space="preserve"> F3Q2020 Press Release, July 28, 2020</t>
        </r>
      </text>
    </comment>
    <comment ref="M42" authorId="0" shapeId="0" xr:uid="{6E79E2F0-A39C-4AE1-9A77-4F98B2A50325}">
      <text>
        <r>
          <rPr>
            <b/>
            <sz val="9"/>
            <color rgb="FF000000"/>
            <rFont val="Tahoma"/>
            <family val="2"/>
          </rPr>
          <t xml:space="preserve">Management Guidance: </t>
        </r>
        <r>
          <rPr>
            <sz val="9"/>
            <color rgb="FF000000"/>
            <rFont val="Tahoma"/>
            <family val="2"/>
          </rPr>
          <t xml:space="preserve">Non-GAAP EPS in the range of $0.83 to $0.93 for full year.
</t>
        </r>
        <r>
          <rPr>
            <b/>
            <sz val="9"/>
            <color rgb="FF000000"/>
            <rFont val="Tahoma"/>
            <family val="2"/>
          </rPr>
          <t xml:space="preserve">Source: </t>
        </r>
        <r>
          <rPr>
            <sz val="9"/>
            <color rgb="FF000000"/>
            <rFont val="Tahoma"/>
            <family val="2"/>
          </rPr>
          <t xml:space="preserve">F3Q2020 Press Release, July 28, 2020
</t>
        </r>
        <r>
          <rPr>
            <b/>
            <sz val="9"/>
            <color rgb="FF000000"/>
            <rFont val="Tahoma"/>
            <family val="2"/>
          </rPr>
          <t>Primary Output:</t>
        </r>
        <r>
          <rPr>
            <sz val="9"/>
            <color rgb="FF000000"/>
            <rFont val="Tahoma"/>
            <family val="2"/>
          </rPr>
          <t xml:space="preserve"> After you adjust the Primary Inputs in the model below, your new earnings forecast will recalculate based on the new assumptions resulting in a new EPS estimate, and theoretical target share price band.</t>
        </r>
      </text>
    </comment>
    <comment ref="L43" authorId="0" shapeId="0" xr:uid="{17FD324E-BE01-444B-B820-F34490837076}">
      <text>
        <r>
          <rPr>
            <b/>
            <sz val="9"/>
            <color rgb="FF000000"/>
            <rFont val="Tahoma"/>
            <family val="2"/>
          </rPr>
          <t>Note:</t>
        </r>
        <r>
          <rPr>
            <sz val="9"/>
            <color rgb="FF000000"/>
            <rFont val="Tahoma"/>
            <family val="2"/>
          </rPr>
          <t xml:space="preserve"> Management increased the dividend by 14% last year. This year I have entered a 7% increase (half of 14%). If you believe the dividend growth rate will be lower or higher, enter your assumption here.
</t>
        </r>
      </text>
    </comment>
    <comment ref="Q43" authorId="1" shapeId="0" xr:uid="{4CA2C4D0-9F1E-904A-BBD0-F5CF56E1949E}">
      <text>
        <r>
          <rPr>
            <b/>
            <sz val="10"/>
            <color rgb="FF000000"/>
            <rFont val="Tahoma"/>
            <family val="2"/>
          </rPr>
          <t>Nikhil Nair:</t>
        </r>
        <r>
          <rPr>
            <sz val="10"/>
            <color rgb="FF000000"/>
            <rFont val="Tahoma"/>
            <family val="2"/>
          </rPr>
          <t xml:space="preserve">
</t>
        </r>
        <r>
          <rPr>
            <sz val="10"/>
            <color rgb="FF000000"/>
            <rFont val="Tahoma"/>
            <family val="2"/>
          </rPr>
          <t>Assuming a vaccine is found by end of Q3 allowing for greater dividend payout. Div payout to increase by 10 over the next two quarters and then at 7% for the following 2 quarters. Steady thereafter</t>
        </r>
      </text>
    </comment>
    <comment ref="L49" authorId="0" shapeId="0" xr:uid="{84CE44C6-C07D-439A-A386-B60A65BFC218}">
      <text>
        <r>
          <rPr>
            <b/>
            <sz val="9"/>
            <color rgb="FF000000"/>
            <rFont val="Tahoma"/>
            <family val="2"/>
          </rPr>
          <t xml:space="preserve">Primary Input: </t>
        </r>
        <r>
          <rPr>
            <sz val="9"/>
            <color rgb="FF000000"/>
            <rFont val="Tahoma"/>
            <family val="2"/>
          </rPr>
          <t xml:space="preserve">If you believe the macroeconomic and competitive landscape  will result in a favorable conditions for the company, consider increaseing the number of new stores over time, for each region. If not decrease the store count. </t>
        </r>
      </text>
    </comment>
    <comment ref="L54" authorId="0" shapeId="0" xr:uid="{8D89D6CD-96E4-4E98-9056-65776388969F}">
      <text>
        <r>
          <rPr>
            <b/>
            <sz val="9"/>
            <color rgb="FF000000"/>
            <rFont val="Tahoma"/>
            <family val="2"/>
          </rPr>
          <t xml:space="preserve">Primary Input: </t>
        </r>
        <r>
          <rPr>
            <sz val="9"/>
            <color rgb="FF000000"/>
            <rFont val="Tahoma"/>
            <family val="2"/>
          </rPr>
          <t xml:space="preserve">If you believe the SBUX product offerings, macroeconomic and competitive conditions  will benefit the company, increase the Comp Store Sales rate. If not, decrease the rate.
</t>
        </r>
        <r>
          <rPr>
            <b/>
            <sz val="9"/>
            <color rgb="FF000000"/>
            <rFont val="Tahoma"/>
            <family val="2"/>
          </rPr>
          <t xml:space="preserve">
</t>
        </r>
        <r>
          <rPr>
            <b/>
            <sz val="9"/>
            <color rgb="FF000000"/>
            <rFont val="Tahoma"/>
            <family val="2"/>
          </rPr>
          <t>Management Guidance:</t>
        </r>
        <r>
          <rPr>
            <sz val="9"/>
            <color rgb="FF000000"/>
            <rFont val="Tahoma"/>
            <family val="2"/>
          </rPr>
          <t xml:space="preserve"> Americas and U.S. comparable store sales declines of 12% to 17% for each of Q4 and full year.  (previously declines of 10% to 20% for each of Q4 and full year).
</t>
        </r>
        <r>
          <rPr>
            <b/>
            <sz val="9"/>
            <color rgb="FF000000"/>
            <rFont val="Tahoma"/>
            <family val="2"/>
          </rPr>
          <t>Source:</t>
        </r>
        <r>
          <rPr>
            <sz val="9"/>
            <color rgb="FF000000"/>
            <rFont val="Tahoma"/>
            <family val="2"/>
          </rPr>
          <t xml:space="preserve"> F3Q2020 Press Release, July 28, 2020</t>
        </r>
      </text>
    </comment>
    <comment ref="N54" authorId="1" shapeId="0" xr:uid="{DD1CD399-EE26-1247-934F-49251AFD2B16}">
      <text>
        <r>
          <rPr>
            <b/>
            <sz val="10"/>
            <color rgb="FF000000"/>
            <rFont val="Tahoma"/>
            <family val="2"/>
          </rPr>
          <t xml:space="preserve">Nikhil Nair: </t>
        </r>
        <r>
          <rPr>
            <sz val="10"/>
            <color rgb="FF000000"/>
            <rFont val="Tahoma"/>
            <family val="2"/>
          </rPr>
          <t>Increased caused by stimulus bill passing and increase in curbside pickup</t>
        </r>
      </text>
    </comment>
    <comment ref="O54" authorId="0" shapeId="0" xr:uid="{6877058F-4827-436F-8E7E-0F5233BC44EB}">
      <text>
        <r>
          <rPr>
            <b/>
            <sz val="9"/>
            <color rgb="FF000000"/>
            <rFont val="Tahoma"/>
            <family val="2"/>
          </rPr>
          <t xml:space="preserve">Comment from F3Q2020 Earnings Call: </t>
        </r>
        <r>
          <rPr>
            <sz val="9"/>
            <color rgb="FF000000"/>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Q54" authorId="1" shapeId="0" xr:uid="{2473403B-965E-2F42-9306-897F5911605D}">
      <text>
        <r>
          <rPr>
            <b/>
            <sz val="10"/>
            <color rgb="FF000000"/>
            <rFont val="Tahoma"/>
            <family val="2"/>
          </rPr>
          <t>Nikhil Nair:</t>
        </r>
        <r>
          <rPr>
            <sz val="10"/>
            <color rgb="FF000000"/>
            <rFont val="Tahoma"/>
            <family val="2"/>
          </rPr>
          <t>Increase due to to a vaccine and WFH ending</t>
        </r>
      </text>
    </comment>
    <comment ref="N60" authorId="1" shapeId="0" xr:uid="{A4C5C2F0-627D-734C-BB82-1113DA7701E5}">
      <text>
        <r>
          <rPr>
            <b/>
            <sz val="10"/>
            <color rgb="FF000000"/>
            <rFont val="Tahoma"/>
            <family val="2"/>
          </rPr>
          <t>Nikhil Nair:</t>
        </r>
        <r>
          <rPr>
            <sz val="10"/>
            <color rgb="FF000000"/>
            <rFont val="Tahoma"/>
            <family val="2"/>
          </rPr>
          <t xml:space="preserve">
</t>
        </r>
        <r>
          <rPr>
            <sz val="10"/>
            <color rgb="FF000000"/>
            <rFont val="Tahoma"/>
            <family val="2"/>
          </rPr>
          <t>Lower rate of new store openings until q4</t>
        </r>
      </text>
    </comment>
    <comment ref="H67" authorId="0" shapeId="0" xr:uid="{BABABC73-1D12-4DF2-9E5E-E841BFA2DCB7}">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67" authorId="0" shapeId="0" xr:uid="{9A4440A0-FA0D-4052-B280-1F2587BA4552}">
      <text>
        <r>
          <rPr>
            <sz val="9"/>
            <color rgb="FF000000"/>
            <rFont val="Tahoma"/>
            <family val="2"/>
          </rPr>
          <t>M</t>
        </r>
        <r>
          <rPr>
            <b/>
            <sz val="9"/>
            <color rgb="FF000000"/>
            <rFont val="Tahoma"/>
            <family val="2"/>
          </rPr>
          <t>anagement Gudiance:</t>
        </r>
        <r>
          <rPr>
            <sz val="9"/>
            <color rgb="FF000000"/>
            <rFont val="Tahoma"/>
            <family val="2"/>
          </rPr>
          <t xml:space="preserve"> Americas approximately 300 net new stores
</t>
        </r>
        <r>
          <rPr>
            <b/>
            <sz val="9"/>
            <color rgb="FF000000"/>
            <rFont val="Tahoma"/>
            <family val="2"/>
          </rPr>
          <t xml:space="preserve">Source: </t>
        </r>
        <r>
          <rPr>
            <sz val="9"/>
            <color rgb="FF000000"/>
            <rFont val="Tahoma"/>
            <family val="2"/>
          </rPr>
          <t>F3Q2020 Press Release, July 28, 2020</t>
        </r>
      </text>
    </comment>
    <comment ref="H77" authorId="0" shapeId="0" xr:uid="{1D79115A-EE07-4E1F-A6A6-CD8AF6211E06}">
      <text>
        <r>
          <rPr>
            <b/>
            <sz val="9"/>
            <color rgb="FF000000"/>
            <rFont val="Tahoma"/>
            <family val="2"/>
          </rPr>
          <t xml:space="preserve">F3Q2019 Earnings call (7/25/2019) guidance for FY2019:
</t>
        </r>
        <r>
          <rPr>
            <sz val="9"/>
            <color rgb="FF000000"/>
            <rFont val="Tahoma"/>
            <family val="2"/>
          </rPr>
          <t xml:space="preserve">Consolidated operating margin down moderately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mid-30% range
</t>
        </r>
        <r>
          <rPr>
            <b/>
            <sz val="9"/>
            <color rgb="FF000000"/>
            <rFont val="Tahoma"/>
            <family val="2"/>
          </rPr>
          <t xml:space="preserve">
</t>
        </r>
        <r>
          <rPr>
            <b/>
            <sz val="9"/>
            <color rgb="FF000000"/>
            <rFont val="Tahoma"/>
            <family val="2"/>
          </rPr>
          <t xml:space="preserve">Past Guidance:
</t>
        </r>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t>
        </r>
        <r>
          <rPr>
            <u/>
            <sz val="9"/>
            <color rgb="FF000000"/>
            <rFont val="Tahoma"/>
            <family val="2"/>
          </rPr>
          <t>up</t>
        </r>
        <r>
          <rPr>
            <sz val="9"/>
            <color rgb="FF000000"/>
            <rFont val="Tahoma"/>
            <family val="2"/>
          </rPr>
          <t xml:space="preserve">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t>
        </r>
        <r>
          <rPr>
            <u/>
            <sz val="9"/>
            <color rgb="FF000000"/>
            <rFont val="Tahoma"/>
            <family val="2"/>
          </rPr>
          <t>mid-30%</t>
        </r>
        <r>
          <rPr>
            <sz val="9"/>
            <color rgb="FF000000"/>
            <rFont val="Tahoma"/>
            <family val="2"/>
          </rPr>
          <t xml:space="preserve"> range</t>
        </r>
        <r>
          <rPr>
            <b/>
            <sz val="9"/>
            <color rgb="FF000000"/>
            <rFont val="Tahoma"/>
            <family val="2"/>
          </rPr>
          <t xml:space="preserve">
</t>
        </r>
        <r>
          <rPr>
            <b/>
            <sz val="9"/>
            <color rgb="FF000000"/>
            <rFont val="Tahoma"/>
            <family val="2"/>
          </rPr>
          <t xml:space="preserve">
</t>
        </r>
        <r>
          <rPr>
            <b/>
            <sz val="9"/>
            <color rgb="FF000000"/>
            <rFont val="Tahoma"/>
            <family val="2"/>
          </rPr>
          <t xml:space="preserve">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O77" authorId="0" shapeId="0" xr:uid="{0BEC7B09-C406-4F84-B85D-BE3440566F1F}">
      <text>
        <r>
          <rPr>
            <b/>
            <sz val="9"/>
            <color rgb="FF000000"/>
            <rFont val="Tahoma"/>
            <family val="2"/>
          </rPr>
          <t xml:space="preserve">Comment from F3Q2020 Earnings Call: </t>
        </r>
        <r>
          <rPr>
            <sz val="9"/>
            <color rgb="FF000000"/>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F79" authorId="0" shapeId="0" xr:uid="{E8FEEF10-A864-490D-984F-D93848AE91C8}">
      <text>
        <r>
          <rPr>
            <b/>
            <sz val="9"/>
            <color indexed="81"/>
            <rFont val="Tahoma"/>
            <family val="2"/>
          </rPr>
          <t xml:space="preserve">Primary Input: </t>
        </r>
        <r>
          <rPr>
            <sz val="9"/>
            <color indexed="81"/>
            <rFont val="Tahoma"/>
            <family val="2"/>
          </rPr>
          <t>This cell will be impacted by product mix (lower vs higher cost products), occupancy costs, changes in employee wages and other operating costs. Consider historic seasonal trend and incorporate your view of the future in your estimates.</t>
        </r>
      </text>
    </comment>
    <comment ref="F82" authorId="0" shapeId="0" xr:uid="{252B23A1-1F2A-4663-B497-1465C379527C}">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F87" authorId="0" shapeId="0" xr:uid="{5D52F90C-9D4F-4FA3-B734-1D3E13CABD5A}">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7" authorId="0" shapeId="0" xr:uid="{CF0A3ACE-5388-4A71-AC1A-7A23B8D0C31D}">
      <text>
        <r>
          <rPr>
            <b/>
            <sz val="9"/>
            <color rgb="FF000000"/>
            <rFont val="Tahoma"/>
            <family val="2"/>
          </rPr>
          <t>Primary Input:</t>
        </r>
        <r>
          <rPr>
            <sz val="9"/>
            <color rgb="FF000000"/>
            <rFont val="Tahoma"/>
            <family val="2"/>
          </rPr>
          <t xml:space="preserve"> If you believe the SBUX product offerings, macroeconomic and competitive conditions  will benefit the company, increase the Comp Store Sales rate. If not, decrease the rate.
</t>
        </r>
        <r>
          <rPr>
            <sz val="9"/>
            <color rgb="FF000000"/>
            <rFont val="Tahoma"/>
            <family val="2"/>
          </rPr>
          <t xml:space="preserve">
</t>
        </r>
        <r>
          <rPr>
            <b/>
            <sz val="9"/>
            <color rgb="FF000000"/>
            <rFont val="Tahoma"/>
            <family val="2"/>
          </rPr>
          <t xml:space="preserve">Management Guidance: </t>
        </r>
        <r>
          <rPr>
            <sz val="9"/>
            <color rgb="FF000000"/>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rgb="FF000000"/>
            <rFont val="Tahoma"/>
            <family val="2"/>
          </rPr>
          <t xml:space="preserve">Source: </t>
        </r>
        <r>
          <rPr>
            <sz val="9"/>
            <color rgb="FF000000"/>
            <rFont val="Tahoma"/>
            <family val="2"/>
          </rPr>
          <t xml:space="preserve">F3Q2020 Press Release, July 28, 2020
</t>
        </r>
        <r>
          <rPr>
            <sz val="9"/>
            <color rgb="FF000000"/>
            <rFont val="Tahoma"/>
            <family val="2"/>
          </rPr>
          <t xml:space="preserve">
</t>
        </r>
        <r>
          <rPr>
            <b/>
            <sz val="9"/>
            <color rgb="FF000000"/>
            <rFont val="Tahoma"/>
            <family val="2"/>
          </rPr>
          <t xml:space="preserve">Comment from F3Q2020 Earnings Call: </t>
        </r>
        <r>
          <rPr>
            <sz val="9"/>
            <color rgb="FF000000"/>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t>
        </r>
        <r>
          <rPr>
            <sz val="9"/>
            <color rgb="FF000000"/>
            <rFont val="Tahoma"/>
            <family val="2"/>
          </rPr>
          <t xml:space="preserve">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N87" authorId="1" shapeId="0" xr:uid="{DA07875E-3852-8541-A661-C5A9453A017B}">
      <text>
        <r>
          <rPr>
            <b/>
            <sz val="10"/>
            <color rgb="FF000000"/>
            <rFont val="Tahoma"/>
            <family val="2"/>
          </rPr>
          <t>Nikhil Nair:</t>
        </r>
        <r>
          <rPr>
            <sz val="10"/>
            <color rgb="FF000000"/>
            <rFont val="Tahoma"/>
            <family val="2"/>
          </rPr>
          <t xml:space="preserve"> </t>
        </r>
        <r>
          <rPr>
            <sz val="10"/>
            <color rgb="FF000000"/>
            <rFont val="Calibri"/>
            <family val="2"/>
            <scheme val="minor"/>
          </rPr>
          <t>Estimate that benefits from reopening in China and Japan will be offset by sluggish recovery in Europe and Latin America until vaccine is available</t>
        </r>
        <r>
          <rPr>
            <sz val="10"/>
            <color rgb="FF000000"/>
            <rFont val="Calibri"/>
            <family val="2"/>
            <scheme val="minor"/>
          </rPr>
          <t xml:space="preserve">
</t>
        </r>
      </text>
    </comment>
    <comment ref="O87" authorId="0" shapeId="0" xr:uid="{63288F2F-5916-4CAD-B331-E5440BCC2EF2}">
      <text>
        <r>
          <rPr>
            <b/>
            <sz val="9"/>
            <color rgb="FF000000"/>
            <rFont val="Tahoma"/>
            <family val="2"/>
          </rPr>
          <t xml:space="preserve">Comment from F3Q2020 Earnings Call: </t>
        </r>
        <r>
          <rPr>
            <sz val="9"/>
            <color rgb="FF000000"/>
            <rFont val="Tahoma"/>
            <family val="2"/>
          </rPr>
          <t xml:space="preserve">"We anticipate that comparable store sales will substantially recover in China and the US in fiscal 2021 by the end of our first and second quarters, respectively. Additionally, we expect that margin recovery for each business will trail sales recovery by about two quarters."
</t>
        </r>
      </text>
    </comment>
    <comment ref="Q87" authorId="1" shapeId="0" xr:uid="{016ED997-1C72-E349-9205-B1418361DA4A}">
      <text>
        <r>
          <rPr>
            <b/>
            <sz val="10"/>
            <color rgb="FF000000"/>
            <rFont val="Tahoma"/>
            <family val="2"/>
          </rPr>
          <t>Nikhil Nair:</t>
        </r>
        <r>
          <rPr>
            <sz val="10"/>
            <color rgb="FF000000"/>
            <rFont val="Tahoma"/>
            <family val="2"/>
          </rPr>
          <t xml:space="preserve">
</t>
        </r>
        <r>
          <rPr>
            <sz val="10"/>
            <color rgb="FF000000"/>
            <rFont val="Tahoma"/>
            <family val="2"/>
          </rPr>
          <t>Vaccine availble from this quarter</t>
        </r>
      </text>
    </comment>
    <comment ref="M93" authorId="0" shapeId="0" xr:uid="{FB4F18BF-6D96-4CF8-991F-601E41E0BBC3}">
      <text>
        <r>
          <rPr>
            <b/>
            <sz val="9"/>
            <color rgb="FF000000"/>
            <rFont val="Tahoma"/>
            <family val="2"/>
          </rPr>
          <t xml:space="preserve">Management Guidance: </t>
        </r>
        <r>
          <rPr>
            <sz val="9"/>
            <color rgb="FF000000"/>
            <rFont val="Tahoma"/>
            <family val="2"/>
          </rPr>
          <t>Management does not provide guidance for the entire International segment, but did guide China to at least 300 net new stores.</t>
        </r>
        <r>
          <rPr>
            <b/>
            <sz val="9"/>
            <color rgb="FF000000"/>
            <rFont val="Tahoma"/>
            <family val="2"/>
          </rPr>
          <t xml:space="preserve">
</t>
        </r>
        <r>
          <rPr>
            <b/>
            <sz val="9"/>
            <color rgb="FF000000"/>
            <rFont val="Tahoma"/>
            <family val="2"/>
          </rPr>
          <t xml:space="preserve">Source: </t>
        </r>
        <r>
          <rPr>
            <sz val="9"/>
            <color rgb="FF000000"/>
            <rFont val="Tahoma"/>
            <family val="2"/>
          </rPr>
          <t>F3Q2020 Press Release, July 28, 2020</t>
        </r>
      </text>
    </comment>
    <comment ref="K95" authorId="0" shapeId="0" xr:uid="{AA0D2C97-CD25-4A87-B22B-1F65909A7128}">
      <text>
        <r>
          <rPr>
            <b/>
            <sz val="9"/>
            <color rgb="FF000000"/>
            <rFont val="Tahoma"/>
            <family val="2"/>
          </rPr>
          <t>Comment from F3Q2020 Earnings Call:</t>
        </r>
        <r>
          <rPr>
            <sz val="9"/>
            <color rgb="FF000000"/>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O111" authorId="0" shapeId="0" xr:uid="{B068BA4A-D593-4B86-9C10-157F221539AC}">
      <text>
        <r>
          <rPr>
            <b/>
            <sz val="9"/>
            <color rgb="FF000000"/>
            <rFont val="Tahoma"/>
            <family val="2"/>
          </rPr>
          <t>Comment from F3Q2020 Earnings Call:</t>
        </r>
        <r>
          <rPr>
            <sz val="9"/>
            <color rgb="FF000000"/>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F113" authorId="0" shapeId="0" xr:uid="{8D65BFF8-4FF8-40E5-83F8-85B1987E2DD8}">
      <text>
        <r>
          <rPr>
            <b/>
            <sz val="9"/>
            <color indexed="81"/>
            <rFont val="Tahoma"/>
            <family val="2"/>
          </rPr>
          <t xml:space="preserve">Primary Input: </t>
        </r>
        <r>
          <rPr>
            <sz val="9"/>
            <color indexed="81"/>
            <rFont val="Tahoma"/>
            <family val="2"/>
          </rPr>
          <t>Similar comment as with the Americas Region above.</t>
        </r>
      </text>
    </comment>
    <comment ref="B114" authorId="0" shapeId="0" xr:uid="{F69FB386-7D31-485F-AFC2-CE79C8F6E23A}">
      <text>
        <r>
          <rPr>
            <b/>
            <sz val="9"/>
            <color rgb="FF000000"/>
            <rFont val="Tahoma"/>
            <family val="2"/>
          </rPr>
          <t xml:space="preserve">Description of Channel Development Segment from 10-K: </t>
        </r>
        <r>
          <rPr>
            <sz val="9"/>
            <color rgb="FF000000"/>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15" authorId="0" shapeId="0" xr:uid="{4383EBF9-407E-43C8-8471-8E2BDD34ED89}">
      <text>
        <r>
          <rPr>
            <b/>
            <sz val="9"/>
            <color rgb="FF000000"/>
            <rFont val="Tahoma"/>
            <family val="2"/>
          </rPr>
          <t>Comment from F3Q2020 Earnings Call: "</t>
        </r>
        <r>
          <rPr>
            <sz val="9"/>
            <color rgb="FF000000"/>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M116" authorId="0" shapeId="0" xr:uid="{E7FD8567-7691-4BF8-8044-430DBADE816B}">
      <text>
        <r>
          <rPr>
            <b/>
            <sz val="9"/>
            <color rgb="FF000000"/>
            <rFont val="Tahoma"/>
            <family val="2"/>
          </rPr>
          <t xml:space="preserve">Management Gudiance: </t>
        </r>
        <r>
          <rPr>
            <sz val="9"/>
            <color rgb="FF000000"/>
            <rFont val="Tahoma"/>
            <family val="2"/>
          </rPr>
          <t xml:space="preserve">Channel Development revenue decline of 5% to 6% for full year.
</t>
        </r>
        <r>
          <rPr>
            <b/>
            <sz val="9"/>
            <color rgb="FF000000"/>
            <rFont val="Tahoma"/>
            <family val="2"/>
          </rPr>
          <t>Source:</t>
        </r>
        <r>
          <rPr>
            <sz val="9"/>
            <color rgb="FF000000"/>
            <rFont val="Tahoma"/>
            <family val="2"/>
          </rPr>
          <t xml:space="preserve"> F3Q2020 Press Release, July 28, 2020</t>
        </r>
      </text>
    </comment>
    <comment ref="H125" authorId="0" shapeId="0" xr:uid="{0AFB8492-6631-4EBA-A90B-77B9FC895AA5}">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5" authorId="0" shapeId="0" xr:uid="{76B44A94-361A-43C5-AB45-DB3A3FA1BFA4}">
      <text>
        <r>
          <rPr>
            <b/>
            <sz val="9"/>
            <color rgb="FF000000"/>
            <rFont val="Tahoma"/>
            <family val="2"/>
          </rPr>
          <t>Comment from F3Q2020 Earnings Call: "</t>
        </r>
        <r>
          <rPr>
            <sz val="9"/>
            <color rgb="FF000000"/>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H147" authorId="0" shapeId="0" xr:uid="{09086669-1B74-4F2F-9BFD-613EEE8C272D}">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7" authorId="0" shapeId="0" xr:uid="{97017612-F2B9-4C76-AC38-695388763B23}">
      <text>
        <r>
          <rPr>
            <b/>
            <sz val="9"/>
            <color rgb="FF000000"/>
            <rFont val="Tahoma"/>
            <family val="2"/>
          </rPr>
          <t>Management Guidance:</t>
        </r>
        <r>
          <rPr>
            <sz val="9"/>
            <color rgb="FF000000"/>
            <rFont val="Tahoma"/>
            <family val="2"/>
          </rPr>
          <t xml:space="preserve"> Consolidated revenue decline of 10% to 15% for Q4.
</t>
        </r>
        <r>
          <rPr>
            <b/>
            <sz val="9"/>
            <color rgb="FF000000"/>
            <rFont val="Tahoma"/>
            <family val="2"/>
          </rPr>
          <t>Source:</t>
        </r>
        <r>
          <rPr>
            <sz val="9"/>
            <color rgb="FF000000"/>
            <rFont val="Tahoma"/>
            <family val="2"/>
          </rPr>
          <t xml:space="preserve"> F3Q2020 Press Release, July 28, 2020</t>
        </r>
      </text>
    </comment>
    <comment ref="H150" authorId="0" shapeId="0" xr:uid="{1AC5A6FE-2E7D-4292-8526-475FE5AC6A6E}">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50" authorId="0" shapeId="0" xr:uid="{5FD06BF1-CB64-4ED3-BB36-CF2367571570}">
      <text>
        <r>
          <rPr>
            <b/>
            <sz val="9"/>
            <color rgb="FF000000"/>
            <rFont val="Tahoma"/>
            <family val="2"/>
          </rPr>
          <t>Management Guidance:</t>
        </r>
        <r>
          <rPr>
            <sz val="9"/>
            <color rgb="FF000000"/>
            <rFont val="Tahoma"/>
            <family val="2"/>
          </rPr>
          <t xml:space="preserve"> GAAP and non-GAAP effective tax rates in the range of mid- to high-20%s.
</t>
        </r>
        <r>
          <rPr>
            <b/>
            <sz val="9"/>
            <color rgb="FF000000"/>
            <rFont val="Tahoma"/>
            <family val="2"/>
          </rPr>
          <t>Source:</t>
        </r>
        <r>
          <rPr>
            <sz val="9"/>
            <color rgb="FF000000"/>
            <rFont val="Tahoma"/>
            <family val="2"/>
          </rPr>
          <t xml:space="preserve"> F3Q2020 Press Release, July 28, 2020</t>
        </r>
      </text>
    </comment>
    <comment ref="X153" authorId="0" shapeId="0" xr:uid="{D14599A9-702C-456B-BAA3-86430560C12D}">
      <text>
        <r>
          <rPr>
            <b/>
            <sz val="9"/>
            <color indexed="81"/>
            <rFont val="Tahoma"/>
            <family val="2"/>
          </rPr>
          <t>GROWTH RATES TOO HIGH - CHECK THE PAST AND CONSENSUS</t>
        </r>
        <r>
          <rPr>
            <sz val="9"/>
            <color indexed="81"/>
            <rFont val="Tahoma"/>
            <family val="2"/>
          </rPr>
          <t xml:space="preserve">
</t>
        </r>
      </text>
    </comment>
    <comment ref="B156" authorId="0" shapeId="0" xr:uid="{AD7544DA-3FBA-40F9-AE15-5804DA93DE00}">
      <text>
        <r>
          <rPr>
            <b/>
            <sz val="9"/>
            <color rgb="FF000000"/>
            <rFont val="Tahoma"/>
            <family val="2"/>
          </rPr>
          <t>Note:</t>
        </r>
        <r>
          <rPr>
            <sz val="9"/>
            <color rgb="FF000000"/>
            <rFont val="Tahoma"/>
            <family val="2"/>
          </rPr>
          <t xml:space="preserve"> Item 2 Unregistered Sales of Equity Securities includes the ASRs. They have been seperated here. (Refer to F1Q2019 and F2Q2019 to reconcile)</t>
        </r>
      </text>
    </comment>
    <comment ref="B171" authorId="0" shapeId="0" xr:uid="{20E44D2E-2CAE-4DBE-B7FA-D71F408A75C3}">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B178" authorId="0" shapeId="0" xr:uid="{85CAA317-FB8F-44ED-8BFB-2649D3570234}">
      <text>
        <r>
          <rPr>
            <b/>
            <sz val="9"/>
            <color indexed="81"/>
            <rFont val="Tahoma"/>
            <family val="2"/>
          </rPr>
          <t>Enter negative EPS income tax effect as positive on this line</t>
        </r>
      </text>
    </comment>
    <comment ref="B231" authorId="0" shapeId="0" xr:uid="{B2B9A67E-D66C-434E-A5CC-DD9B8240C6E8}">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B240" authorId="0" shapeId="0" xr:uid="{059A8E95-FF20-4526-887F-EFE97F11CFA6}">
      <text>
        <r>
          <rPr>
            <b/>
            <sz val="9"/>
            <color indexed="81"/>
            <rFont val="Tahoma"/>
            <family val="2"/>
          </rPr>
          <t>Note: Use the company's 10-K not SEC web data</t>
        </r>
      </text>
    </comment>
    <comment ref="B252" authorId="0" shapeId="0" xr:uid="{02FAB36C-1A75-4CBE-8005-0C70712348F2}">
      <text>
        <r>
          <rPr>
            <b/>
            <sz val="9"/>
            <color indexed="81"/>
            <rFont val="Tahoma"/>
            <family val="2"/>
          </rPr>
          <t>Change sign</t>
        </r>
      </text>
    </comment>
    <comment ref="B256" authorId="0" shapeId="0" xr:uid="{625AB450-A2D1-4C0D-B625-85EEB2B23A99}">
      <text>
        <r>
          <rPr>
            <b/>
            <sz val="9"/>
            <color indexed="81"/>
            <rFont val="Tahoma"/>
            <family val="2"/>
          </rPr>
          <t>Change sign</t>
        </r>
      </text>
    </comment>
    <comment ref="H260" authorId="0" shapeId="0" xr:uid="{71985C27-1775-43B4-AA57-48B544A35CC0}">
      <text>
        <r>
          <rPr>
            <b/>
            <sz val="9"/>
            <color indexed="81"/>
            <rFont val="Tahoma"/>
            <family val="2"/>
          </rPr>
          <t xml:space="preserve">3Q2019 Earnings call (7/25/2019) guidance for FY2019:
</t>
        </r>
        <r>
          <rPr>
            <sz val="9"/>
            <color indexed="81"/>
            <rFont val="Tahoma"/>
            <family val="2"/>
          </rPr>
          <t>Capex ~ $2B</t>
        </r>
      </text>
    </comment>
    <comment ref="M260" authorId="0" shapeId="0" xr:uid="{02148E3D-AB86-4B4B-8382-5D40A1F60245}">
      <text>
        <r>
          <rPr>
            <b/>
            <sz val="9"/>
            <color rgb="FF000000"/>
            <rFont val="Tahoma"/>
            <family val="2"/>
          </rPr>
          <t xml:space="preserve">Management Guidance: </t>
        </r>
        <r>
          <rPr>
            <sz val="9"/>
            <color rgb="FF000000"/>
            <rFont val="Tahoma"/>
            <family val="2"/>
          </rPr>
          <t xml:space="preserve">Full year capex ~ $1.5B.
</t>
        </r>
        <r>
          <rPr>
            <b/>
            <sz val="9"/>
            <color rgb="FF000000"/>
            <rFont val="Tahoma"/>
            <family val="2"/>
          </rPr>
          <t xml:space="preserve">Source: </t>
        </r>
        <r>
          <rPr>
            <sz val="9"/>
            <color rgb="FF000000"/>
            <rFont val="Tahoma"/>
            <family val="2"/>
          </rPr>
          <t>F3Q2020 Press Release, July 28, 2020</t>
        </r>
      </text>
    </comment>
    <comment ref="B264" authorId="0" shapeId="0" xr:uid="{7AE9D924-9E2C-4CDA-8ADE-4B8DABE4047D}">
      <text>
        <r>
          <rPr>
            <b/>
            <sz val="9"/>
            <color indexed="81"/>
            <rFont val="Tahoma"/>
            <family val="2"/>
          </rPr>
          <t>Change sign for payments of debt</t>
        </r>
      </text>
    </comment>
    <comment ref="B277" authorId="0" shapeId="0" xr:uid="{FA95C4A7-0B69-4F13-92E4-DBC34B46CEE3}">
      <text>
        <r>
          <rPr>
            <sz val="9"/>
            <color indexed="81"/>
            <rFont val="Tahoma"/>
            <family val="2"/>
          </rPr>
          <t>Cash Flow from Operations - Capital Expenditures + After tax Interest Expense</t>
        </r>
      </text>
    </comment>
    <comment ref="B293" authorId="0" shapeId="0" xr:uid="{F789C202-E518-4FE7-901E-DBFB65C32F92}">
      <text>
        <r>
          <rPr>
            <b/>
            <sz val="9"/>
            <color rgb="FF000000"/>
            <rFont val="Tahoma"/>
            <family val="2"/>
          </rPr>
          <t xml:space="preserve">Multiple Note 1) </t>
        </r>
        <r>
          <rPr>
            <sz val="9"/>
            <color rgb="FF000000"/>
            <rFont val="Tahoma"/>
            <family val="2"/>
          </rPr>
          <t>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9/27/2020.</t>
        </r>
      </text>
    </comment>
    <comment ref="C298" authorId="0" shapeId="0" xr:uid="{2B8325C0-0615-4636-BE39-057F61701307}">
      <text>
        <r>
          <rPr>
            <b/>
            <sz val="9"/>
            <color rgb="FF000000"/>
            <rFont val="Tahoma"/>
            <family val="2"/>
          </rPr>
          <t xml:space="preserve">Multiple Note 2) </t>
        </r>
        <r>
          <rPr>
            <sz val="9"/>
            <color rgb="FF000000"/>
            <rFont val="Tahoma"/>
            <family val="2"/>
          </rPr>
          <t xml:space="preserve">Multiples in this section are calculated including the value of net cash and are based on the 3-month average daily share price compared to the consensus EPS estimates for the next twelve month period. </t>
        </r>
      </text>
    </comment>
    <comment ref="B301" authorId="0" shapeId="0" xr:uid="{861BD2B8-6B43-4A14-8C17-E5891E2376D0}">
      <text>
        <r>
          <rPr>
            <sz val="9"/>
            <color rgb="FF000000"/>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8/22/2020.</t>
        </r>
      </text>
    </comment>
    <comment ref="C303" authorId="0" shapeId="0" xr:uid="{C8595294-E50A-485C-94B7-52DE006F807D}">
      <text>
        <r>
          <rPr>
            <sz val="9"/>
            <color rgb="FF000000"/>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t>
        </r>
        <r>
          <rPr>
            <sz val="9"/>
            <color rgb="FF000000"/>
            <rFont val="Tahoma"/>
            <family val="2"/>
          </rPr>
          <t xml:space="preserve"> 
</t>
        </r>
        <r>
          <rPr>
            <sz val="9"/>
            <color rgb="FF000000"/>
            <rFont val="Tahoma"/>
            <family val="2"/>
          </rPr>
          <t xml:space="preserve">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
        </r>
        <r>
          <rPr>
            <sz val="9"/>
            <color rgb="FF000000"/>
            <rFont val="Tahoma"/>
            <family val="2"/>
          </rPr>
          <t xml:space="preserve"> 
</t>
        </r>
        <r>
          <rPr>
            <sz val="9"/>
            <color rgb="FF000000"/>
            <rFont val="Tahoma"/>
            <family val="2"/>
          </rPr>
          <t>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t>
        </r>
      </text>
    </comment>
    <comment ref="C307" authorId="0" shapeId="0" xr:uid="{0954FEB3-54E3-489E-916E-AF60A483989A}">
      <text>
        <r>
          <rPr>
            <sz val="9"/>
            <color rgb="FF000000"/>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308" authorId="0" shapeId="0" xr:uid="{3918E59F-3660-4D64-9BEE-3B0076344CAA}">
      <text>
        <r>
          <rPr>
            <sz val="9"/>
            <color rgb="FF000000"/>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B317" authorId="0" shapeId="0" xr:uid="{B0AE71BA-5BB7-4EAC-9D67-E2D4F85389D2}">
      <text>
        <r>
          <rPr>
            <sz val="9"/>
            <color indexed="81"/>
            <rFont val="Tahoma"/>
            <family val="2"/>
          </rPr>
          <t xml:space="preserve">&gt;Assumes constant networking capital in the constant growth stage.
&gt;Assumes debt balance and interest expense remains constant in the constant growth stage, and that book value of debt approximates fair value.
</t>
        </r>
      </text>
    </comment>
    <comment ref="C321" authorId="0" shapeId="0" xr:uid="{85BE6D82-676A-467F-B00F-64F4ADCD33F3}">
      <text>
        <r>
          <rPr>
            <sz val="9"/>
            <color rgb="FF000000"/>
            <rFont val="Tahoma"/>
            <family val="2"/>
          </rPr>
          <t>The Stage 2 long-term WACC assumes the weight and cost of debt remains constant, and cost of equity reaches the long-term average based on a long-term beta of 0.9 using the historic average VIX of 18.43%, the historic average 10-year U.S. Treasury rate of 6.23%, and Constant Sharpe of 0.312.</t>
        </r>
      </text>
    </comment>
    <comment ref="C323" authorId="2" shapeId="0" xr:uid="{00000000-0006-0000-0200-000053000000}">
      <text>
        <r>
          <rPr>
            <b/>
            <sz val="9"/>
            <color rgb="FF000000"/>
            <rFont val="Tahoma"/>
            <family val="2"/>
          </rPr>
          <t xml:space="preserve">Equation:
</t>
        </r>
        <r>
          <rPr>
            <b/>
            <sz val="9"/>
            <color rgb="FF000000"/>
            <rFont val="Tahoma"/>
            <family val="2"/>
          </rPr>
          <t>CFO:</t>
        </r>
        <r>
          <rPr>
            <sz val="9"/>
            <color rgb="FF000000"/>
            <rFont val="Tahoma"/>
            <family val="2"/>
          </rPr>
          <t xml:space="preserve"> [CFO x (1 + Constant CFO growth rate)] 
</t>
        </r>
        <r>
          <rPr>
            <b/>
            <sz val="9"/>
            <color rgb="FF000000"/>
            <rFont val="Tahoma"/>
            <family val="2"/>
          </rPr>
          <t>Minus Capex:</t>
        </r>
        <r>
          <rPr>
            <sz val="9"/>
            <color rgb="FF000000"/>
            <rFont val="Tahoma"/>
            <family val="2"/>
          </rPr>
          <t xml:space="preserve"> [(Average Capex to sales ratio) x [Sales x (1 + Constant Sales growth rate)]
</t>
        </r>
        <r>
          <rPr>
            <b/>
            <sz val="9"/>
            <color rgb="FF000000"/>
            <rFont val="Tahoma"/>
            <family val="2"/>
          </rPr>
          <t>Plus after-tax cost of debt:</t>
        </r>
        <r>
          <rPr>
            <sz val="9"/>
            <color rgb="FF000000"/>
            <rFont val="Tahoma"/>
            <family val="2"/>
          </rPr>
          <t xml:space="preserve"> [After tax cost of debt x Long-Term debt] </t>
        </r>
      </text>
    </comment>
    <comment ref="C325" authorId="3" shapeId="0" xr:uid="{00000000-0006-0000-0200-000054000000}">
      <text>
        <r>
          <rPr>
            <sz val="9"/>
            <color rgb="FF000000"/>
            <rFont val="Tahoma"/>
            <family val="2"/>
          </rPr>
          <t xml:space="preserve">This adds back cash and removes debt from the enterprise value to arrive at the equity only value
</t>
        </r>
      </text>
    </comment>
    <comment ref="B328" authorId="0" shapeId="0" xr:uid="{0B687D9C-DEAB-40E6-9BE6-315B785F33A7}">
      <text>
        <r>
          <rPr>
            <sz val="9"/>
            <color rgb="FF000000"/>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8/22/2020</t>
        </r>
      </text>
    </comment>
  </commentList>
</comments>
</file>

<file path=xl/sharedStrings.xml><?xml version="1.0" encoding="utf-8"?>
<sst xmlns="http://schemas.openxmlformats.org/spreadsheetml/2006/main" count="1096" uniqueCount="369">
  <si>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</si>
  <si>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</si>
  <si>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</si>
  <si>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</si>
  <si>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</si>
  <si>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</si>
  <si>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</si>
  <si>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</si>
  <si>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</si>
  <si>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</si>
  <si>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Total liabilities and equity</t>
  </si>
  <si>
    <t>Cash flows from operating activities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</si>
  <si>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</si>
  <si>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</si>
  <si>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</si>
  <si>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</si>
  <si>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</si>
  <si>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</si>
  <si>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</si>
  <si>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Multiple Valuation</t>
  </si>
  <si>
    <t>Balance Sheet Ratios &amp; Assumptions</t>
  </si>
  <si>
    <t>Receivables turnover</t>
  </si>
  <si>
    <t>Number of days of payables</t>
  </si>
  <si>
    <t>Cash Flow Ratios &amp; Assumptions</t>
  </si>
  <si>
    <t>Operating margin (GAAP)</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</si>
  <si>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</si>
  <si>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</si>
  <si>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</si>
  <si>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</si>
  <si>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</si>
  <si>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</si>
  <si>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</si>
  <si>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</si>
  <si>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</si>
  <si>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</si>
  <si>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</si>
  <si>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Cash and equivalents</t>
  </si>
  <si>
    <t>Goodwill</t>
  </si>
  <si>
    <t>Accounts payable</t>
  </si>
  <si>
    <t xml:space="preserve">Retained earnings </t>
  </si>
  <si>
    <t>Total shareholders' equity</t>
  </si>
  <si>
    <t>Beta (relative to the S&amp;P500)</t>
  </si>
  <si>
    <t>Revenue growth (in perpetuity)</t>
  </si>
  <si>
    <t>Constant CFO growth rate</t>
  </si>
  <si>
    <t>DCF Valuation</t>
  </si>
  <si>
    <t xml:space="preserve">Basic EPS </t>
  </si>
  <si>
    <t xml:space="preserve">Diluted EPS </t>
  </si>
  <si>
    <t>P/E 3-month high</t>
  </si>
  <si>
    <t>P/E 3-month low</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</si>
  <si>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</si>
  <si>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</si>
  <si>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</si>
  <si>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</si>
  <si>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</si>
  <si>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</si>
  <si>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</si>
  <si>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</si>
  <si>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</si>
  <si>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</si>
  <si>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 xml:space="preserve">Net Cash and investments per share </t>
  </si>
  <si>
    <t>Days sales outstanding</t>
  </si>
  <si>
    <t>Payables turnover</t>
  </si>
  <si>
    <t>Net Cash from Operations growth rate (YoY)</t>
  </si>
  <si>
    <t xml:space="preserve">Standard deviation </t>
  </si>
  <si>
    <t>Implied upper bound</t>
  </si>
  <si>
    <t>Implied Lower bound</t>
  </si>
  <si>
    <t>Implied target value</t>
  </si>
  <si>
    <t>Implied 50/50 average target value</t>
  </si>
  <si>
    <t xml:space="preserve">Implied target price band </t>
  </si>
  <si>
    <t>Total operating income/(loss)</t>
  </si>
  <si>
    <t>Income/(loss) before income tax</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</si>
  <si>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</si>
  <si>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</si>
  <si>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</si>
  <si>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</si>
  <si>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</si>
  <si>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</si>
  <si>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Adjusted net cash  per share </t>
  </si>
  <si>
    <t>Non-GAAP Adjustments</t>
  </si>
  <si>
    <t>Cash Flow Statement Ratios</t>
  </si>
  <si>
    <t>Capex to revenue</t>
  </si>
  <si>
    <t>Equity</t>
  </si>
  <si>
    <t>Average CapEx (% of sales)</t>
  </si>
  <si>
    <t>Weighted Average Cost of Capital (WACC) Inputs</t>
  </si>
  <si>
    <t>Stage 1 WACC</t>
  </si>
  <si>
    <t>Share-based compensation to revenue</t>
  </si>
  <si>
    <t>NPV of Stage 1 cash flows</t>
  </si>
  <si>
    <t>PV of terminal value (Stage 2)</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</si>
  <si>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</si>
  <si>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</si>
  <si>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Monthly return</t>
  </si>
  <si>
    <t>Diff from mean</t>
  </si>
  <si>
    <t>Diff Squared</t>
  </si>
  <si>
    <t>Mean</t>
  </si>
  <si>
    <t>Sum of squared differences</t>
  </si>
  <si>
    <t>Variance</t>
  </si>
  <si>
    <t>Standard Deviation</t>
  </si>
  <si>
    <t>check</t>
  </si>
  <si>
    <t>Target share price</t>
  </si>
  <si>
    <t>DCF check</t>
  </si>
  <si>
    <t>Estimate of Risk Free (future 10yr UST)</t>
  </si>
  <si>
    <t>Segment Data</t>
  </si>
  <si>
    <t>Reconciliation</t>
  </si>
  <si>
    <t>P/E 3-month average</t>
  </si>
  <si>
    <t>Adjustments</t>
  </si>
  <si>
    <t>Constant market Sharpe ratio</t>
  </si>
  <si>
    <t>S&amp;P500 implied volatility</t>
  </si>
  <si>
    <t>Constant Growth Stage Assumptions</t>
  </si>
  <si>
    <t>Stage 2 Long-Term WACC</t>
  </si>
  <si>
    <t>Risk Estimation Summary</t>
  </si>
  <si>
    <t>Dec-18</t>
  </si>
  <si>
    <t xml:space="preserve">   Net income attributable to common shareholders</t>
  </si>
  <si>
    <t>Accounts receivable</t>
  </si>
  <si>
    <t>Other investing activities</t>
  </si>
  <si>
    <t>Repurchase of common stock</t>
  </si>
  <si>
    <t>Other financing activities</t>
  </si>
  <si>
    <t>Cash and equivalents at end of period (BS)</t>
  </si>
  <si>
    <t>Effect of exchange rate changes &amp; restricted cash</t>
  </si>
  <si>
    <t>Accumulated other comprehensive loss</t>
  </si>
  <si>
    <t>Revenue growth rate (GAAP, YoY)</t>
  </si>
  <si>
    <t>Starbucks Income Statement</t>
  </si>
  <si>
    <t>Starbucks Balance Sheet</t>
  </si>
  <si>
    <t>Starbucks Cash Flow Statement</t>
  </si>
  <si>
    <t>F1Q19</t>
  </si>
  <si>
    <t>Sept-19E</t>
  </si>
  <si>
    <t>Dec-19E</t>
  </si>
  <si>
    <t>Mar-20E</t>
  </si>
  <si>
    <t>June-20E</t>
  </si>
  <si>
    <t>Sept-20E</t>
  </si>
  <si>
    <t>Dec-20E</t>
  </si>
  <si>
    <t>Mar-21E</t>
  </si>
  <si>
    <t>June-21E</t>
  </si>
  <si>
    <t>Sept-21E</t>
  </si>
  <si>
    <t>Dec-21E</t>
  </si>
  <si>
    <t>Mar-22E</t>
  </si>
  <si>
    <t>June-22E</t>
  </si>
  <si>
    <t>Sept-22E</t>
  </si>
  <si>
    <t>Dec-22E</t>
  </si>
  <si>
    <t>Mar-23E</t>
  </si>
  <si>
    <t>June-23E</t>
  </si>
  <si>
    <t>Sept-23E</t>
  </si>
  <si>
    <t>F4Q20E</t>
  </si>
  <si>
    <t>FY 2020E</t>
  </si>
  <si>
    <t>F1Q21E</t>
  </si>
  <si>
    <t>F2Q21E</t>
  </si>
  <si>
    <t>F3Q21E</t>
  </si>
  <si>
    <t>F4Q21E</t>
  </si>
  <si>
    <t>FY 2021E</t>
  </si>
  <si>
    <t>F1Q22E</t>
  </si>
  <si>
    <t>F2Q22E</t>
  </si>
  <si>
    <t>F3Q22E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</si>
  <si>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</si>
  <si>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</si>
  <si>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</si>
  <si>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</si>
  <si>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</si>
  <si>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</si>
  <si>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</si>
  <si>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</si>
  <si>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</si>
  <si>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</si>
  <si>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</si>
  <si>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</si>
  <si>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</si>
  <si>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</si>
  <si>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</si>
  <si>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</si>
  <si>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</si>
  <si>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</si>
  <si>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</si>
  <si>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</si>
  <si>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</si>
  <si>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</si>
  <si>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</si>
  <si>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</si>
  <si>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</si>
  <si>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</si>
  <si>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</si>
  <si>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</si>
  <si>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</si>
  <si>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</si>
  <si>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</si>
  <si>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</si>
  <si>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</si>
  <si>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</si>
  <si>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</si>
  <si>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</si>
  <si>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</si>
  <si>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</si>
  <si>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</si>
  <si>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Operating expenses exDepreciation($M)</t>
  </si>
  <si>
    <t>Operating expenses exDepreciation (% of revenue)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</si>
  <si>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</si>
  <si>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</si>
  <si>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</si>
  <si>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</si>
  <si>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</si>
  <si>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</si>
  <si>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</si>
  <si>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</si>
  <si>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</si>
  <si>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</si>
  <si>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</si>
  <si>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</si>
  <si>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</si>
  <si>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</si>
  <si>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</si>
  <si>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</si>
  <si>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</si>
  <si>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</si>
  <si>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</si>
  <si>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</si>
  <si>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</si>
  <si>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</si>
  <si>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</si>
  <si>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</si>
  <si>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</si>
  <si>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</si>
  <si>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</si>
  <si>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</si>
  <si>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Short-term investments</t>
  </si>
  <si>
    <t>Accounts receivable, net</t>
  </si>
  <si>
    <t>Inventories</t>
  </si>
  <si>
    <t>Long-term investments</t>
  </si>
  <si>
    <t xml:space="preserve">Property, plant and equipment, net </t>
  </si>
  <si>
    <t>Other intangible assets, net</t>
  </si>
  <si>
    <t>Accrued liabilities</t>
  </si>
  <si>
    <t>Stored value card liability and deferred revenue</t>
  </si>
  <si>
    <t>Long-term debt</t>
  </si>
  <si>
    <t>Other long-term liabilities</t>
  </si>
  <si>
    <t>Common stock and additional paid in capital</t>
  </si>
  <si>
    <t>Noncontrolling interest</t>
  </si>
  <si>
    <t>Net income - including noncontrolling interests</t>
  </si>
  <si>
    <t>Deferred income taxes, net</t>
  </si>
  <si>
    <t>Income earned from equity method investees</t>
  </si>
  <si>
    <t>Distributions received from equity method investees</t>
  </si>
  <si>
    <t>Stock-based compensation expense</t>
  </si>
  <si>
    <t>Deferred revenue</t>
  </si>
  <si>
    <t>Proceeds from issuance of common stock</t>
  </si>
  <si>
    <t>Sale/Maturities/(Purchases) of investments</t>
  </si>
  <si>
    <t>Additions to PP&amp;E</t>
  </si>
  <si>
    <t>Gain resulting from acquisitions/sales</t>
  </si>
  <si>
    <t>Other Noncash Income/(Expense)</t>
  </si>
  <si>
    <t>Other operating assets and liabilities</t>
  </si>
  <si>
    <t>Cash dividends paid</t>
  </si>
  <si>
    <t>Increase/(Decrease) in prepaid expenses, other</t>
  </si>
  <si>
    <t>Operating margin (Non-GAAP)</t>
  </si>
  <si>
    <t>Interest &amp; other income as a % of average  investments and cash</t>
  </si>
  <si>
    <t>Interest expense as a % of average debt balances</t>
  </si>
  <si>
    <t>Deferred income taxes as % of def revenue &amp; stored value liability</t>
  </si>
  <si>
    <t xml:space="preserve">Distributions from equity investments as a % of income </t>
  </si>
  <si>
    <t>Inventory turnover</t>
  </si>
  <si>
    <t>Short-term investments as a % of total investments</t>
  </si>
  <si>
    <t>Total investments as a % of assets</t>
  </si>
  <si>
    <t>Debt to equity ratio</t>
  </si>
  <si>
    <t>Short-term debt to total debt</t>
  </si>
  <si>
    <t>All Other  (Operating expense)</t>
  </si>
  <si>
    <t>Americas total operating expenses</t>
  </si>
  <si>
    <t>Americas total operating income</t>
  </si>
  <si>
    <t>Americas total operating margin (%)</t>
  </si>
  <si>
    <t>Notes &amp; Instructions</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</si>
  <si>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</si>
  <si>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</si>
  <si>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</si>
  <si>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</si>
  <si>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</si>
  <si>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</si>
  <si>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</si>
  <si>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rPr>
        <b/>
        <sz val="11"/>
        <color theme="1"/>
        <rFont val="Calibri"/>
        <family val="2"/>
        <scheme val="minor"/>
      </rPr>
      <t xml:space="preserve">Equity Section: </t>
    </r>
    <r>
      <rPr>
        <sz val="11"/>
        <color theme="1"/>
        <rFont val="Calibri"/>
        <family val="2"/>
        <scheme val="minor"/>
      </rPr>
      <t>Common stock is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</si>
  <si>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</si>
  <si>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</si>
  <si>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</si>
  <si>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</si>
  <si>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</si>
  <si>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</si>
  <si>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</si>
  <si>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</si>
  <si>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t>Minimum tax withholdings on share-based awards</t>
  </si>
  <si>
    <r>
      <rPr>
        <b/>
        <i/>
        <sz val="11"/>
        <color theme="1"/>
        <rFont val="Calibri"/>
        <family val="2"/>
        <scheme val="minor"/>
      </rPr>
      <t xml:space="preserve">Income Statement: </t>
    </r>
    <r>
      <rPr>
        <sz val="11"/>
        <color theme="1"/>
        <rFont val="Calibri"/>
        <family val="2"/>
        <scheme val="minor"/>
      </rPr>
      <t>The primary drivers of this model are the estimates of Comp Store Sales, Net New Stores, and the ratio of Operating expenses (excluding depreciation) as a percentage of revenue, for each geographic region.  Management's guidance is used as a reasonableness check against the forecasts entered into this model. Total revenue is calibrated to meet consensus estimates.</t>
    </r>
  </si>
  <si>
    <t>Cash &amp; marketable securities (exEquity method investments)</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</si>
  <si>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</si>
  <si>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</si>
  <si>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</si>
  <si>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</si>
  <si>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</si>
  <si>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</si>
  <si>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</si>
  <si>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</si>
  <si>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</si>
  <si>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</si>
  <si>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</si>
  <si>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</si>
  <si>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</si>
  <si>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</si>
  <si>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</si>
  <si>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</si>
  <si>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</si>
  <si>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</si>
  <si>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</si>
  <si>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</si>
  <si>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</si>
  <si>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</si>
  <si>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</si>
  <si>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</si>
  <si>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Proceeds from issuance of commercial paper</t>
  </si>
  <si>
    <t>Increase/(Decrease) in Income Taxes Payable</t>
  </si>
  <si>
    <t xml:space="preserve">Debt/commercial paper (payments) </t>
  </si>
  <si>
    <t>Debt issuance</t>
  </si>
  <si>
    <t>Other current liabilities</t>
  </si>
  <si>
    <t>Accrued payroll and benefits (current)</t>
  </si>
  <si>
    <t>Income taxes payable (current)</t>
  </si>
  <si>
    <t xml:space="preserve">Current portion of operating lease liability </t>
  </si>
  <si>
    <t>Equity investments</t>
  </si>
  <si>
    <t>Operating lease, right-of-use asset</t>
  </si>
  <si>
    <t>Other long-term assets</t>
  </si>
  <si>
    <t>Current portion of debt</t>
  </si>
  <si>
    <t>Operating lease liability</t>
  </si>
  <si>
    <t>Day Count (number of days in the quarter)</t>
  </si>
  <si>
    <t>Dec-24E</t>
  </si>
  <si>
    <t>Mar-25E</t>
  </si>
  <si>
    <t>June-25E</t>
  </si>
  <si>
    <t>Sept-25E</t>
  </si>
  <si>
    <t>F1Q25E</t>
  </si>
  <si>
    <t>F2Q25E</t>
  </si>
  <si>
    <t>F3Q25E</t>
  </si>
  <si>
    <t>F4Q25E</t>
  </si>
  <si>
    <t>FY 2025E</t>
  </si>
  <si>
    <r>
      <rPr>
        <i/>
        <sz val="11"/>
        <color theme="1"/>
        <rFont val="Calibri"/>
        <family val="2"/>
        <scheme val="minor"/>
      </rPr>
      <t>To reflect the fact that not all of the individual metrics used in the comparable store sales estimate are disclosed by the company, the following steps are used to estimate the historic comparable sales inputs.</t>
    </r>
    <r>
      <rPr>
        <b/>
        <i/>
        <sz val="11"/>
        <color theme="1"/>
        <rFont val="Calibri"/>
        <family val="2"/>
        <scheme val="minor"/>
      </rPr>
      <t xml:space="preserve">
Method for using Comparable Store Sales in this model:</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Estimate the number of stores included in the comp store sales calculation as the number of stores from four quarters ago.
</t>
    </r>
    <r>
      <rPr>
        <b/>
        <sz val="11"/>
        <color theme="1"/>
        <rFont val="Calibri"/>
        <family val="2"/>
        <scheme val="minor"/>
      </rPr>
      <t>Step 2)</t>
    </r>
    <r>
      <rPr>
        <sz val="11"/>
        <color theme="1"/>
        <rFont val="Calibri"/>
        <family val="2"/>
        <scheme val="minor"/>
      </rPr>
      <t xml:space="preserve"> Calculate the ratio of total revenue to the total number of stores at the end of the period (theoretically should use average number of stores, however this is a simplified approach and given the relatively low level of precision with over all comp stores sales, this approach should be reasonable).
</t>
    </r>
    <r>
      <rPr>
        <b/>
        <sz val="11"/>
        <color theme="1"/>
        <rFont val="Calibri"/>
        <family val="2"/>
        <scheme val="minor"/>
      </rPr>
      <t>Step 3)</t>
    </r>
    <r>
      <rPr>
        <sz val="11"/>
        <color theme="1"/>
        <rFont val="Calibri"/>
        <family val="2"/>
        <scheme val="minor"/>
      </rPr>
      <t xml:space="preserve"> Estimate the "other" revenue which is not included in the Comp Store Sales number related to the stores which have not been open for more than 13 months. The simplified approach to estimating this revenue is to take the total number of stores which were not included in Step 1, and multiply by the simple average revenue per store during the quarter. Note that since the impact of fx changes are excluded from comp store sales, the fx impact is inherently captured in this category for remaining revenue.
</t>
    </r>
    <r>
      <rPr>
        <b/>
        <sz val="11"/>
        <color theme="1"/>
        <rFont val="Calibri"/>
        <family val="2"/>
        <scheme val="minor"/>
      </rPr>
      <t>Step 4)</t>
    </r>
    <r>
      <rPr>
        <sz val="11"/>
        <color theme="1"/>
        <rFont val="Calibri"/>
        <family val="2"/>
        <scheme val="minor"/>
      </rPr>
      <t xml:space="preserve"> Use the "Goal Seek" function to solve for the comparable prior period Comp Store Sales dollar amount which will make the reported total Comp Store Sales percentage equal the total revenue for the segment. This metric will be "trued-up" each quarter as an additional Comp Store Sales percentage observation is made available. 
</t>
    </r>
    <r>
      <rPr>
        <b/>
        <sz val="11"/>
        <color theme="1"/>
        <rFont val="Calibri"/>
        <family val="2"/>
        <scheme val="minor"/>
      </rPr>
      <t xml:space="preserve">Step 5) </t>
    </r>
    <r>
      <rPr>
        <sz val="11"/>
        <color theme="1"/>
        <rFont val="Calibri"/>
        <family val="2"/>
        <scheme val="minor"/>
      </rPr>
      <t xml:space="preserve">Change the comparable period from the previous year "Other" revenue so that the total segment revenue reconciles.
</t>
    </r>
    <r>
      <rPr>
        <b/>
        <sz val="11"/>
        <color theme="1"/>
        <rFont val="Calibri"/>
        <family val="2"/>
        <scheme val="minor"/>
      </rPr>
      <t>Note:</t>
    </r>
    <r>
      <rPr>
        <sz val="11"/>
        <color theme="1"/>
        <rFont val="Calibri"/>
        <family val="2"/>
        <scheme val="minor"/>
      </rPr>
      <t xml:space="preserve"> Since the company does not disclose the number of stores in the Comp Store Sales calculation, or the revenue for the other stores, there is no way to verify if the historic results for the Comp Store Sales components are accurate. Therefore, the components in the historical periods are shaded blue to indicate that these values represent estimates.
</t>
    </r>
    <r>
      <rPr>
        <b/>
        <sz val="11"/>
        <color theme="1"/>
        <rFont val="Calibri"/>
        <family val="2"/>
        <scheme val="minor"/>
      </rPr>
      <t xml:space="preserve">NOTE 1-Comp Store Sales: </t>
    </r>
    <r>
      <rPr>
        <sz val="11"/>
        <color theme="1"/>
        <rFont val="Calibri"/>
        <family val="2"/>
        <scheme val="minor"/>
      </rPr>
      <t>Comp store sales only include Company-operated stores which have been open 13 months or longer. Comparable store sales exclude the effects of fluctuations in foreign currency exchange rates and Siren Retail stores. Stores that are temporarily closed or operating at reduced hours due to the COVID-19 outbreak remain in comparable store sales while stores identified for permanent closure have been removed.</t>
    </r>
  </si>
  <si>
    <r>
      <t xml:space="preserve">Last updated: </t>
    </r>
    <r>
      <rPr>
        <sz val="11"/>
        <color theme="1"/>
        <rFont val="Calibri"/>
        <family val="2"/>
        <scheme val="minor"/>
      </rPr>
      <t>8/9/2020</t>
    </r>
  </si>
  <si>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</si>
  <si>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</si>
  <si>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</si>
  <si>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</si>
  <si>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</si>
  <si>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</si>
  <si>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</si>
  <si>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</si>
  <si>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</si>
  <si>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</si>
  <si>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</si>
  <si>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</si>
  <si>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</si>
  <si>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</si>
  <si>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</si>
  <si>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</si>
  <si>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</si>
  <si>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</si>
  <si>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</si>
  <si>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</si>
  <si>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</si>
  <si>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</si>
  <si>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</si>
  <si>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</si>
  <si>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</si>
  <si>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Shares repurchased (in millions, exASRs)</t>
  </si>
  <si>
    <t>Non-GAAP EPS Growth (YoY)</t>
  </si>
  <si>
    <t>Cash Flow From Operations Growth (YoY)</t>
  </si>
  <si>
    <t>Free Cash Flow Growth (YoY)</t>
  </si>
  <si>
    <r>
      <rPr>
        <b/>
        <sz val="11"/>
        <color theme="1"/>
        <rFont val="Calibri"/>
        <family val="2"/>
        <scheme val="minor"/>
      </rPr>
      <t>Last updated:</t>
    </r>
    <r>
      <rPr>
        <sz val="11"/>
        <color theme="1"/>
        <rFont val="Calibri"/>
        <family val="2"/>
        <scheme val="minor"/>
      </rPr>
      <t xml:space="preserve"> 8/22/2020</t>
    </r>
  </si>
  <si>
    <t>Price</t>
  </si>
  <si>
    <t>% Change</t>
  </si>
  <si>
    <t>Orange cells = Consensus estimates (updated 8/22/2020)</t>
  </si>
  <si>
    <t>Blue cells = Gutenberg estimates (updated 8/22/2020)</t>
  </si>
  <si>
    <t>Purple cells = Company guidance (updated 7/28/2020)</t>
  </si>
  <si>
    <t>Previous ending cash (prior to change on 10/2)</t>
  </si>
  <si>
    <t>Updated ending cash (after change on 10/2)</t>
  </si>
  <si>
    <t>Change in cash due to increase in dividend</t>
  </si>
  <si>
    <t>Mean monthly return</t>
  </si>
  <si>
    <t>Impact of extra week - 4Q2021 (Operating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</si>
</sst>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
    <numFmt numFmtId="226" formatCode="0.0\x"/>
    <numFmt numFmtId="227" formatCode="0.00000"/>
    <numFmt numFmtId="228" formatCode="_(* #,##0.0000_);_(* \(#,##0.0000\);_(* &quot;-&quot;??_);_(@_)"/>
    <numFmt numFmtId="229" formatCode="0.000%"/>
  </numFmts>
  <fonts count="9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1"/>
      <name val="Calibri"/>
      <family val="2"/>
      <scheme val="minor"/>
    </font>
    <font>
      <i/>
      <sz val="8"/>
      <name val="Calibri"/>
      <family val="2"/>
      <scheme val="minor"/>
    </font>
    <font>
      <sz val="8"/>
      <name val="Calibri"/>
      <family val="2"/>
      <scheme val="minor"/>
    </font>
    <font>
      <u val="singleAccounting"/>
      <sz val="11"/>
      <color rgb="FFFF0000"/>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u/>
      <sz val="9"/>
      <color indexed="81"/>
      <name val="Tahoma"/>
      <family val="2"/>
    </font>
    <font>
      <b/>
      <sz val="9"/>
      <color rgb="FF000000"/>
      <name val="Tahoma"/>
      <family val="2"/>
    </font>
    <font>
      <sz val="9"/>
      <color rgb="FF000000"/>
      <name val="Tahoma"/>
      <family val="2"/>
    </font>
    <font>
      <sz val="10"/>
      <color rgb="FF000000"/>
      <name val="Tahoma"/>
      <family val="2"/>
    </font>
    <font>
      <u/>
      <sz val="9"/>
      <color rgb="FF000000"/>
      <name val="Tahoma"/>
      <family val="2"/>
    </font>
    <font>
      <b/>
      <sz val="10"/>
      <color rgb="FF000000"/>
      <name val="Tahoma"/>
      <family val="2"/>
    </font>
    <font>
      <sz val="10"/>
      <color rgb="FF000000"/>
      <name val="Calibri"/>
      <family val="2"/>
      <scheme val="minor"/>
    </font>
  </fonts>
  <fills count="1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s>
  <borders count="4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562">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applyNumberFormat="1" applyFont="1" applyBorder="1" applyAlignment="1">
      <alignment horizontal="right"/>
    </xf>
    <xf numFmtId="164" fontId="56" fillId="0" borderId="0" xfId="1" quotePrefix="1" applyNumberFormat="1" applyFont="1" applyAlignment="1">
      <alignment horizontal="right"/>
    </xf>
    <xf numFmtId="164" fontId="56" fillId="0" borderId="5" xfId="1" quotePrefix="1" applyNumberFormat="1" applyFont="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55" fillId="0" borderId="0" xfId="1" quotePrefix="1" applyNumberFormat="1" applyFont="1" applyAlignment="1">
      <alignment horizontal="right"/>
    </xf>
    <xf numFmtId="43" fontId="55" fillId="0" borderId="0" xfId="1" quotePrefix="1" applyFont="1" applyAlignment="1">
      <alignment horizontal="right"/>
    </xf>
    <xf numFmtId="165" fontId="4" fillId="0" borderId="31" xfId="1" applyNumberFormat="1" applyFont="1" applyBorder="1" applyAlignment="1">
      <alignment horizontal="right"/>
    </xf>
    <xf numFmtId="165" fontId="4" fillId="0" borderId="32" xfId="1" applyNumberFormat="1" applyFont="1" applyBorder="1" applyAlignment="1">
      <alignment horizontal="right"/>
    </xf>
    <xf numFmtId="164" fontId="4" fillId="0" borderId="5" xfId="1" quotePrefix="1" applyNumberFormat="1" applyFont="1" applyBorder="1" applyAlignment="1">
      <alignment horizontal="right"/>
    </xf>
    <xf numFmtId="164" fontId="4" fillId="0" borderId="0" xfId="1" applyNumberFormat="1" applyFont="1" applyAlignment="1">
      <alignment horizontal="left"/>
    </xf>
    <xf numFmtId="165" fontId="4" fillId="0" borderId="2" xfId="1" applyNumberFormat="1" applyFont="1" applyBorder="1" applyAlignment="1">
      <alignment horizontal="right"/>
    </xf>
    <xf numFmtId="164" fontId="56" fillId="0" borderId="2" xfId="1" quotePrefix="1" applyNumberFormat="1" applyFont="1" applyBorder="1" applyAlignment="1">
      <alignment horizontal="right"/>
    </xf>
    <xf numFmtId="9" fontId="55" fillId="0" borderId="2" xfId="2" quotePrefix="1" applyFont="1" applyBorder="1" applyAlignment="1">
      <alignment horizontal="right"/>
    </xf>
    <xf numFmtId="164" fontId="4" fillId="0" borderId="4" xfId="1" applyNumberFormat="1" applyFont="1" applyBorder="1" applyAlignment="1">
      <alignment horizontal="right"/>
    </xf>
    <xf numFmtId="0" fontId="4" fillId="0" borderId="0" xfId="0" applyFont="1" applyAlignment="1">
      <alignment vertical="top" wrapText="1"/>
    </xf>
    <xf numFmtId="164" fontId="54" fillId="3" borderId="0" xfId="1" quotePrefix="1" applyNumberFormat="1" applyFont="1" applyFill="1" applyAlignment="1">
      <alignment horizontal="right"/>
    </xf>
    <xf numFmtId="164" fontId="58" fillId="2" borderId="2" xfId="1" quotePrefix="1" applyNumberFormat="1" applyFont="1" applyFill="1" applyBorder="1" applyAlignment="1">
      <alignment horizontal="right"/>
    </xf>
    <xf numFmtId="164" fontId="59"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2" fillId="0" borderId="0" xfId="1" applyNumberFormat="1" applyFont="1" applyAlignment="1">
      <alignment horizontal="right"/>
    </xf>
    <xf numFmtId="165" fontId="62" fillId="0" borderId="5" xfId="1" applyNumberFormat="1" applyFont="1" applyBorder="1" applyAlignment="1">
      <alignment horizontal="right"/>
    </xf>
    <xf numFmtId="0" fontId="4"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0" xfId="0" applyFont="1"/>
    <xf numFmtId="43" fontId="63" fillId="0" borderId="0" xfId="1" applyFont="1" applyAlignment="1">
      <alignment horizontal="right"/>
    </xf>
    <xf numFmtId="43" fontId="63" fillId="0" borderId="5" xfId="1" applyFont="1" applyBorder="1" applyAlignment="1">
      <alignment horizontal="right"/>
    </xf>
    <xf numFmtId="43" fontId="62" fillId="0" borderId="0" xfId="1" applyFont="1" applyAlignment="1">
      <alignment horizontal="right"/>
    </xf>
    <xf numFmtId="0" fontId="62" fillId="0" borderId="3" xfId="0" applyFont="1" applyBorder="1" applyAlignment="1">
      <alignment horizontal="left" indent="1"/>
    </xf>
    <xf numFmtId="0" fontId="62" fillId="11" borderId="4" xfId="0" applyFont="1" applyFill="1" applyBorder="1" applyAlignment="1">
      <alignment horizontal="left"/>
    </xf>
    <xf numFmtId="165" fontId="62" fillId="0" borderId="0" xfId="1" quotePrefix="1" applyNumberFormat="1" applyFont="1" applyAlignment="1">
      <alignment horizontal="right"/>
    </xf>
    <xf numFmtId="165" fontId="63" fillId="0" borderId="7" xfId="1" applyNumberFormat="1" applyFont="1" applyBorder="1" applyAlignment="1">
      <alignment horizontal="right"/>
    </xf>
    <xf numFmtId="166" fontId="62" fillId="0" borderId="0" xfId="2" quotePrefix="1" applyNumberFormat="1" applyFont="1" applyAlignment="1">
      <alignment horizontal="right"/>
    </xf>
    <xf numFmtId="165" fontId="62" fillId="0" borderId="5" xfId="1" quotePrefix="1" applyNumberFormat="1" applyFont="1" applyBorder="1" applyAlignment="1">
      <alignment horizontal="right"/>
    </xf>
    <xf numFmtId="166" fontId="62" fillId="9" borderId="0" xfId="2" quotePrefix="1" applyNumberFormat="1" applyFont="1" applyFill="1" applyAlignment="1">
      <alignment horizontal="right"/>
    </xf>
    <xf numFmtId="0" fontId="62" fillId="11" borderId="3" xfId="0" applyFont="1" applyFill="1" applyBorder="1" applyAlignment="1">
      <alignment horizontal="left"/>
    </xf>
    <xf numFmtId="9" fontId="62" fillId="0" borderId="0" xfId="2" quotePrefix="1" applyFont="1" applyAlignment="1">
      <alignment horizontal="right"/>
    </xf>
    <xf numFmtId="165" fontId="66" fillId="0" borderId="0" xfId="2" applyNumberFormat="1" applyFont="1" applyAlignment="1">
      <alignment horizontal="right"/>
    </xf>
    <xf numFmtId="166" fontId="62" fillId="0" borderId="0" xfId="2" applyNumberFormat="1" applyFont="1" applyAlignment="1">
      <alignment horizontal="right"/>
    </xf>
    <xf numFmtId="9" fontId="62" fillId="0" borderId="5" xfId="2" applyFont="1" applyBorder="1" applyAlignment="1">
      <alignment horizontal="right"/>
    </xf>
    <xf numFmtId="166" fontId="62" fillId="0" borderId="5" xfId="2" applyNumberFormat="1" applyFont="1" applyBorder="1" applyAlignment="1">
      <alignment horizontal="right"/>
    </xf>
    <xf numFmtId="9" fontId="62" fillId="0" borderId="0" xfId="2" applyFont="1" applyAlignment="1">
      <alignment horizontal="right"/>
    </xf>
    <xf numFmtId="0" fontId="62" fillId="0" borderId="3" xfId="0" applyFont="1" applyBorder="1"/>
    <xf numFmtId="164" fontId="62" fillId="0" borderId="0" xfId="1" quotePrefix="1" applyNumberFormat="1" applyFont="1" applyAlignment="1">
      <alignment horizontal="right"/>
    </xf>
    <xf numFmtId="164" fontId="62" fillId="0" borderId="5" xfId="1" quotePrefix="1" applyNumberFormat="1" applyFont="1" applyBorder="1" applyAlignment="1">
      <alignment horizontal="right"/>
    </xf>
    <xf numFmtId="164" fontId="62" fillId="9" borderId="0" xfId="1" quotePrefix="1" applyNumberFormat="1" applyFont="1" applyFill="1" applyAlignment="1">
      <alignment horizontal="right"/>
    </xf>
    <xf numFmtId="165" fontId="64" fillId="9" borderId="0" xfId="1" applyNumberFormat="1" applyFont="1" applyFill="1" applyAlignment="1">
      <alignment horizontal="right"/>
    </xf>
    <xf numFmtId="9" fontId="62" fillId="0" borderId="5" xfId="2" quotePrefix="1" applyFont="1" applyBorder="1" applyAlignment="1">
      <alignment horizontal="right"/>
    </xf>
    <xf numFmtId="165" fontId="62" fillId="9" borderId="0" xfId="1" applyNumberFormat="1" applyFont="1" applyFill="1" applyAlignment="1">
      <alignment horizontal="right"/>
    </xf>
    <xf numFmtId="9" fontId="62" fillId="9" borderId="0" xfId="2" applyFont="1" applyFill="1" applyAlignment="1">
      <alignment horizontal="right"/>
    </xf>
    <xf numFmtId="166" fontId="62" fillId="9" borderId="0" xfId="2" applyNumberFormat="1" applyFont="1" applyFill="1" applyAlignment="1">
      <alignment horizontal="right"/>
    </xf>
    <xf numFmtId="165" fontId="55" fillId="0" borderId="9" xfId="1" applyNumberFormat="1" applyFont="1" applyBorder="1" applyAlignment="1">
      <alignment horizontal="right"/>
    </xf>
    <xf numFmtId="0" fontId="65" fillId="0" borderId="25" xfId="0" applyFont="1" applyBorder="1" applyAlignment="1">
      <alignment horizontal="left"/>
    </xf>
    <xf numFmtId="7" fontId="62" fillId="0" borderId="0" xfId="1" applyNumberFormat="1" applyFont="1" applyAlignment="1">
      <alignment horizontal="right"/>
    </xf>
    <xf numFmtId="7" fontId="4" fillId="0" borderId="5" xfId="1" applyNumberFormat="1" applyFont="1" applyBorder="1" applyAlignment="1">
      <alignment horizontal="right"/>
    </xf>
    <xf numFmtId="7" fontId="62" fillId="9" borderId="0" xfId="1" applyNumberFormat="1" applyFont="1" applyFill="1" applyAlignment="1">
      <alignment horizontal="right"/>
    </xf>
    <xf numFmtId="9" fontId="62" fillId="9" borderId="4" xfId="2" applyFont="1" applyFill="1" applyBorder="1" applyAlignment="1">
      <alignment horizontal="right"/>
    </xf>
    <xf numFmtId="43" fontId="62" fillId="0" borderId="7" xfId="1" applyFont="1" applyBorder="1" applyAlignment="1">
      <alignment horizontal="right"/>
    </xf>
    <xf numFmtId="43" fontId="62" fillId="0" borderId="8" xfId="1" applyFont="1" applyBorder="1" applyAlignment="1">
      <alignment horizontal="right"/>
    </xf>
    <xf numFmtId="165" fontId="62" fillId="0" borderId="8" xfId="1" applyNumberFormat="1" applyFont="1" applyBorder="1" applyAlignment="1">
      <alignment horizontal="right"/>
    </xf>
    <xf numFmtId="0" fontId="4"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3" fillId="0" borderId="3" xfId="0" applyFont="1" applyBorder="1" applyAlignment="1">
      <alignment horizontal="left" indent="1"/>
    </xf>
    <xf numFmtId="0" fontId="63" fillId="0" borderId="4" xfId="0" applyFont="1" applyBorder="1" applyAlignment="1">
      <alignment horizontal="left" indent="1"/>
    </xf>
    <xf numFmtId="0" fontId="61" fillId="2" borderId="3" xfId="0" applyFont="1" applyFill="1" applyBorder="1" applyAlignment="1">
      <alignment horizontal="left"/>
    </xf>
    <xf numFmtId="0" fontId="65" fillId="11" borderId="4" xfId="0" applyFont="1" applyFill="1" applyBorder="1" applyAlignment="1">
      <alignment horizontal="left"/>
    </xf>
    <xf numFmtId="0" fontId="62" fillId="0" borderId="25" xfId="0" applyFont="1" applyBorder="1" applyAlignment="1">
      <alignment horizontal="left"/>
    </xf>
    <xf numFmtId="0" fontId="62" fillId="0" borderId="26"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2" fillId="0" borderId="3" xfId="0" applyFont="1" applyBorder="1" applyAlignment="1">
      <alignment horizontal="left" indent="2"/>
    </xf>
    <xf numFmtId="0" fontId="62" fillId="0" borderId="6" xfId="0" applyFont="1" applyBorder="1" applyAlignment="1">
      <alignment horizontal="left"/>
    </xf>
    <xf numFmtId="166" fontId="62" fillId="0" borderId="5" xfId="2" quotePrefix="1" applyNumberFormat="1" applyFont="1" applyBorder="1" applyAlignment="1">
      <alignment horizontal="right"/>
    </xf>
    <xf numFmtId="0" fontId="63" fillId="0" borderId="3" xfId="0" applyFont="1" applyBorder="1" applyAlignment="1">
      <alignment horizontal="left" indent="2"/>
    </xf>
    <xf numFmtId="165" fontId="63" fillId="11" borderId="0" xfId="1" applyNumberFormat="1" applyFont="1" applyFill="1" applyAlignment="1">
      <alignment horizontal="right"/>
    </xf>
    <xf numFmtId="165" fontId="62" fillId="11" borderId="0" xfId="1" applyNumberFormat="1" applyFont="1" applyFill="1" applyAlignment="1">
      <alignment horizontal="right"/>
    </xf>
    <xf numFmtId="165" fontId="62" fillId="11" borderId="5" xfId="1" applyNumberFormat="1" applyFont="1" applyFill="1" applyBorder="1" applyAlignment="1">
      <alignment horizontal="right"/>
    </xf>
    <xf numFmtId="165" fontId="62" fillId="11" borderId="30" xfId="1" applyNumberFormat="1" applyFont="1" applyFill="1" applyBorder="1" applyAlignment="1">
      <alignment horizontal="right"/>
    </xf>
    <xf numFmtId="165" fontId="62" fillId="11" borderId="29" xfId="1" applyNumberFormat="1" applyFont="1" applyFill="1" applyBorder="1" applyAlignment="1">
      <alignment horizontal="right"/>
    </xf>
    <xf numFmtId="164" fontId="58" fillId="2" borderId="33" xfId="1" quotePrefix="1" applyNumberFormat="1" applyFont="1" applyFill="1" applyBorder="1" applyAlignment="1">
      <alignment horizontal="right"/>
    </xf>
    <xf numFmtId="164" fontId="59" fillId="2" borderId="5" xfId="1" quotePrefix="1" applyNumberFormat="1" applyFont="1" applyFill="1" applyBorder="1" applyAlignment="1">
      <alignment horizontal="right"/>
    </xf>
    <xf numFmtId="9" fontId="62" fillId="0" borderId="8" xfId="2" quotePrefix="1" applyFont="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0" fontId="61" fillId="2" borderId="4" xfId="0" applyFont="1" applyFill="1" applyBorder="1" applyAlignment="1">
      <alignment horizontal="left"/>
    </xf>
    <xf numFmtId="0" fontId="69" fillId="0" borderId="3" xfId="0" applyFont="1" applyBorder="1"/>
    <xf numFmtId="0" fontId="67" fillId="0" borderId="3" xfId="0" applyFont="1" applyBorder="1"/>
    <xf numFmtId="165" fontId="68" fillId="0" borderId="13" xfId="1" applyNumberFormat="1" applyFont="1" applyBorder="1" applyAlignment="1">
      <alignment horizontal="right"/>
    </xf>
    <xf numFmtId="43" fontId="67" fillId="0" borderId="4" xfId="1" applyFont="1" applyBorder="1" applyAlignment="1">
      <alignment horizontal="right"/>
    </xf>
    <xf numFmtId="166" fontId="67" fillId="9" borderId="4" xfId="1" applyNumberFormat="1" applyFont="1" applyFill="1" applyBorder="1" applyAlignment="1">
      <alignment horizontal="right"/>
    </xf>
    <xf numFmtId="166" fontId="68" fillId="0" borderId="4" xfId="2" applyNumberFormat="1" applyFont="1" applyBorder="1" applyAlignment="1">
      <alignment horizontal="right"/>
    </xf>
    <xf numFmtId="10" fontId="67" fillId="9" borderId="4" xfId="2" applyNumberFormat="1" applyFont="1" applyFill="1" applyBorder="1" applyAlignment="1">
      <alignment horizontal="right"/>
    </xf>
    <xf numFmtId="166" fontId="62" fillId="0" borderId="4" xfId="2" applyNumberFormat="1" applyFont="1" applyBorder="1" applyAlignment="1">
      <alignment horizontal="right"/>
    </xf>
    <xf numFmtId="166" fontId="63" fillId="0" borderId="13" xfId="2" applyNumberFormat="1" applyFont="1" applyBorder="1" applyAlignment="1">
      <alignment horizontal="right"/>
    </xf>
    <xf numFmtId="0" fontId="68" fillId="0" borderId="12" xfId="0" applyFont="1" applyBorder="1" applyAlignment="1">
      <alignment horizontal="left" indent="1"/>
    </xf>
    <xf numFmtId="0" fontId="68" fillId="0" borderId="3" xfId="0" applyFont="1" applyBorder="1" applyAlignment="1">
      <alignment horizontal="left" indent="1"/>
    </xf>
    <xf numFmtId="0" fontId="63" fillId="0" borderId="12" xfId="0" applyFont="1" applyBorder="1" applyAlignment="1">
      <alignment horizontal="left" indent="1"/>
    </xf>
    <xf numFmtId="166" fontId="68" fillId="0" borderId="13" xfId="2" applyNumberFormat="1" applyFont="1" applyBorder="1" applyAlignment="1">
      <alignment horizontal="right"/>
    </xf>
    <xf numFmtId="0" fontId="65" fillId="0" borderId="3" xfId="0" applyFont="1" applyBorder="1"/>
    <xf numFmtId="166" fontId="62" fillId="0" borderId="8" xfId="2" quotePrefix="1" applyNumberFormat="1" applyFont="1" applyBorder="1" applyAlignment="1">
      <alignment horizontal="right"/>
    </xf>
    <xf numFmtId="166" fontId="4" fillId="0" borderId="0" xfId="2" applyNumberFormat="1" applyFont="1" applyAlignment="1">
      <alignment horizontal="right"/>
    </xf>
    <xf numFmtId="5" fontId="65" fillId="0" borderId="4" xfId="1" applyNumberFormat="1" applyFont="1" applyBorder="1" applyAlignment="1">
      <alignment horizontal="right"/>
    </xf>
    <xf numFmtId="165" fontId="62" fillId="0" borderId="4" xfId="1" applyNumberFormat="1" applyFont="1" applyBorder="1" applyAlignment="1">
      <alignment horizontal="right"/>
    </xf>
    <xf numFmtId="167" fontId="62" fillId="0" borderId="0" xfId="1" applyNumberFormat="1" applyFont="1" applyAlignment="1">
      <alignment horizontal="right"/>
    </xf>
    <xf numFmtId="166" fontId="62" fillId="0" borderId="0" xfId="1" applyNumberFormat="1" applyFont="1" applyAlignment="1">
      <alignment horizontal="right"/>
    </xf>
    <xf numFmtId="5" fontId="63" fillId="0" borderId="4" xfId="1" applyNumberFormat="1" applyFont="1" applyBorder="1" applyAlignment="1">
      <alignment horizontal="right"/>
    </xf>
    <xf numFmtId="5" fontId="63" fillId="0" borderId="24" xfId="1" applyNumberFormat="1" applyFont="1" applyBorder="1" applyAlignment="1">
      <alignment horizontal="right"/>
    </xf>
    <xf numFmtId="0" fontId="63" fillId="0" borderId="1" xfId="0" applyFont="1" applyBorder="1" applyAlignment="1">
      <alignment horizontal="left"/>
    </xf>
    <xf numFmtId="5" fontId="63" fillId="0" borderId="11" xfId="1" applyNumberFormat="1" applyFont="1" applyBorder="1" applyAlignment="1">
      <alignment horizontal="right"/>
    </xf>
    <xf numFmtId="0" fontId="62" fillId="0" borderId="1" xfId="0" applyFont="1" applyBorder="1"/>
    <xf numFmtId="5" fontId="62" fillId="0" borderId="4" xfId="1" applyNumberFormat="1" applyFont="1" applyBorder="1" applyAlignment="1">
      <alignment horizontal="right"/>
    </xf>
    <xf numFmtId="10" fontId="62" fillId="9" borderId="11" xfId="1" applyNumberFormat="1" applyFont="1" applyFill="1" applyBorder="1" applyAlignment="1">
      <alignment horizontal="right"/>
    </xf>
    <xf numFmtId="10" fontId="62" fillId="9" borderId="4" xfId="2" applyNumberFormat="1" applyFont="1" applyFill="1" applyBorder="1" applyAlignment="1">
      <alignment horizontal="right"/>
    </xf>
    <xf numFmtId="165" fontId="62" fillId="0" borderId="0" xfId="1" applyNumberFormat="1" applyFont="1" applyAlignment="1">
      <alignment horizontal="left"/>
    </xf>
    <xf numFmtId="43" fontId="62" fillId="0" borderId="0" xfId="1" applyFont="1" applyAlignment="1">
      <alignment horizontal="lef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0" xfId="0" applyBorder="1"/>
    <xf numFmtId="0" fontId="0" fillId="0" borderId="41" xfId="0" applyBorder="1"/>
    <xf numFmtId="0" fontId="0" fillId="0" borderId="38" xfId="0" applyBorder="1"/>
    <xf numFmtId="10" fontId="0" fillId="0" borderId="0" xfId="2" applyNumberFormat="1" applyFont="1"/>
    <xf numFmtId="10" fontId="0" fillId="0" borderId="0" xfId="0" applyNumberFormat="1"/>
    <xf numFmtId="10" fontId="0" fillId="0" borderId="38" xfId="0" applyNumberFormat="1" applyBorder="1"/>
    <xf numFmtId="0" fontId="0" fillId="0" borderId="36" xfId="0" applyBorder="1"/>
    <xf numFmtId="0" fontId="2" fillId="0" borderId="0" xfId="0" applyFont="1" applyAlignment="1">
      <alignment horizontal="right"/>
    </xf>
    <xf numFmtId="0" fontId="2" fillId="0" borderId="41" xfId="0" applyFont="1" applyBorder="1"/>
    <xf numFmtId="0" fontId="0" fillId="12" borderId="0" xfId="0" applyFill="1"/>
    <xf numFmtId="0" fontId="2" fillId="12" borderId="0" xfId="0" applyFont="1" applyFill="1" applyAlignment="1">
      <alignment horizontal="right"/>
    </xf>
    <xf numFmtId="10" fontId="2" fillId="12" borderId="41" xfId="2" applyNumberFormat="1" applyFont="1" applyFill="1" applyBorder="1"/>
    <xf numFmtId="43" fontId="67" fillId="9" borderId="4" xfId="1" applyFont="1" applyFill="1" applyBorder="1" applyAlignment="1">
      <alignment horizontal="right"/>
    </xf>
    <xf numFmtId="227" fontId="0" fillId="0" borderId="41" xfId="0" applyNumberFormat="1" applyBorder="1"/>
    <xf numFmtId="227" fontId="0" fillId="0" borderId="39" xfId="0" applyNumberFormat="1" applyBorder="1"/>
    <xf numFmtId="0" fontId="72" fillId="0" borderId="0" xfId="0" applyFont="1" applyAlignment="1">
      <alignment horizontal="right"/>
    </xf>
    <xf numFmtId="166" fontId="62" fillId="0" borderId="0" xfId="2" applyNumberFormat="1" applyFont="1" applyAlignment="1">
      <alignment horizontal="left"/>
    </xf>
    <xf numFmtId="9" fontId="62" fillId="0" borderId="0" xfId="1" applyNumberFormat="1" applyFont="1" applyAlignment="1">
      <alignment horizontal="left"/>
    </xf>
    <xf numFmtId="227" fontId="2" fillId="0" borderId="41" xfId="0" applyNumberFormat="1" applyFont="1" applyBorder="1"/>
    <xf numFmtId="0" fontId="0" fillId="0" borderId="37" xfId="0" applyBorder="1"/>
    <xf numFmtId="0" fontId="62" fillId="0" borderId="10" xfId="0" applyFont="1" applyBorder="1" applyAlignment="1">
      <alignment horizontal="left"/>
    </xf>
    <xf numFmtId="0" fontId="63" fillId="0" borderId="6" xfId="0" applyFont="1" applyBorder="1"/>
    <xf numFmtId="43" fontId="64" fillId="0" borderId="4" xfId="1" quotePrefix="1" applyFont="1" applyBorder="1" applyAlignment="1">
      <alignment horizontal="right"/>
    </xf>
    <xf numFmtId="0" fontId="62" fillId="0" borderId="6" xfId="0" applyFont="1" applyBorder="1"/>
    <xf numFmtId="6" fontId="62" fillId="0" borderId="10" xfId="0" applyNumberFormat="1" applyFont="1" applyBorder="1"/>
    <xf numFmtId="0" fontId="62" fillId="0" borderId="4" xfId="0" applyFont="1" applyBorder="1"/>
    <xf numFmtId="165" fontId="74" fillId="0" borderId="5" xfId="1" quotePrefix="1" applyNumberFormat="1" applyFont="1" applyBorder="1" applyAlignment="1">
      <alignment horizontal="right"/>
    </xf>
    <xf numFmtId="43" fontId="63" fillId="0" borderId="8" xfId="1" applyFont="1" applyBorder="1" applyAlignment="1">
      <alignment horizontal="right"/>
    </xf>
    <xf numFmtId="0" fontId="62" fillId="0" borderId="12" xfId="0" applyFont="1" applyBorder="1"/>
    <xf numFmtId="0" fontId="62" fillId="0" borderId="13" xfId="0" applyFont="1" applyBorder="1"/>
    <xf numFmtId="0" fontId="62" fillId="11" borderId="0" xfId="0" applyFont="1" applyFill="1" applyAlignment="1">
      <alignment horizontal="left"/>
    </xf>
    <xf numFmtId="166" fontId="62" fillId="9" borderId="7" xfId="2" applyNumberFormat="1" applyFont="1" applyFill="1" applyBorder="1" applyAlignment="1">
      <alignment horizontal="right"/>
    </xf>
    <xf numFmtId="166" fontId="62" fillId="9" borderId="7" xfId="2" quotePrefix="1" applyNumberFormat="1" applyFont="1" applyFill="1" applyBorder="1" applyAlignment="1">
      <alignment horizontal="right"/>
    </xf>
    <xf numFmtId="9" fontId="4" fillId="0" borderId="0" xfId="1" applyNumberFormat="1" applyFont="1"/>
    <xf numFmtId="9" fontId="62" fillId="9" borderId="0" xfId="2" quotePrefix="1" applyFont="1" applyFill="1" applyAlignment="1">
      <alignment horizontal="right"/>
    </xf>
    <xf numFmtId="225" fontId="63" fillId="0" borderId="10" xfId="1" applyNumberFormat="1" applyFont="1" applyBorder="1" applyAlignment="1">
      <alignment horizontal="right"/>
    </xf>
    <xf numFmtId="5" fontId="67" fillId="0" borderId="4" xfId="1" applyNumberFormat="1" applyFont="1" applyBorder="1" applyAlignment="1">
      <alignment horizontal="right"/>
    </xf>
    <xf numFmtId="165" fontId="70" fillId="0" borderId="4" xfId="1" applyNumberFormat="1" applyFont="1" applyBorder="1" applyAlignment="1">
      <alignment horizontal="right"/>
    </xf>
    <xf numFmtId="43" fontId="64" fillId="0" borderId="4" xfId="1" applyFont="1" applyBorder="1" applyAlignment="1">
      <alignment horizontal="right"/>
    </xf>
    <xf numFmtId="165" fontId="0" fillId="0" borderId="35" xfId="1" applyNumberFormat="1" applyFont="1" applyBorder="1"/>
    <xf numFmtId="10" fontId="0" fillId="0" borderId="35" xfId="2" applyNumberFormat="1" applyFont="1" applyBorder="1"/>
    <xf numFmtId="10" fontId="0" fillId="0" borderId="35" xfId="0" applyNumberFormat="1" applyBorder="1"/>
    <xf numFmtId="10" fontId="0" fillId="0" borderId="38" xfId="2" applyNumberFormat="1" applyFont="1" applyBorder="1"/>
    <xf numFmtId="166" fontId="62" fillId="9" borderId="4" xfId="2" applyNumberFormat="1" applyFont="1" applyFill="1" applyBorder="1" applyAlignment="1">
      <alignment horizontal="right"/>
    </xf>
    <xf numFmtId="165" fontId="73" fillId="0" borderId="0" xfId="1" applyNumberFormat="1" applyFont="1" applyAlignment="1">
      <alignment horizontal="right"/>
    </xf>
    <xf numFmtId="0" fontId="62" fillId="0" borderId="3" xfId="3" applyFont="1" applyBorder="1" applyAlignment="1">
      <alignment horizontal="left" vertical="top"/>
    </xf>
    <xf numFmtId="0" fontId="62" fillId="0" borderId="4" xfId="3" applyFont="1" applyBorder="1" applyAlignment="1">
      <alignment horizontal="left" vertical="top"/>
    </xf>
    <xf numFmtId="17" fontId="62" fillId="0" borderId="0" xfId="1" applyNumberFormat="1" applyFont="1" applyAlignment="1">
      <alignment horizontal="right" wrapText="1"/>
    </xf>
    <xf numFmtId="0" fontId="62" fillId="0" borderId="4" xfId="0" applyFont="1" applyBorder="1" applyAlignment="1">
      <alignment horizontal="left" indent="1"/>
    </xf>
    <xf numFmtId="0" fontId="62" fillId="0" borderId="3" xfId="0" applyFont="1" applyBorder="1" applyAlignment="1">
      <alignment horizontal="left" indent="3"/>
    </xf>
    <xf numFmtId="0" fontId="63" fillId="0" borderId="3" xfId="0" applyFont="1" applyBorder="1" applyAlignment="1">
      <alignment horizontal="left" indent="4"/>
    </xf>
    <xf numFmtId="0" fontId="62" fillId="0" borderId="3" xfId="0" applyFont="1" applyBorder="1" applyAlignment="1">
      <alignment horizontal="left" indent="5"/>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64" fillId="0" borderId="0" xfId="1" applyNumberFormat="1" applyFont="1" applyAlignment="1">
      <alignment horizontal="right"/>
    </xf>
    <xf numFmtId="164" fontId="64" fillId="0" borderId="5" xfId="1" applyNumberFormat="1" applyFont="1" applyBorder="1" applyAlignment="1">
      <alignment horizontal="right"/>
    </xf>
    <xf numFmtId="164" fontId="54" fillId="0" borderId="0" xfId="1" applyNumberFormat="1" applyFont="1" applyAlignment="1">
      <alignment horizontal="right"/>
    </xf>
    <xf numFmtId="164" fontId="54" fillId="0" borderId="5" xfId="1" applyNumberFormat="1" applyFont="1" applyBorder="1" applyAlignment="1">
      <alignment horizontal="right"/>
    </xf>
    <xf numFmtId="164" fontId="64" fillId="9" borderId="0" xfId="1" applyNumberFormat="1" applyFont="1" applyFill="1" applyAlignment="1">
      <alignment horizontal="right"/>
    </xf>
    <xf numFmtId="165" fontId="55" fillId="0" borderId="5" xfId="1" quotePrefix="1" applyNumberFormat="1" applyFont="1" applyBorder="1" applyAlignment="1">
      <alignment horizontal="right"/>
    </xf>
    <xf numFmtId="165" fontId="4" fillId="0" borderId="29" xfId="1" quotePrefix="1" applyNumberFormat="1" applyFont="1" applyBorder="1" applyAlignment="1">
      <alignment horizontal="right"/>
    </xf>
    <xf numFmtId="9" fontId="75" fillId="0" borderId="0" xfId="2" applyFont="1" applyAlignment="1">
      <alignment horizontal="right"/>
    </xf>
    <xf numFmtId="9" fontId="75" fillId="0" borderId="5" xfId="2" applyFont="1" applyBorder="1" applyAlignment="1">
      <alignment horizontal="right"/>
    </xf>
    <xf numFmtId="9" fontId="63" fillId="0" borderId="5" xfId="2" applyFont="1" applyBorder="1" applyAlignment="1">
      <alignment horizontal="right"/>
    </xf>
    <xf numFmtId="164" fontId="55" fillId="0" borderId="5" xfId="1" quotePrefix="1" applyNumberFormat="1" applyFont="1" applyBorder="1" applyAlignment="1">
      <alignment horizontal="right"/>
    </xf>
    <xf numFmtId="9" fontId="63" fillId="9" borderId="0" xfId="2" applyFont="1" applyFill="1" applyAlignment="1">
      <alignment horizontal="right"/>
    </xf>
    <xf numFmtId="167" fontId="62" fillId="9" borderId="0" xfId="1" applyNumberFormat="1" applyFont="1" applyFill="1" applyAlignment="1">
      <alignment horizontal="right"/>
    </xf>
    <xf numFmtId="0" fontId="76" fillId="0" borderId="0" xfId="0" applyFont="1"/>
    <xf numFmtId="0" fontId="76" fillId="0" borderId="3" xfId="0" applyFont="1" applyBorder="1" applyAlignment="1">
      <alignment horizontal="left"/>
    </xf>
    <xf numFmtId="0" fontId="76" fillId="0" borderId="4" xfId="0" applyFont="1" applyBorder="1" applyAlignment="1">
      <alignment horizontal="left"/>
    </xf>
    <xf numFmtId="165" fontId="76" fillId="0" borderId="0" xfId="1" applyNumberFormat="1" applyFont="1" applyAlignment="1">
      <alignment horizontal="right"/>
    </xf>
    <xf numFmtId="165" fontId="76" fillId="9" borderId="0" xfId="1" applyNumberFormat="1" applyFont="1" applyFill="1" applyAlignment="1">
      <alignment horizontal="right"/>
    </xf>
    <xf numFmtId="165" fontId="76" fillId="0" borderId="5" xfId="1" quotePrefix="1" applyNumberFormat="1" applyFont="1" applyBorder="1" applyAlignment="1">
      <alignment horizontal="right"/>
    </xf>
    <xf numFmtId="167" fontId="76" fillId="9" borderId="0" xfId="1" applyNumberFormat="1" applyFont="1" applyFill="1" applyAlignment="1">
      <alignment horizontal="right"/>
    </xf>
    <xf numFmtId="0" fontId="76" fillId="0" borderId="3" xfId="0" applyFont="1" applyBorder="1" applyAlignment="1">
      <alignment horizontal="left" indent="2"/>
    </xf>
    <xf numFmtId="0" fontId="76" fillId="0" borderId="4" xfId="0" applyFont="1" applyBorder="1" applyAlignment="1">
      <alignment horizontal="left" indent="1"/>
    </xf>
    <xf numFmtId="164" fontId="76" fillId="0" borderId="0" xfId="1" applyNumberFormat="1" applyFont="1" applyAlignment="1">
      <alignment horizontal="right"/>
    </xf>
    <xf numFmtId="164" fontId="76" fillId="0" borderId="5" xfId="1" quotePrefix="1" applyNumberFormat="1" applyFont="1" applyBorder="1" applyAlignment="1">
      <alignment horizontal="right"/>
    </xf>
    <xf numFmtId="167" fontId="76" fillId="0" borderId="0" xfId="1" applyNumberFormat="1" applyFont="1" applyAlignment="1">
      <alignment horizontal="right"/>
    </xf>
    <xf numFmtId="165" fontId="63" fillId="0" borderId="31" xfId="1" applyNumberFormat="1" applyFont="1" applyBorder="1" applyAlignment="1">
      <alignment horizontal="right"/>
    </xf>
    <xf numFmtId="165" fontId="55" fillId="0" borderId="32" xfId="1" quotePrefix="1" applyNumberFormat="1" applyFont="1" applyBorder="1" applyAlignment="1">
      <alignment horizontal="right"/>
    </xf>
    <xf numFmtId="0" fontId="62" fillId="0" borderId="12" xfId="0" applyFont="1" applyBorder="1" applyAlignment="1">
      <alignment horizontal="left" indent="2"/>
    </xf>
    <xf numFmtId="0" fontId="62" fillId="0" borderId="13" xfId="0" applyFont="1" applyBorder="1" applyAlignment="1">
      <alignment horizontal="left" indent="1"/>
    </xf>
    <xf numFmtId="9" fontId="62" fillId="9" borderId="30" xfId="2" applyFont="1" applyFill="1" applyBorder="1" applyAlignment="1">
      <alignment horizontal="right"/>
    </xf>
    <xf numFmtId="164" fontId="63" fillId="0" borderId="30" xfId="1" applyNumberFormat="1" applyFont="1" applyBorder="1" applyAlignment="1">
      <alignment horizontal="right"/>
    </xf>
    <xf numFmtId="164" fontId="55" fillId="0" borderId="29" xfId="1" quotePrefix="1" applyNumberFormat="1" applyFont="1" applyBorder="1" applyAlignment="1">
      <alignment horizontal="right"/>
    </xf>
    <xf numFmtId="164" fontId="63" fillId="0" borderId="29" xfId="1" quotePrefix="1" applyNumberFormat="1" applyFont="1" applyBorder="1" applyAlignment="1">
      <alignment horizontal="right"/>
    </xf>
    <xf numFmtId="164" fontId="62" fillId="0" borderId="0" xfId="2" applyNumberFormat="1" applyFont="1" applyAlignment="1">
      <alignment horizontal="right"/>
    </xf>
    <xf numFmtId="164" fontId="64" fillId="0" borderId="0" xfId="2" applyNumberFormat="1" applyFont="1" applyAlignment="1">
      <alignment horizontal="right"/>
    </xf>
    <xf numFmtId="164" fontId="63" fillId="0" borderId="0" xfId="2" applyNumberFormat="1" applyFont="1" applyAlignment="1">
      <alignment horizontal="right"/>
    </xf>
    <xf numFmtId="166" fontId="63" fillId="0" borderId="0" xfId="2" applyNumberFormat="1" applyFont="1" applyAlignment="1">
      <alignment horizontal="right"/>
    </xf>
    <xf numFmtId="43" fontId="76" fillId="0" borderId="0" xfId="1" applyFont="1"/>
    <xf numFmtId="43" fontId="76" fillId="0" borderId="4" xfId="1" applyFont="1" applyBorder="1"/>
    <xf numFmtId="43" fontId="76" fillId="0" borderId="5" xfId="1" quotePrefix="1" applyFont="1" applyBorder="1" applyAlignment="1">
      <alignment horizontal="right"/>
    </xf>
    <xf numFmtId="43" fontId="76" fillId="0" borderId="3" xfId="1" applyFont="1" applyBorder="1" applyAlignment="1">
      <alignment horizontal="left" indent="4"/>
    </xf>
    <xf numFmtId="166" fontId="76" fillId="0" borderId="0" xfId="2" applyNumberFormat="1" applyFont="1" applyAlignment="1">
      <alignment horizontal="right"/>
    </xf>
    <xf numFmtId="166" fontId="76" fillId="9" borderId="0" xfId="2" applyNumberFormat="1" applyFont="1" applyFill="1" applyAlignment="1">
      <alignment horizontal="right"/>
    </xf>
    <xf numFmtId="164" fontId="62" fillId="0" borderId="32" xfId="1" applyNumberFormat="1" applyFont="1" applyBorder="1" applyAlignment="1">
      <alignment horizontal="right"/>
    </xf>
    <xf numFmtId="164" fontId="64" fillId="0" borderId="5" xfId="2" applyNumberFormat="1" applyFont="1" applyBorder="1" applyAlignment="1">
      <alignment horizontal="right"/>
    </xf>
    <xf numFmtId="0" fontId="78" fillId="0" borderId="0" xfId="0" applyFont="1"/>
    <xf numFmtId="0" fontId="79" fillId="0" borderId="4" xfId="0" applyFont="1" applyBorder="1" applyAlignment="1">
      <alignment horizontal="left"/>
    </xf>
    <xf numFmtId="0" fontId="77" fillId="0" borderId="13" xfId="0" applyFont="1" applyBorder="1"/>
    <xf numFmtId="164" fontId="77" fillId="0" borderId="30" xfId="1" applyNumberFormat="1" applyFont="1" applyBorder="1" applyAlignment="1">
      <alignment horizontal="right"/>
    </xf>
    <xf numFmtId="164" fontId="77" fillId="0" borderId="29" xfId="1" applyNumberFormat="1" applyFont="1" applyBorder="1" applyAlignment="1">
      <alignment horizontal="right"/>
    </xf>
    <xf numFmtId="43" fontId="77" fillId="0" borderId="44" xfId="1" applyFont="1" applyBorder="1" applyAlignment="1">
      <alignment horizontal="right"/>
    </xf>
    <xf numFmtId="43" fontId="77" fillId="0" borderId="42" xfId="1" applyFont="1" applyBorder="1" applyAlignment="1">
      <alignment horizontal="right"/>
    </xf>
    <xf numFmtId="43" fontId="62" fillId="9" borderId="7" xfId="1" applyFont="1" applyFill="1" applyBorder="1" applyAlignment="1">
      <alignment horizontal="right"/>
    </xf>
    <xf numFmtId="9" fontId="66" fillId="0" borderId="0" xfId="2" applyFont="1" applyAlignment="1">
      <alignment horizontal="right"/>
    </xf>
    <xf numFmtId="0" fontId="77" fillId="0" borderId="26" xfId="0" applyFont="1" applyBorder="1" applyAlignment="1">
      <alignment horizontal="left"/>
    </xf>
    <xf numFmtId="0" fontId="77" fillId="0" borderId="12" xfId="0" applyFont="1" applyBorder="1" applyAlignment="1">
      <alignment horizontal="left" indent="2"/>
    </xf>
    <xf numFmtId="0" fontId="77" fillId="0" borderId="13" xfId="0" applyFont="1" applyBorder="1" applyAlignment="1">
      <alignment horizontal="left"/>
    </xf>
    <xf numFmtId="0" fontId="76" fillId="0" borderId="25" xfId="0" applyFont="1" applyBorder="1" applyAlignment="1">
      <alignment horizontal="left" indent="1"/>
    </xf>
    <xf numFmtId="0" fontId="76" fillId="0" borderId="26" xfId="0" applyFont="1" applyBorder="1"/>
    <xf numFmtId="164" fontId="80" fillId="0" borderId="31" xfId="1" applyNumberFormat="1" applyFont="1" applyBorder="1" applyAlignment="1">
      <alignment horizontal="right"/>
    </xf>
    <xf numFmtId="164" fontId="80" fillId="0" borderId="32" xfId="1" applyNumberFormat="1" applyFont="1" applyBorder="1" applyAlignment="1">
      <alignment horizontal="right"/>
    </xf>
    <xf numFmtId="164" fontId="81" fillId="0" borderId="31" xfId="1" applyNumberFormat="1" applyFont="1" applyBorder="1" applyAlignment="1">
      <alignment horizontal="right"/>
    </xf>
    <xf numFmtId="164" fontId="81" fillId="0" borderId="32" xfId="1" applyNumberFormat="1" applyFont="1" applyBorder="1" applyAlignment="1">
      <alignment horizontal="right"/>
    </xf>
    <xf numFmtId="0" fontId="77" fillId="0" borderId="43" xfId="0" applyFont="1" applyBorder="1" applyAlignment="1">
      <alignment horizontal="left" indent="2"/>
    </xf>
    <xf numFmtId="0" fontId="62" fillId="11" borderId="4" xfId="0" applyFont="1" applyFill="1" applyBorder="1" applyAlignment="1">
      <alignment horizontal="left" indent="1"/>
    </xf>
    <xf numFmtId="9" fontId="62" fillId="0" borderId="7" xfId="2" applyFont="1" applyBorder="1" applyAlignment="1">
      <alignment horizontal="right"/>
    </xf>
    <xf numFmtId="9" fontId="62" fillId="9" borderId="7" xfId="2" applyFont="1" applyFill="1" applyBorder="1" applyAlignment="1">
      <alignment horizontal="right"/>
    </xf>
    <xf numFmtId="164" fontId="62" fillId="9" borderId="0" xfId="1" applyNumberFormat="1" applyFont="1" applyFill="1" applyAlignment="1">
      <alignment horizontal="right"/>
    </xf>
    <xf numFmtId="164" fontId="62" fillId="0" borderId="31" xfId="1" applyNumberFormat="1" applyFont="1" applyBorder="1" applyAlignment="1">
      <alignment horizontal="right"/>
    </xf>
    <xf numFmtId="43" fontId="62" fillId="0" borderId="5" xfId="1" quotePrefix="1" applyFont="1" applyBorder="1" applyAlignment="1">
      <alignment horizontal="right"/>
    </xf>
    <xf numFmtId="166" fontId="62" fillId="0" borderId="7" xfId="2" quotePrefix="1" applyNumberFormat="1" applyFont="1" applyBorder="1" applyAlignment="1">
      <alignment horizontal="right"/>
    </xf>
    <xf numFmtId="166" fontId="4" fillId="0" borderId="8" xfId="2" quotePrefix="1" applyNumberFormat="1" applyFont="1" applyBorder="1" applyAlignment="1">
      <alignment horizontal="right"/>
    </xf>
    <xf numFmtId="10" fontId="4" fillId="0" borderId="0" xfId="2" applyNumberFormat="1" applyFont="1" applyAlignment="1">
      <alignment horizontal="right"/>
    </xf>
    <xf numFmtId="0" fontId="4" fillId="0" borderId="10" xfId="0" applyFont="1" applyBorder="1" applyAlignment="1">
      <alignment horizontal="left"/>
    </xf>
    <xf numFmtId="43" fontId="55" fillId="0" borderId="0" xfId="0" applyNumberFormat="1" applyFont="1" applyAlignment="1">
      <alignment horizontal="left"/>
    </xf>
    <xf numFmtId="164" fontId="63" fillId="0" borderId="5" xfId="1" quotePrefix="1" applyNumberFormat="1" applyFont="1" applyBorder="1" applyAlignment="1">
      <alignment horizontal="right"/>
    </xf>
    <xf numFmtId="166" fontId="63" fillId="0" borderId="5" xfId="2" quotePrefix="1" applyNumberFormat="1" applyFont="1" applyBorder="1" applyAlignment="1">
      <alignment horizontal="right"/>
    </xf>
    <xf numFmtId="165" fontId="64" fillId="11" borderId="5" xfId="1" applyNumberFormat="1" applyFont="1" applyFill="1" applyBorder="1" applyAlignment="1">
      <alignment horizontal="right"/>
    </xf>
    <xf numFmtId="165" fontId="63" fillId="11" borderId="5" xfId="1" applyNumberFormat="1" applyFont="1" applyFill="1" applyBorder="1" applyAlignment="1">
      <alignment horizontal="right"/>
    </xf>
    <xf numFmtId="165" fontId="54" fillId="3" borderId="0" xfId="1" quotePrefix="1" applyNumberFormat="1" applyFont="1" applyFill="1" applyAlignment="1">
      <alignment horizontal="right"/>
    </xf>
    <xf numFmtId="165" fontId="54" fillId="3" borderId="5" xfId="1" quotePrefix="1" applyNumberFormat="1" applyFont="1" applyFill="1" applyBorder="1" applyAlignment="1">
      <alignment horizontal="right"/>
    </xf>
    <xf numFmtId="165" fontId="63" fillId="0" borderId="8" xfId="1" applyNumberFormat="1" applyFont="1" applyBorder="1" applyAlignment="1">
      <alignment horizontal="right"/>
    </xf>
    <xf numFmtId="165" fontId="4" fillId="11" borderId="31" xfId="1" applyNumberFormat="1" applyFont="1" applyFill="1" applyBorder="1" applyAlignment="1">
      <alignment horizontal="right"/>
    </xf>
    <xf numFmtId="165" fontId="62" fillId="11" borderId="32" xfId="1" applyNumberFormat="1" applyFont="1" applyFill="1" applyBorder="1" applyAlignment="1">
      <alignment horizontal="right"/>
    </xf>
    <xf numFmtId="165" fontId="64" fillId="11" borderId="0" xfId="1" applyNumberFormat="1" applyFont="1" applyFill="1" applyAlignment="1">
      <alignment horizontal="right"/>
    </xf>
    <xf numFmtId="165" fontId="62" fillId="0" borderId="32" xfId="1" applyNumberFormat="1" applyFont="1" applyBorder="1" applyAlignment="1">
      <alignment horizontal="right"/>
    </xf>
    <xf numFmtId="165" fontId="62" fillId="9" borderId="31" xfId="1" applyNumberFormat="1" applyFont="1" applyFill="1" applyBorder="1" applyAlignment="1">
      <alignment horizontal="right"/>
    </xf>
    <xf numFmtId="165" fontId="62" fillId="11" borderId="31" xfId="1" applyNumberFormat="1" applyFont="1" applyFill="1" applyBorder="1" applyAlignment="1">
      <alignment horizontal="right"/>
    </xf>
    <xf numFmtId="165" fontId="63" fillId="11" borderId="32" xfId="1" applyNumberFormat="1" applyFont="1" applyFill="1" applyBorder="1" applyAlignment="1">
      <alignment horizontal="right"/>
    </xf>
    <xf numFmtId="0" fontId="82" fillId="0" borderId="33" xfId="0" applyFont="1" applyBorder="1" applyAlignment="1">
      <alignment vertical="top"/>
    </xf>
    <xf numFmtId="0" fontId="0" fillId="0" borderId="5" xfId="0" applyBorder="1" applyAlignment="1">
      <alignment horizontal="left" vertical="top" wrapText="1"/>
    </xf>
    <xf numFmtId="0" fontId="0" fillId="0" borderId="42" xfId="0" applyBorder="1" applyAlignment="1">
      <alignment horizontal="left" vertical="top" wrapText="1"/>
    </xf>
    <xf numFmtId="0" fontId="2" fillId="0" borderId="5" xfId="0" applyFont="1" applyBorder="1" applyAlignment="1">
      <alignment horizontal="left" vertical="top" wrapText="1"/>
    </xf>
    <xf numFmtId="0" fontId="0" fillId="0" borderId="32"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xf>
    <xf numFmtId="0" fontId="83" fillId="0" borderId="42" xfId="0" applyFont="1" applyBorder="1" applyAlignment="1">
      <alignment horizontal="left" vertical="top" wrapText="1"/>
    </xf>
    <xf numFmtId="0" fontId="83" fillId="0" borderId="32" xfId="0" applyFont="1" applyBorder="1" applyAlignment="1">
      <alignment horizontal="left" vertical="top" wrapText="1"/>
    </xf>
    <xf numFmtId="0" fontId="2" fillId="0" borderId="42" xfId="0" applyFont="1" applyBorder="1" applyAlignment="1">
      <alignment horizontal="left" vertical="top" wrapText="1"/>
    </xf>
    <xf numFmtId="0" fontId="0" fillId="0" borderId="29" xfId="0" applyBorder="1" applyAlignment="1">
      <alignment horizontal="left" vertical="top" wrapText="1"/>
    </xf>
    <xf numFmtId="0" fontId="62" fillId="0" borderId="4" xfId="0" applyFont="1" applyBorder="1" applyAlignment="1">
      <alignment horizontal="left"/>
    </xf>
    <xf numFmtId="0" fontId="62" fillId="0" borderId="10" xfId="0" applyFont="1" applyBorder="1" applyAlignment="1">
      <alignment horizontal="left"/>
    </xf>
    <xf numFmtId="0" fontId="85" fillId="0" borderId="0" xfId="0" applyFont="1"/>
    <xf numFmtId="0" fontId="4" fillId="0" borderId="0" xfId="0" applyFont="1" applyFill="1"/>
    <xf numFmtId="0" fontId="77" fillId="0" borderId="45" xfId="0" applyFont="1" applyBorder="1" applyAlignment="1">
      <alignment horizontal="left" indent="1"/>
    </xf>
    <xf numFmtId="165" fontId="62" fillId="0" borderId="0" xfId="1" applyNumberFormat="1" applyFont="1" applyFill="1" applyAlignment="1">
      <alignment horizontal="right"/>
    </xf>
    <xf numFmtId="165" fontId="62" fillId="0" borderId="5" xfId="1" applyNumberFormat="1" applyFont="1" applyFill="1" applyBorder="1" applyAlignment="1">
      <alignment horizontal="right"/>
    </xf>
    <xf numFmtId="43" fontId="62" fillId="0" borderId="0" xfId="1" applyNumberFormat="1" applyFont="1" applyFill="1" applyAlignment="1">
      <alignment horizontal="right"/>
    </xf>
    <xf numFmtId="164" fontId="63" fillId="0" borderId="0" xfId="1" applyNumberFormat="1" applyFont="1" applyFill="1" applyAlignment="1">
      <alignment horizontal="right"/>
    </xf>
    <xf numFmtId="164" fontId="64" fillId="0" borderId="0" xfId="1" applyNumberFormat="1" applyFont="1" applyFill="1" applyAlignment="1">
      <alignment horizontal="right"/>
    </xf>
    <xf numFmtId="164" fontId="62" fillId="0" borderId="0" xfId="1" applyNumberFormat="1" applyFont="1" applyFill="1" applyAlignment="1">
      <alignment horizontal="right"/>
    </xf>
    <xf numFmtId="164" fontId="54" fillId="0" borderId="0" xfId="1" applyNumberFormat="1" applyFont="1" applyFill="1" applyAlignment="1">
      <alignment horizontal="right"/>
    </xf>
    <xf numFmtId="164" fontId="80" fillId="0" borderId="31" xfId="1" applyNumberFormat="1" applyFont="1" applyFill="1" applyBorder="1" applyAlignment="1">
      <alignment horizontal="right"/>
    </xf>
    <xf numFmtId="164" fontId="77" fillId="0" borderId="30" xfId="1" applyNumberFormat="1" applyFont="1" applyFill="1" applyBorder="1" applyAlignment="1">
      <alignment horizontal="right"/>
    </xf>
    <xf numFmtId="164" fontId="81" fillId="0" borderId="31" xfId="1" applyNumberFormat="1" applyFont="1" applyFill="1" applyBorder="1" applyAlignment="1">
      <alignment horizontal="right"/>
    </xf>
    <xf numFmtId="43" fontId="63" fillId="0" borderId="0" xfId="1" applyFont="1" applyFill="1" applyAlignment="1">
      <alignment horizontal="right"/>
    </xf>
    <xf numFmtId="43" fontId="77" fillId="0" borderId="44" xfId="1" applyFont="1" applyFill="1" applyBorder="1" applyAlignment="1">
      <alignment horizontal="right"/>
    </xf>
    <xf numFmtId="43" fontId="62" fillId="0" borderId="7" xfId="1" applyFont="1" applyFill="1" applyBorder="1" applyAlignment="1">
      <alignment horizontal="right"/>
    </xf>
    <xf numFmtId="0" fontId="55" fillId="0" borderId="0" xfId="0" applyFont="1" applyFill="1"/>
    <xf numFmtId="43" fontId="76" fillId="0" borderId="0" xfId="1" applyFont="1" applyFill="1"/>
    <xf numFmtId="165" fontId="64" fillId="0" borderId="0" xfId="1" applyNumberFormat="1" applyFont="1" applyFill="1" applyAlignment="1">
      <alignment horizontal="right"/>
    </xf>
    <xf numFmtId="7" fontId="62" fillId="0" borderId="0" xfId="1" applyNumberFormat="1" applyFont="1" applyFill="1" applyAlignment="1">
      <alignment horizontal="right"/>
    </xf>
    <xf numFmtId="0" fontId="76" fillId="0" borderId="0" xfId="0" applyFont="1" applyFill="1"/>
    <xf numFmtId="164" fontId="62" fillId="0" borderId="5" xfId="1" applyNumberFormat="1" applyFont="1" applyFill="1" applyBorder="1" applyAlignment="1">
      <alignment horizontal="right"/>
    </xf>
    <xf numFmtId="164" fontId="63" fillId="0" borderId="5" xfId="1" applyNumberFormat="1" applyFont="1" applyFill="1" applyBorder="1" applyAlignment="1">
      <alignment horizontal="right"/>
    </xf>
    <xf numFmtId="164" fontId="76" fillId="0" borderId="0" xfId="1" applyNumberFormat="1" applyFont="1" applyFill="1" applyAlignment="1">
      <alignment horizontal="right"/>
    </xf>
    <xf numFmtId="166" fontId="62" fillId="0" borderId="0" xfId="2" applyNumberFormat="1" applyFont="1" applyFill="1" applyAlignment="1">
      <alignment horizontal="left"/>
    </xf>
    <xf numFmtId="165" fontId="62" fillId="0" borderId="0" xfId="1" quotePrefix="1" applyNumberFormat="1" applyFont="1" applyFill="1" applyAlignment="1">
      <alignment horizontal="right"/>
    </xf>
    <xf numFmtId="166" fontId="62" fillId="0" borderId="0" xfId="2" applyNumberFormat="1" applyFont="1" applyFill="1" applyAlignment="1">
      <alignment horizontal="right"/>
    </xf>
    <xf numFmtId="167" fontId="62" fillId="0" borderId="0" xfId="1" applyNumberFormat="1" applyFont="1" applyFill="1" applyAlignment="1">
      <alignment horizontal="right"/>
    </xf>
    <xf numFmtId="164" fontId="63" fillId="0" borderId="30" xfId="1" applyNumberFormat="1" applyFont="1" applyFill="1" applyBorder="1" applyAlignment="1">
      <alignment horizontal="right"/>
    </xf>
    <xf numFmtId="43" fontId="77" fillId="0" borderId="42" xfId="1" applyFont="1" applyFill="1" applyBorder="1" applyAlignment="1">
      <alignment horizontal="right"/>
    </xf>
    <xf numFmtId="43" fontId="77" fillId="0" borderId="44" xfId="1" applyNumberFormat="1" applyFont="1" applyFill="1" applyBorder="1" applyAlignment="1">
      <alignment horizontal="right"/>
    </xf>
    <xf numFmtId="166" fontId="76" fillId="0" borderId="0" xfId="2" applyNumberFormat="1" applyFont="1" applyFill="1" applyAlignment="1">
      <alignment horizontal="right"/>
    </xf>
    <xf numFmtId="164" fontId="64" fillId="0" borderId="5" xfId="1" applyNumberFormat="1" applyFont="1" applyFill="1" applyBorder="1" applyAlignment="1">
      <alignment horizontal="right"/>
    </xf>
    <xf numFmtId="165" fontId="63" fillId="0" borderId="0" xfId="1" applyNumberFormat="1" applyFont="1" applyFill="1" applyAlignment="1">
      <alignment horizontal="right"/>
    </xf>
    <xf numFmtId="165" fontId="63" fillId="0" borderId="31" xfId="1" applyNumberFormat="1" applyFont="1" applyFill="1" applyBorder="1" applyAlignment="1">
      <alignment horizontal="right"/>
    </xf>
    <xf numFmtId="9" fontId="62" fillId="0" borderId="0" xfId="2" applyFont="1" applyFill="1" applyAlignment="1">
      <alignment horizontal="right"/>
    </xf>
    <xf numFmtId="167" fontId="76" fillId="0" borderId="0" xfId="1" applyNumberFormat="1" applyFont="1" applyFill="1" applyAlignment="1">
      <alignment horizontal="right"/>
    </xf>
    <xf numFmtId="164" fontId="62" fillId="0" borderId="0" xfId="2" applyNumberFormat="1" applyFont="1" applyFill="1" applyAlignment="1">
      <alignment horizontal="right"/>
    </xf>
    <xf numFmtId="164" fontId="64" fillId="0" borderId="0" xfId="2" applyNumberFormat="1" applyFont="1" applyFill="1" applyAlignment="1">
      <alignment horizontal="right"/>
    </xf>
    <xf numFmtId="9" fontId="62" fillId="0" borderId="30" xfId="2" applyFont="1" applyFill="1" applyBorder="1" applyAlignment="1">
      <alignment horizontal="right"/>
    </xf>
    <xf numFmtId="165" fontId="76" fillId="0" borderId="0" xfId="1" applyNumberFormat="1" applyFont="1" applyFill="1" applyAlignment="1">
      <alignment horizontal="right"/>
    </xf>
    <xf numFmtId="165" fontId="62" fillId="0" borderId="5" xfId="1" quotePrefix="1" applyNumberFormat="1" applyFont="1" applyFill="1" applyBorder="1" applyAlignment="1">
      <alignment horizontal="right"/>
    </xf>
    <xf numFmtId="10" fontId="66" fillId="0" borderId="0" xfId="2" applyNumberFormat="1" applyFont="1" applyAlignment="1">
      <alignment horizontal="right"/>
    </xf>
    <xf numFmtId="164" fontId="64" fillId="9" borderId="0" xfId="2" applyNumberFormat="1" applyFont="1" applyFill="1" applyAlignment="1">
      <alignment horizontal="right"/>
    </xf>
    <xf numFmtId="0" fontId="62" fillId="0" borderId="3" xfId="0" applyFont="1" applyBorder="1" applyAlignment="1">
      <alignment horizontal="left"/>
    </xf>
    <xf numFmtId="0" fontId="63" fillId="0" borderId="3" xfId="0" applyFont="1" applyBorder="1" applyAlignment="1">
      <alignment horizontal="left" indent="1"/>
    </xf>
    <xf numFmtId="0" fontId="63" fillId="0" borderId="4" xfId="0" applyFont="1" applyBorder="1" applyAlignment="1">
      <alignment horizontal="left" indent="1"/>
    </xf>
    <xf numFmtId="0" fontId="62" fillId="11" borderId="3" xfId="0" applyFont="1" applyFill="1" applyBorder="1" applyAlignment="1">
      <alignment horizontal="left"/>
    </xf>
    <xf numFmtId="0" fontId="62" fillId="11" borderId="4" xfId="0" applyFont="1" applyFill="1" applyBorder="1" applyAlignment="1">
      <alignment horizontal="left"/>
    </xf>
    <xf numFmtId="0" fontId="63" fillId="0" borderId="3"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4"/>
    </xf>
    <xf numFmtId="0" fontId="76" fillId="0" borderId="25" xfId="0" applyFont="1" applyBorder="1" applyAlignment="1">
      <alignment horizontal="left" indent="5"/>
    </xf>
    <xf numFmtId="0" fontId="77" fillId="0" borderId="12" xfId="0" applyFont="1" applyBorder="1" applyAlignment="1">
      <alignment horizontal="left" indent="6"/>
    </xf>
    <xf numFmtId="43" fontId="63" fillId="0" borderId="5" xfId="1" applyFont="1" applyFill="1" applyBorder="1" applyAlignment="1">
      <alignment horizontal="right"/>
    </xf>
    <xf numFmtId="164" fontId="54" fillId="0" borderId="5"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33" xfId="1" quotePrefix="1" applyNumberFormat="1" applyFont="1" applyFill="1" applyBorder="1" applyAlignment="1">
      <alignment horizontal="right"/>
    </xf>
    <xf numFmtId="165" fontId="62" fillId="0" borderId="31" xfId="1" applyNumberFormat="1" applyFont="1" applyFill="1" applyBorder="1" applyAlignment="1">
      <alignment horizontal="right"/>
    </xf>
    <xf numFmtId="165" fontId="4" fillId="11" borderId="0" xfId="1" applyNumberFormat="1" applyFont="1" applyFill="1" applyAlignment="1">
      <alignment horizontal="right"/>
    </xf>
    <xf numFmtId="165" fontId="4" fillId="0" borderId="31" xfId="1" applyNumberFormat="1" applyFont="1" applyFill="1" applyBorder="1" applyAlignment="1">
      <alignment horizontal="right"/>
    </xf>
    <xf numFmtId="165" fontId="4" fillId="0" borderId="0" xfId="1" applyNumberFormat="1" applyFont="1" applyAlignment="1">
      <alignment horizontal="left"/>
    </xf>
    <xf numFmtId="9" fontId="62" fillId="0" borderId="8" xfId="2" quotePrefix="1" applyFont="1" applyFill="1" applyBorder="1" applyAlignment="1">
      <alignment horizontal="right"/>
    </xf>
    <xf numFmtId="9" fontId="62" fillId="0" borderId="0" xfId="2" quotePrefix="1" applyFont="1" applyFill="1" applyAlignment="1">
      <alignment horizontal="right"/>
    </xf>
    <xf numFmtId="166" fontId="62" fillId="0" borderId="0" xfId="2" quotePrefix="1" applyNumberFormat="1" applyFont="1" applyFill="1" applyAlignment="1">
      <alignment horizontal="right"/>
    </xf>
    <xf numFmtId="166" fontId="62" fillId="0" borderId="5" xfId="2" quotePrefix="1" applyNumberFormat="1" applyFont="1" applyFill="1" applyBorder="1" applyAlignment="1">
      <alignment horizontal="right"/>
    </xf>
    <xf numFmtId="0" fontId="62" fillId="0" borderId="0" xfId="0" applyFont="1" applyFill="1"/>
    <xf numFmtId="164" fontId="62" fillId="0" borderId="0" xfId="1" quotePrefix="1" applyNumberFormat="1" applyFont="1" applyFill="1" applyAlignment="1">
      <alignment horizontal="right"/>
    </xf>
    <xf numFmtId="164" fontId="62" fillId="0" borderId="5" xfId="1" quotePrefix="1" applyNumberFormat="1" applyFont="1" applyFill="1" applyBorder="1" applyAlignment="1">
      <alignment horizontal="right"/>
    </xf>
    <xf numFmtId="43" fontId="62" fillId="0" borderId="5" xfId="1" quotePrefix="1" applyFont="1" applyFill="1" applyBorder="1" applyAlignment="1">
      <alignment horizontal="right"/>
    </xf>
    <xf numFmtId="9" fontId="62" fillId="0" borderId="5" xfId="2" applyFont="1" applyFill="1" applyBorder="1" applyAlignment="1">
      <alignment horizontal="right"/>
    </xf>
    <xf numFmtId="166" fontId="62" fillId="0" borderId="7" xfId="2" applyNumberFormat="1" applyFont="1" applyFill="1" applyBorder="1" applyAlignment="1">
      <alignment horizontal="right"/>
    </xf>
    <xf numFmtId="166" fontId="62" fillId="0" borderId="8" xfId="2" quotePrefix="1" applyNumberFormat="1" applyFont="1" applyFill="1" applyBorder="1" applyAlignment="1">
      <alignment horizontal="right"/>
    </xf>
    <xf numFmtId="166" fontId="62" fillId="0" borderId="7" xfId="2" quotePrefix="1" applyNumberFormat="1" applyFont="1" applyFill="1" applyBorder="1" applyAlignment="1">
      <alignment horizontal="right"/>
    </xf>
    <xf numFmtId="0" fontId="62" fillId="0" borderId="3" xfId="0" applyFont="1" applyFill="1" applyBorder="1" applyAlignment="1">
      <alignment horizontal="left"/>
    </xf>
    <xf numFmtId="0" fontId="57" fillId="0" borderId="4" xfId="0" applyFont="1" applyFill="1" applyBorder="1" applyAlignment="1">
      <alignment horizontal="left"/>
    </xf>
    <xf numFmtId="43" fontId="66" fillId="0" borderId="0" xfId="1" applyFont="1" applyFill="1" applyAlignment="1">
      <alignment horizontal="right"/>
    </xf>
    <xf numFmtId="9" fontId="66" fillId="0" borderId="0" xfId="2" applyFont="1" applyFill="1" applyAlignment="1">
      <alignment horizontal="right"/>
    </xf>
    <xf numFmtId="9" fontId="4" fillId="0" borderId="0" xfId="2" applyFont="1" applyFill="1" applyAlignment="1">
      <alignment horizontal="right"/>
    </xf>
    <xf numFmtId="165" fontId="66" fillId="0" borderId="0" xfId="2" applyNumberFormat="1" applyFont="1" applyFill="1" applyAlignment="1">
      <alignment horizontal="right"/>
    </xf>
    <xf numFmtId="165" fontId="76" fillId="0" borderId="5" xfId="1" quotePrefix="1" applyNumberFormat="1" applyFont="1" applyFill="1" applyBorder="1" applyAlignment="1">
      <alignment horizontal="right"/>
    </xf>
    <xf numFmtId="165" fontId="74" fillId="0" borderId="5" xfId="1" quotePrefix="1" applyNumberFormat="1" applyFont="1" applyFill="1" applyBorder="1" applyAlignment="1">
      <alignment horizontal="right"/>
    </xf>
    <xf numFmtId="164" fontId="63" fillId="0" borderId="29" xfId="1" quotePrefix="1" applyNumberFormat="1" applyFont="1" applyFill="1" applyBorder="1" applyAlignment="1">
      <alignment horizontal="right"/>
    </xf>
    <xf numFmtId="164" fontId="62" fillId="0" borderId="32"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4" fillId="0" borderId="5" xfId="2" applyNumberFormat="1" applyFont="1" applyFill="1" applyBorder="1" applyAlignment="1">
      <alignment horizontal="right"/>
    </xf>
    <xf numFmtId="164" fontId="63" fillId="0" borderId="5" xfId="1" quotePrefix="1" applyNumberFormat="1" applyFont="1" applyFill="1" applyBorder="1" applyAlignment="1">
      <alignment horizontal="right"/>
    </xf>
    <xf numFmtId="166" fontId="63" fillId="0" borderId="5" xfId="2" quotePrefix="1" applyNumberFormat="1" applyFont="1" applyFill="1" applyBorder="1" applyAlignment="1">
      <alignment horizontal="right"/>
    </xf>
    <xf numFmtId="9" fontId="63" fillId="0" borderId="5" xfId="2" applyFont="1" applyFill="1" applyBorder="1" applyAlignment="1">
      <alignment horizontal="right"/>
    </xf>
    <xf numFmtId="43" fontId="76" fillId="0" borderId="5" xfId="1" quotePrefix="1" applyFont="1" applyFill="1" applyBorder="1" applyAlignment="1">
      <alignment horizontal="right"/>
    </xf>
    <xf numFmtId="0" fontId="62" fillId="0" borderId="3" xfId="0" applyFont="1" applyFill="1" applyBorder="1" applyAlignment="1">
      <alignment horizontal="left" indent="2"/>
    </xf>
    <xf numFmtId="0" fontId="4" fillId="0" borderId="4" xfId="0" applyFont="1" applyFill="1" applyBorder="1"/>
    <xf numFmtId="0" fontId="63" fillId="0" borderId="0" xfId="0" applyFont="1" applyFill="1"/>
    <xf numFmtId="0" fontId="63" fillId="0" borderId="3" xfId="0" applyFont="1" applyFill="1" applyBorder="1" applyAlignment="1">
      <alignment horizontal="left" indent="4"/>
    </xf>
    <xf numFmtId="0" fontId="63" fillId="0" borderId="4" xfId="0" applyFont="1" applyFill="1" applyBorder="1"/>
    <xf numFmtId="0" fontId="63" fillId="0" borderId="3" xfId="0" applyFont="1" applyFill="1" applyBorder="1" applyAlignment="1">
      <alignment horizontal="left" indent="5"/>
    </xf>
    <xf numFmtId="0" fontId="55" fillId="0" borderId="4" xfId="0" applyFont="1" applyFill="1" applyBorder="1"/>
    <xf numFmtId="0" fontId="78" fillId="0" borderId="0" xfId="0" applyFont="1" applyFill="1"/>
    <xf numFmtId="166" fontId="62" fillId="0" borderId="5" xfId="2" applyNumberFormat="1" applyFont="1" applyFill="1" applyBorder="1" applyAlignment="1">
      <alignment horizontal="right"/>
    </xf>
    <xf numFmtId="43" fontId="64" fillId="0" borderId="0" xfId="1" applyNumberFormat="1" applyFont="1" applyFill="1" applyAlignment="1">
      <alignment horizontal="right"/>
    </xf>
    <xf numFmtId="164" fontId="80" fillId="0" borderId="32" xfId="1" applyNumberFormat="1" applyFont="1" applyFill="1" applyBorder="1" applyAlignment="1">
      <alignment horizontal="right"/>
    </xf>
    <xf numFmtId="164" fontId="77" fillId="0" borderId="29" xfId="1" applyNumberFormat="1" applyFont="1" applyFill="1" applyBorder="1" applyAlignment="1">
      <alignment horizontal="right"/>
    </xf>
    <xf numFmtId="164" fontId="81" fillId="0" borderId="32" xfId="1" applyNumberFormat="1" applyFont="1" applyFill="1" applyBorder="1" applyAlignment="1">
      <alignment horizontal="right"/>
    </xf>
    <xf numFmtId="43" fontId="63" fillId="0" borderId="8" xfId="1" applyFont="1" applyFill="1" applyBorder="1" applyAlignment="1">
      <alignment horizontal="right"/>
    </xf>
    <xf numFmtId="166" fontId="66" fillId="0" borderId="0" xfId="2" applyNumberFormat="1" applyFont="1" applyFill="1" applyAlignment="1">
      <alignment horizontal="right"/>
    </xf>
    <xf numFmtId="165" fontId="62" fillId="10" borderId="0" xfId="1" applyNumberFormat="1" applyFont="1" applyFill="1" applyAlignment="1">
      <alignment horizontal="right"/>
    </xf>
    <xf numFmtId="164" fontId="62" fillId="0" borderId="0" xfId="1" applyNumberFormat="1" applyFont="1" applyBorder="1" applyAlignment="1">
      <alignment horizontal="right"/>
    </xf>
    <xf numFmtId="164" fontId="62" fillId="0" borderId="30" xfId="1" applyNumberFormat="1" applyFont="1" applyBorder="1" applyAlignment="1">
      <alignment horizontal="right"/>
    </xf>
    <xf numFmtId="164" fontId="62" fillId="0" borderId="29" xfId="1" applyNumberFormat="1" applyFont="1" applyBorder="1" applyAlignment="1">
      <alignment horizontal="right"/>
    </xf>
    <xf numFmtId="164" fontId="62" fillId="0" borderId="0" xfId="1" applyNumberFormat="1" applyFont="1" applyFill="1" applyBorder="1" applyAlignment="1">
      <alignment horizontal="right"/>
    </xf>
    <xf numFmtId="7" fontId="62" fillId="0" borderId="25" xfId="1" applyNumberFormat="1" applyFont="1" applyBorder="1" applyAlignment="1">
      <alignment horizontal="right"/>
    </xf>
    <xf numFmtId="7" fontId="62" fillId="0" borderId="31" xfId="1" applyNumberFormat="1" applyFont="1" applyFill="1" applyBorder="1" applyAlignment="1">
      <alignment horizontal="right"/>
    </xf>
    <xf numFmtId="165" fontId="62" fillId="0" borderId="3" xfId="1" applyNumberFormat="1" applyFont="1" applyBorder="1" applyAlignment="1">
      <alignment horizontal="right"/>
    </xf>
    <xf numFmtId="165" fontId="62" fillId="0" borderId="0" xfId="1" applyNumberFormat="1" applyFont="1" applyFill="1" applyBorder="1" applyAlignment="1">
      <alignment horizontal="right"/>
    </xf>
    <xf numFmtId="164" fontId="62" fillId="0" borderId="12" xfId="1" applyNumberFormat="1" applyFont="1" applyBorder="1" applyAlignment="1">
      <alignment horizontal="right"/>
    </xf>
    <xf numFmtId="0" fontId="62" fillId="0" borderId="3" xfId="0" applyFont="1" applyBorder="1" applyAlignment="1">
      <alignment horizontal="left"/>
    </xf>
    <xf numFmtId="0" fontId="62" fillId="0" borderId="4" xfId="0" applyFont="1" applyBorder="1" applyAlignment="1">
      <alignment horizontal="left"/>
    </xf>
    <xf numFmtId="166" fontId="63" fillId="10" borderId="0" xfId="2" applyNumberFormat="1" applyFont="1" applyFill="1" applyAlignment="1">
      <alignment horizontal="right"/>
    </xf>
    <xf numFmtId="167" fontId="76" fillId="0" borderId="5" xfId="1" quotePrefix="1" applyNumberFormat="1" applyFont="1" applyBorder="1" applyAlignment="1">
      <alignment horizontal="right"/>
    </xf>
    <xf numFmtId="167" fontId="76" fillId="0" borderId="5" xfId="1" quotePrefix="1" applyNumberFormat="1" applyFont="1" applyFill="1" applyBorder="1" applyAlignment="1">
      <alignment horizontal="right"/>
    </xf>
    <xf numFmtId="9" fontId="75" fillId="0" borderId="5" xfId="2" applyFont="1" applyFill="1" applyBorder="1" applyAlignment="1">
      <alignment horizontal="right"/>
    </xf>
    <xf numFmtId="229" fontId="63" fillId="0" borderId="5" xfId="2" applyNumberFormat="1" applyFont="1" applyFill="1" applyBorder="1" applyAlignment="1">
      <alignment horizontal="right"/>
    </xf>
    <xf numFmtId="165" fontId="62" fillId="10" borderId="5" xfId="1" quotePrefix="1" applyNumberFormat="1" applyFont="1" applyFill="1" applyBorder="1" applyAlignment="1">
      <alignment horizontal="right"/>
    </xf>
    <xf numFmtId="166" fontId="62" fillId="10" borderId="29" xfId="2" quotePrefix="1" applyNumberFormat="1" applyFont="1" applyFill="1" applyBorder="1" applyAlignment="1">
      <alignment horizontal="right"/>
    </xf>
    <xf numFmtId="166" fontId="62" fillId="10" borderId="0" xfId="2" applyNumberFormat="1" applyFont="1" applyFill="1" applyAlignment="1">
      <alignment horizontal="right"/>
    </xf>
    <xf numFmtId="164" fontId="64" fillId="10" borderId="5" xfId="1" applyNumberFormat="1" applyFont="1" applyFill="1" applyBorder="1" applyAlignment="1">
      <alignment horizontal="right"/>
    </xf>
    <xf numFmtId="9" fontId="62" fillId="10" borderId="0" xfId="2" applyFont="1" applyFill="1" applyAlignment="1">
      <alignment horizontal="right"/>
    </xf>
    <xf numFmtId="43" fontId="63" fillId="10" borderId="0" xfId="1" applyFont="1" applyFill="1" applyAlignment="1">
      <alignment horizontal="right"/>
    </xf>
    <xf numFmtId="43" fontId="63" fillId="10" borderId="5" xfId="1" applyFont="1" applyFill="1" applyBorder="1" applyAlignment="1">
      <alignment horizontal="right"/>
    </xf>
    <xf numFmtId="9" fontId="4" fillId="0" borderId="0" xfId="2" applyFont="1" applyAlignment="1">
      <alignment horizontal="left"/>
    </xf>
    <xf numFmtId="43" fontId="77" fillId="10" borderId="42" xfId="1" applyFont="1" applyFill="1" applyBorder="1" applyAlignment="1">
      <alignment horizontal="right"/>
    </xf>
    <xf numFmtId="165" fontId="62" fillId="10" borderId="5" xfId="1" applyNumberFormat="1" applyFont="1" applyFill="1" applyBorder="1" applyAlignment="1">
      <alignment horizontal="right"/>
    </xf>
    <xf numFmtId="9" fontId="62" fillId="10" borderId="5" xfId="2" applyFont="1" applyFill="1" applyBorder="1" applyAlignment="1">
      <alignment horizontal="righ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0" borderId="6" xfId="0" applyFont="1" applyFill="1" applyBorder="1" applyAlignment="1">
      <alignment horizontal="left" indent="2"/>
    </xf>
    <xf numFmtId="0" fontId="62" fillId="0" borderId="10" xfId="0" applyFont="1" applyFill="1" applyBorder="1" applyAlignment="1">
      <alignment horizontal="left" indent="1"/>
    </xf>
    <xf numFmtId="165" fontId="4" fillId="11" borderId="31" xfId="1" applyNumberFormat="1" applyFont="1" applyFill="1" applyBorder="1" applyAlignment="1">
      <alignment horizontal="left"/>
    </xf>
    <xf numFmtId="165" fontId="62" fillId="0" borderId="31" xfId="1" applyNumberFormat="1" applyFont="1" applyBorder="1" applyAlignment="1">
      <alignment horizontal="right"/>
    </xf>
    <xf numFmtId="166" fontId="4" fillId="0" borderId="0" xfId="1" applyNumberFormat="1" applyFont="1"/>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5" fillId="0" borderId="9" xfId="1" applyNumberFormat="1" applyFont="1" applyFill="1" applyBorder="1" applyAlignment="1">
      <alignment horizontal="right"/>
    </xf>
    <xf numFmtId="9" fontId="75" fillId="0" borderId="0" xfId="2" applyFont="1" applyFill="1" applyAlignment="1">
      <alignment horizontal="right"/>
    </xf>
    <xf numFmtId="9" fontId="63" fillId="0" borderId="0" xfId="2" applyFont="1" applyFill="1" applyAlignment="1">
      <alignment horizontal="right"/>
    </xf>
    <xf numFmtId="9" fontId="63" fillId="0" borderId="0" xfId="2" applyNumberFormat="1" applyFont="1" applyFill="1" applyAlignment="1">
      <alignment horizontal="right"/>
    </xf>
    <xf numFmtId="164" fontId="55" fillId="0" borderId="29" xfId="1" quotePrefix="1" applyNumberFormat="1" applyFont="1" applyFill="1" applyBorder="1" applyAlignment="1">
      <alignment horizontal="right"/>
    </xf>
    <xf numFmtId="165" fontId="55" fillId="0" borderId="5" xfId="1" quotePrefix="1" applyNumberFormat="1" applyFont="1" applyFill="1" applyBorder="1" applyAlignment="1">
      <alignment horizontal="right"/>
    </xf>
    <xf numFmtId="165" fontId="4" fillId="0" borderId="29" xfId="1" quotePrefix="1" applyNumberFormat="1" applyFont="1" applyFill="1" applyBorder="1" applyAlignment="1">
      <alignment horizontal="right"/>
    </xf>
    <xf numFmtId="164" fontId="63" fillId="0" borderId="0" xfId="2" applyNumberFormat="1" applyFont="1" applyFill="1" applyAlignment="1">
      <alignment horizontal="right"/>
    </xf>
    <xf numFmtId="166" fontId="63" fillId="0" borderId="0" xfId="2" applyNumberFormat="1" applyFont="1" applyFill="1" applyAlignment="1">
      <alignment horizontal="right"/>
    </xf>
    <xf numFmtId="228" fontId="4" fillId="0" borderId="5" xfId="1" quotePrefix="1" applyNumberFormat="1" applyFont="1" applyFill="1" applyBorder="1" applyAlignment="1">
      <alignment horizontal="right"/>
    </xf>
    <xf numFmtId="43" fontId="62" fillId="0" borderId="5" xfId="1" applyNumberFormat="1" applyFont="1" applyFill="1" applyBorder="1" applyAlignment="1">
      <alignment horizontal="right"/>
    </xf>
    <xf numFmtId="43" fontId="64" fillId="0" borderId="5" xfId="1" applyNumberFormat="1" applyFont="1" applyFill="1" applyBorder="1" applyAlignment="1">
      <alignment horizontal="right"/>
    </xf>
    <xf numFmtId="0" fontId="62" fillId="11" borderId="0" xfId="0" applyFont="1" applyFill="1" applyBorder="1" applyAlignment="1">
      <alignment horizontal="left"/>
    </xf>
    <xf numFmtId="0" fontId="63" fillId="11" borderId="3" xfId="0" applyFont="1" applyFill="1" applyBorder="1" applyAlignment="1">
      <alignment horizontal="left" indent="1"/>
    </xf>
    <xf numFmtId="165" fontId="4" fillId="0" borderId="0" xfId="0" applyNumberFormat="1" applyFont="1" applyAlignment="1">
      <alignment horizontal="left"/>
    </xf>
    <xf numFmtId="165" fontId="4" fillId="0" borderId="0" xfId="1" applyNumberFormat="1" applyFont="1" applyFill="1"/>
    <xf numFmtId="43" fontId="4" fillId="0" borderId="0" xfId="1" applyFont="1"/>
    <xf numFmtId="14" fontId="0" fillId="0" borderId="3" xfId="0" applyNumberFormat="1" applyBorder="1"/>
    <xf numFmtId="43" fontId="0" fillId="0" borderId="0" xfId="1" applyFont="1" applyFill="1" applyBorder="1"/>
    <xf numFmtId="43" fontId="0" fillId="0" borderId="0" xfId="1" applyFont="1" applyBorder="1"/>
    <xf numFmtId="14" fontId="0" fillId="0" borderId="6" xfId="0" applyNumberFormat="1" applyBorder="1"/>
    <xf numFmtId="43" fontId="0" fillId="0" borderId="7" xfId="1" applyFont="1" applyBorder="1"/>
    <xf numFmtId="166" fontId="0" fillId="0" borderId="38" xfId="2" applyNumberFormat="1" applyFont="1" applyBorder="1"/>
    <xf numFmtId="0" fontId="2" fillId="0" borderId="0" xfId="0" applyFont="1" applyFill="1" applyAlignment="1">
      <alignment horizontal="right"/>
    </xf>
    <xf numFmtId="10" fontId="2" fillId="0" borderId="0" xfId="0" applyNumberFormat="1" applyFont="1" applyFill="1"/>
    <xf numFmtId="226" fontId="62" fillId="0" borderId="4" xfId="2" applyNumberFormat="1" applyFont="1" applyFill="1" applyBorder="1" applyAlignment="1">
      <alignment horizontal="right"/>
    </xf>
    <xf numFmtId="226" fontId="62" fillId="0" borderId="4" xfId="1" applyNumberFormat="1" applyFont="1" applyFill="1" applyBorder="1" applyAlignment="1">
      <alignment horizontal="right"/>
    </xf>
    <xf numFmtId="9" fontId="62" fillId="0" borderId="0" xfId="2" applyFont="1" applyFill="1" applyAlignment="1">
      <alignment horizontal="left"/>
    </xf>
    <xf numFmtId="164" fontId="4" fillId="0" borderId="0" xfId="1" applyNumberFormat="1" applyFont="1" applyFill="1" applyAlignment="1">
      <alignment horizontal="right"/>
    </xf>
    <xf numFmtId="9" fontId="62" fillId="0" borderId="0" xfId="2" applyNumberFormat="1" applyFont="1" applyAlignment="1">
      <alignment horizontal="right"/>
    </xf>
    <xf numFmtId="9" fontId="62" fillId="0" borderId="5" xfId="2" applyNumberFormat="1" applyFont="1" applyBorder="1" applyAlignment="1">
      <alignment horizontal="right"/>
    </xf>
    <xf numFmtId="0" fontId="63" fillId="0" borderId="23" xfId="0" applyFont="1" applyFill="1" applyBorder="1" applyAlignment="1">
      <alignment horizontal="left"/>
    </xf>
    <xf numFmtId="10" fontId="64" fillId="0" borderId="5" xfId="2" applyNumberFormat="1" applyFont="1" applyBorder="1" applyAlignment="1">
      <alignment horizontal="right"/>
    </xf>
    <xf numFmtId="10" fontId="62" fillId="0" borderId="5" xfId="2" applyNumberFormat="1" applyFont="1" applyBorder="1" applyAlignment="1">
      <alignment horizontal="right"/>
    </xf>
    <xf numFmtId="10" fontId="4" fillId="0" borderId="5" xfId="2" quotePrefix="1" applyNumberFormat="1" applyFont="1" applyBorder="1" applyAlignment="1">
      <alignment horizontal="right"/>
    </xf>
    <xf numFmtId="226" fontId="62" fillId="9" borderId="4" xfId="1" applyNumberFormat="1" applyFont="1" applyFill="1" applyBorder="1" applyAlignment="1">
      <alignment horizontal="right"/>
    </xf>
    <xf numFmtId="0" fontId="62" fillId="0" borderId="0" xfId="0" applyFont="1" applyAlignment="1">
      <alignment horizontal="right"/>
    </xf>
    <xf numFmtId="7" fontId="63" fillId="0" borderId="10" xfId="1" applyNumberFormat="1" applyFont="1" applyBorder="1" applyAlignment="1">
      <alignment horizontal="right"/>
    </xf>
    <xf numFmtId="7" fontId="4" fillId="0" borderId="0" xfId="0" applyNumberFormat="1" applyFont="1" applyAlignment="1">
      <alignment horizontal="right"/>
    </xf>
    <xf numFmtId="0" fontId="71" fillId="0" borderId="38" xfId="0" applyFont="1" applyBorder="1" applyAlignment="1">
      <alignment horizontal="right"/>
    </xf>
    <xf numFmtId="10" fontId="71" fillId="0" borderId="39" xfId="1" applyNumberFormat="1" applyFont="1" applyBorder="1"/>
    <xf numFmtId="43" fontId="62" fillId="12" borderId="7" xfId="1" applyFont="1" applyFill="1" applyBorder="1" applyAlignment="1">
      <alignment horizontal="right"/>
    </xf>
    <xf numFmtId="9" fontId="63" fillId="12" borderId="0" xfId="2" applyFont="1" applyFill="1" applyAlignment="1">
      <alignment horizontal="right"/>
    </xf>
    <xf numFmtId="165" fontId="62" fillId="12" borderId="0" xfId="1" applyNumberFormat="1" applyFont="1" applyFill="1" applyAlignment="1">
      <alignment horizontal="right"/>
    </xf>
    <xf numFmtId="7" fontId="62" fillId="12" borderId="0" xfId="1" applyNumberFormat="1" applyFont="1" applyFill="1" applyAlignment="1">
      <alignment horizontal="right"/>
    </xf>
    <xf numFmtId="9" fontId="62" fillId="0" borderId="31" xfId="2" applyFont="1" applyBorder="1" applyAlignment="1">
      <alignment horizontal="right"/>
    </xf>
    <xf numFmtId="166" fontId="63" fillId="12" borderId="0" xfId="2" applyNumberFormat="1" applyFont="1" applyFill="1" applyAlignment="1">
      <alignment horizontal="right"/>
    </xf>
    <xf numFmtId="166" fontId="76" fillId="12" borderId="0" xfId="2" applyNumberFormat="1" applyFont="1" applyFill="1" applyAlignment="1">
      <alignment horizontal="right"/>
    </xf>
    <xf numFmtId="0" fontId="0" fillId="0" borderId="25" xfId="0" applyBorder="1" applyAlignment="1">
      <alignment horizontal="left"/>
    </xf>
    <xf numFmtId="0" fontId="1" fillId="0" borderId="26"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61" fillId="0" borderId="4" xfId="0" applyFont="1" applyBorder="1" applyAlignment="1">
      <alignment horizontal="center" wrapText="1"/>
    </xf>
    <xf numFmtId="0" fontId="60" fillId="2" borderId="3" xfId="0" applyFont="1" applyFill="1" applyBorder="1" applyAlignment="1">
      <alignment horizontal="left"/>
    </xf>
    <xf numFmtId="0" fontId="60" fillId="2" borderId="4" xfId="0" applyFont="1" applyFill="1" applyBorder="1" applyAlignment="1">
      <alignment horizontal="left"/>
    </xf>
    <xf numFmtId="0" fontId="65" fillId="11" borderId="25" xfId="0" applyFont="1" applyFill="1" applyBorder="1" applyAlignment="1">
      <alignment horizontal="left"/>
    </xf>
    <xf numFmtId="0" fontId="65" fillId="11" borderId="26" xfId="0" applyFont="1" applyFill="1" applyBorder="1" applyAlignment="1">
      <alignment horizontal="left"/>
    </xf>
    <xf numFmtId="0" fontId="63" fillId="0" borderId="3" xfId="0" applyFont="1" applyBorder="1" applyAlignment="1">
      <alignment horizontal="left" indent="1"/>
    </xf>
    <xf numFmtId="0" fontId="63" fillId="0" borderId="4" xfId="0" applyFont="1" applyBorder="1" applyAlignment="1">
      <alignment horizontal="left" indent="1"/>
    </xf>
    <xf numFmtId="0" fontId="65" fillId="0" borderId="3" xfId="0" applyFont="1" applyBorder="1" applyAlignment="1">
      <alignment horizontal="left"/>
    </xf>
    <xf numFmtId="0" fontId="65" fillId="0" borderId="4" xfId="0" applyFont="1" applyBorder="1" applyAlignment="1">
      <alignment horizontal="left"/>
    </xf>
    <xf numFmtId="0" fontId="61" fillId="2" borderId="3" xfId="0" applyFont="1" applyFill="1" applyBorder="1" applyAlignment="1">
      <alignment horizontal="left"/>
    </xf>
    <xf numFmtId="0" fontId="61" fillId="2" borderId="4" xfId="0" applyFont="1" applyFill="1" applyBorder="1" applyAlignment="1">
      <alignment horizontal="left"/>
    </xf>
    <xf numFmtId="0" fontId="63" fillId="0" borderId="6" xfId="0" applyFont="1" applyBorder="1" applyAlignment="1">
      <alignment horizontal="left" indent="2"/>
    </xf>
    <xf numFmtId="0" fontId="63" fillId="0" borderId="10" xfId="0" applyFont="1" applyBorder="1" applyAlignment="1">
      <alignment horizontal="left" indent="2"/>
    </xf>
    <xf numFmtId="0" fontId="62" fillId="0" borderId="3" xfId="0" applyFont="1" applyBorder="1" applyAlignment="1">
      <alignment horizontal="left"/>
    </xf>
    <xf numFmtId="0" fontId="62" fillId="0" borderId="4" xfId="0" applyFont="1" applyBorder="1" applyAlignment="1">
      <alignment horizontal="left"/>
    </xf>
    <xf numFmtId="0" fontId="60" fillId="2" borderId="1" xfId="0" applyFont="1" applyFill="1" applyBorder="1" applyAlignment="1">
      <alignment horizontal="left"/>
    </xf>
    <xf numFmtId="0" fontId="60" fillId="2" borderId="11" xfId="0" applyFont="1" applyFill="1" applyBorder="1" applyAlignment="1">
      <alignment horizontal="left"/>
    </xf>
    <xf numFmtId="0" fontId="62" fillId="11" borderId="3" xfId="0" applyFont="1" applyFill="1" applyBorder="1" applyAlignment="1">
      <alignment horizontal="left"/>
    </xf>
    <xf numFmtId="0" fontId="62" fillId="11" borderId="4" xfId="0" applyFont="1" applyFill="1" applyBorder="1" applyAlignment="1">
      <alignment horizontal="left"/>
    </xf>
    <xf numFmtId="0" fontId="60" fillId="2" borderId="2" xfId="0" applyFont="1" applyFill="1" applyBorder="1" applyAlignment="1">
      <alignment horizontal="left"/>
    </xf>
    <xf numFmtId="0" fontId="62" fillId="0" borderId="27" xfId="0" applyFont="1" applyBorder="1" applyAlignment="1">
      <alignment horizontal="left" vertical="top" wrapText="1"/>
    </xf>
    <xf numFmtId="0" fontId="62" fillId="0" borderId="28" xfId="0" applyFont="1" applyBorder="1" applyAlignment="1">
      <alignment horizontal="left" vertical="top" wrapText="1"/>
    </xf>
    <xf numFmtId="0" fontId="63" fillId="11" borderId="3" xfId="0" applyFont="1" applyFill="1" applyBorder="1" applyAlignment="1">
      <alignment horizontal="left" indent="1"/>
    </xf>
    <xf numFmtId="0" fontId="63" fillId="11" borderId="4" xfId="0" applyFont="1" applyFill="1" applyBorder="1" applyAlignment="1">
      <alignment horizontal="left" indent="1"/>
    </xf>
    <xf numFmtId="0" fontId="4" fillId="0" borderId="2" xfId="0" applyFont="1" applyBorder="1" applyAlignment="1">
      <alignment horizontal="left"/>
    </xf>
    <xf numFmtId="0" fontId="62" fillId="11" borderId="12" xfId="0" applyFont="1" applyFill="1" applyBorder="1" applyAlignment="1">
      <alignment horizontal="left"/>
    </xf>
    <xf numFmtId="0" fontId="62" fillId="11" borderId="13" xfId="0" applyFont="1" applyFill="1" applyBorder="1" applyAlignment="1">
      <alignment horizontal="left"/>
    </xf>
    <xf numFmtId="0" fontId="62" fillId="11" borderId="25" xfId="0" applyFont="1" applyFill="1" applyBorder="1" applyAlignment="1">
      <alignment horizontal="left"/>
    </xf>
    <xf numFmtId="0" fontId="62" fillId="11" borderId="26" xfId="0" applyFont="1" applyFill="1" applyBorder="1" applyAlignment="1">
      <alignment horizontal="left"/>
    </xf>
    <xf numFmtId="0" fontId="62" fillId="0" borderId="6" xfId="0" applyFont="1" applyBorder="1" applyAlignment="1">
      <alignment horizontal="left"/>
    </xf>
    <xf numFmtId="0" fontId="62" fillId="0" borderId="10"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2" fillId="9" borderId="1" xfId="0" applyFont="1" applyFill="1" applyBorder="1" applyAlignment="1">
      <alignment horizontal="left"/>
    </xf>
    <xf numFmtId="0" fontId="62" fillId="9" borderId="11" xfId="0" applyFont="1" applyFill="1" applyBorder="1" applyAlignment="1">
      <alignment horizontal="left"/>
    </xf>
    <xf numFmtId="0" fontId="62" fillId="10" borderId="3" xfId="0" applyFont="1" applyFill="1" applyBorder="1" applyAlignment="1">
      <alignment horizontal="left"/>
    </xf>
    <xf numFmtId="0" fontId="62" fillId="10" borderId="4" xfId="0" applyFont="1" applyFill="1" applyBorder="1" applyAlignment="1">
      <alignment horizontal="left"/>
    </xf>
    <xf numFmtId="0" fontId="62" fillId="13" borderId="6" xfId="0" applyFont="1" applyFill="1" applyBorder="1" applyAlignment="1">
      <alignment horizontal="left"/>
    </xf>
    <xf numFmtId="0" fontId="62" fillId="13" borderId="10" xfId="0" applyFont="1" applyFill="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3" xfId="0" applyFont="1" applyFill="1" applyBorder="1" applyAlignment="1">
      <alignment horizontal="left" indent="1"/>
    </xf>
    <xf numFmtId="0" fontId="63" fillId="0" borderId="4" xfId="0" applyFont="1" applyFill="1" applyBorder="1" applyAlignment="1">
      <alignment horizontal="left" indent="1"/>
    </xf>
    <xf numFmtId="0" fontId="62" fillId="0" borderId="3" xfId="0" applyFont="1" applyBorder="1" applyAlignment="1">
      <alignment horizontal="left" indent="4"/>
    </xf>
    <xf numFmtId="0" fontId="62" fillId="0" borderId="4" xfId="0" applyFont="1" applyBorder="1" applyAlignment="1">
      <alignment horizontal="left" indent="4"/>
    </xf>
    <xf numFmtId="0" fontId="62" fillId="0" borderId="3" xfId="0" applyFont="1" applyFill="1" applyBorder="1" applyAlignment="1">
      <alignment horizontal="left"/>
    </xf>
    <xf numFmtId="0" fontId="62" fillId="0" borderId="4" xfId="0" applyFont="1" applyFill="1" applyBorder="1" applyAlignment="1">
      <alignment horizontal="left"/>
    </xf>
    <xf numFmtId="0" fontId="62" fillId="0" borderId="3" xfId="0" applyFont="1" applyFill="1" applyBorder="1" applyAlignment="1">
      <alignment horizontal="left" indent="2"/>
    </xf>
    <xf numFmtId="0" fontId="62" fillId="0" borderId="4" xfId="0" applyFont="1" applyFill="1" applyBorder="1" applyAlignment="1">
      <alignment horizontal="left" indent="2"/>
    </xf>
    <xf numFmtId="0" fontId="62" fillId="0" borderId="3" xfId="0" applyFont="1" applyFill="1" applyBorder="1" applyAlignment="1">
      <alignment horizontal="left" indent="5"/>
    </xf>
    <xf numFmtId="0" fontId="62" fillId="0" borderId="4" xfId="0" applyFont="1" applyFill="1" applyBorder="1" applyAlignment="1">
      <alignment horizontal="left" indent="5"/>
    </xf>
    <xf numFmtId="0" fontId="65" fillId="0" borderId="25" xfId="0" applyFont="1" applyBorder="1" applyAlignment="1">
      <alignment horizontal="left"/>
    </xf>
    <xf numFmtId="0" fontId="65" fillId="0" borderId="26"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3" fillId="0" borderId="3" xfId="0" applyFont="1" applyBorder="1" applyAlignment="1">
      <alignment horizontal="left" indent="2"/>
    </xf>
    <xf numFmtId="0" fontId="63" fillId="0" borderId="4" xfId="0" applyFont="1" applyBorder="1" applyAlignment="1">
      <alignment horizontal="left" indent="2"/>
    </xf>
    <xf numFmtId="0" fontId="62" fillId="0" borderId="3" xfId="3" applyFont="1" applyFill="1" applyBorder="1" applyAlignment="1">
      <alignment horizontal="left" vertical="top"/>
    </xf>
    <xf numFmtId="0" fontId="62" fillId="0" borderId="4" xfId="3" applyFont="1" applyFill="1" applyBorder="1" applyAlignment="1">
      <alignment horizontal="left" vertical="top"/>
    </xf>
    <xf numFmtId="0" fontId="63" fillId="0" borderId="12" xfId="0" applyFont="1" applyBorder="1" applyAlignment="1">
      <alignment horizontal="left"/>
    </xf>
    <xf numFmtId="0" fontId="63" fillId="0" borderId="13" xfId="0" applyFont="1" applyBorder="1" applyAlignment="1">
      <alignment horizontal="left"/>
    </xf>
    <xf numFmtId="0" fontId="63" fillId="0" borderId="12" xfId="0" applyFont="1" applyBorder="1" applyAlignment="1">
      <alignment horizontal="left" indent="2"/>
    </xf>
    <xf numFmtId="0" fontId="63" fillId="0" borderId="13" xfId="0" applyFont="1" applyBorder="1" applyAlignment="1">
      <alignment horizontal="left" indent="2"/>
    </xf>
    <xf numFmtId="0" fontId="63" fillId="11" borderId="3" xfId="0" applyFont="1" applyFill="1" applyBorder="1" applyAlignment="1">
      <alignment horizontal="left" indent="2"/>
    </xf>
    <xf numFmtId="0" fontId="63" fillId="11" borderId="4" xfId="0" applyFont="1" applyFill="1" applyBorder="1" applyAlignment="1">
      <alignment horizontal="left" indent="2"/>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Model'!$B$48:$C$48</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Model'!$G$45,'Earnings Model'!$I$45,'Earnings Model'!$J$45,'Earnings Model'!$K$45,'Earnings Model'!$L$45,'Earnings Model'!$N$45,'Earnings Model'!$O$45,'Earnings Model'!$P$45)</c:f>
              <c:strCache>
                <c:ptCount val="8"/>
                <c:pt idx="0">
                  <c:v> Sept-19E </c:v>
                </c:pt>
                <c:pt idx="1">
                  <c:v> Dec-19E </c:v>
                </c:pt>
                <c:pt idx="2">
                  <c:v> Mar-20E </c:v>
                </c:pt>
                <c:pt idx="3">
                  <c:v> June-20E </c:v>
                </c:pt>
                <c:pt idx="4">
                  <c:v> Sept-20E </c:v>
                </c:pt>
                <c:pt idx="5">
                  <c:v> Dec-20E </c:v>
                </c:pt>
                <c:pt idx="6">
                  <c:v> Mar-21E </c:v>
                </c:pt>
                <c:pt idx="7">
                  <c:v> June-21E </c:v>
                </c:pt>
              </c:strCache>
            </c:strRef>
          </c:cat>
          <c:val>
            <c:numRef>
              <c:f>('Earnings Model'!$G$48,'Earnings Model'!$I$48,'Earnings Model'!$J$48,'Earnings Model'!$K$48,'Earnings Model'!$L$48,'Earnings Model'!$N$48,'Earnings Model'!$O$48,'Earnings Model'!$P$48)</c:f>
              <c:numCache>
                <c:formatCode>_(* #,##0_);_(* \(#,##0\);_(* "-"??_);_(@_)</c:formatCode>
                <c:ptCount val="8"/>
                <c:pt idx="0">
                  <c:v>9974</c:v>
                </c:pt>
                <c:pt idx="1">
                  <c:v>10020</c:v>
                </c:pt>
                <c:pt idx="2">
                  <c:v>10051</c:v>
                </c:pt>
                <c:pt idx="3">
                  <c:v>10017</c:v>
                </c:pt>
                <c:pt idx="4">
                  <c:v>10079</c:v>
                </c:pt>
                <c:pt idx="5">
                  <c:v>10105.25</c:v>
                </c:pt>
                <c:pt idx="6">
                  <c:v>10126.5625</c:v>
                </c:pt>
                <c:pt idx="7">
                  <c:v>10145.453125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Model'!$B$77</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Model'!$G$11,'Earnings Model'!$I$11,'Earnings Model'!$J$11,'Earnings Model'!$K$11,'Earnings Model'!$L$11,'Earnings Model'!$N$11,'Earnings Model'!$O$11,'Earnings Model'!$P$11)</c:f>
              <c:strCache>
                <c:ptCount val="8"/>
                <c:pt idx="0">
                  <c:v> Sept-19E </c:v>
                </c:pt>
                <c:pt idx="1">
                  <c:v> Dec-19E </c:v>
                </c:pt>
                <c:pt idx="2">
                  <c:v> Mar-20E </c:v>
                </c:pt>
                <c:pt idx="3">
                  <c:v> June-20E </c:v>
                </c:pt>
                <c:pt idx="4">
                  <c:v> Sept-20E </c:v>
                </c:pt>
                <c:pt idx="5">
                  <c:v> Dec-20E </c:v>
                </c:pt>
                <c:pt idx="6">
                  <c:v> Mar-21E </c:v>
                </c:pt>
                <c:pt idx="7">
                  <c:v> June-21E </c:v>
                </c:pt>
              </c:strCache>
            </c:strRef>
          </c:cat>
          <c:val>
            <c:numRef>
              <c:f>('Earnings Model'!$G$77,'Earnings Model'!$I$77,'Earnings Model'!$J$77,'Earnings Model'!$K$77,'Earnings Model'!$L$77,'Earnings Model'!$N$77,'Earnings Model'!$O$77,'Earnings Model'!$P$77)</c:f>
              <c:numCache>
                <c:formatCode>0.0%</c:formatCode>
                <c:ptCount val="8"/>
                <c:pt idx="0">
                  <c:v>0.20185320548652022</c:v>
                </c:pt>
                <c:pt idx="1">
                  <c:v>0.21928196531561192</c:v>
                </c:pt>
                <c:pt idx="2">
                  <c:v>0.14346420323325632</c:v>
                </c:pt>
                <c:pt idx="3">
                  <c:v>-0.14432364997326666</c:v>
                </c:pt>
                <c:pt idx="4">
                  <c:v>-3.6253026884065766E-2</c:v>
                </c:pt>
                <c:pt idx="5">
                  <c:v>1.3405433648537078E-2</c:v>
                </c:pt>
                <c:pt idx="6">
                  <c:v>5.7926659139824657E-2</c:v>
                </c:pt>
                <c:pt idx="7">
                  <c:v>4.1084656149671384E-2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1</xdr:col>
      <xdr:colOff>236802</xdr:colOff>
      <xdr:row>181</xdr:row>
      <xdr:rowOff>0</xdr:rowOff>
    </xdr:from>
    <xdr:to>
      <xdr:col>3</xdr:col>
      <xdr:colOff>0</xdr:colOff>
      <xdr:row>181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238</xdr:row>
      <xdr:rowOff>0</xdr:rowOff>
    </xdr:from>
    <xdr:to>
      <xdr:col>3</xdr:col>
      <xdr:colOff>0</xdr:colOff>
      <xdr:row>238</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285</xdr:row>
      <xdr:rowOff>0</xdr:rowOff>
    </xdr:from>
    <xdr:to>
      <xdr:col>3</xdr:col>
      <xdr:colOff>0</xdr:colOff>
      <xdr:row>285</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45</xdr:row>
      <xdr:rowOff>0</xdr:rowOff>
    </xdr:from>
    <xdr:to>
      <xdr:col>3</xdr:col>
      <xdr:colOff>0</xdr:colOff>
      <xdr:row>45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222</xdr:row>
      <xdr:rowOff>0</xdr:rowOff>
    </xdr:from>
    <xdr:to>
      <xdr:col>3</xdr:col>
      <xdr:colOff>0</xdr:colOff>
      <xdr:row>222</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208551</xdr:colOff>
      <xdr:row>7</xdr:row>
      <xdr:rowOff>57150</xdr:rowOff>
    </xdr:from>
    <xdr:to>
      <xdr:col>17</xdr:col>
      <xdr:colOff>362120</xdr:colOff>
      <xdr:row>31</xdr:row>
      <xdr:rowOff>38100</xdr:rowOff>
    </xdr:to>
    <xdr:pic>
      <xdr:nvPicPr>
        <xdr:cNvPr id="2" name="Picture 1">
          <a:extLst>
            <a:ext uri="{FF2B5EF4-FFF2-40B4-BE49-F238E27FC236}">
              <a16:creationId xmlns:a16="http://schemas.microsoft.com/office/drawing/2014/main" id="{F7CADE78-960B-4DAF-BB71-DEEB8FD7A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51" y="1390650"/>
          <a:ext cx="10516769" cy="4552950"/>
        </a:xfrm>
        <a:prstGeom prst="rect">
          <a:avLst/>
        </a:prstGeom>
      </xdr:spPr>
    </xdr:pic>
    <xdr:clientData/>
  </xdr:twoCellAnchor>
  <xdr:twoCellAnchor editAs="oneCell">
    <xdr:from>
      <xdr:col>0</xdr:col>
      <xdr:colOff>76200</xdr:colOff>
      <xdr:row>31</xdr:row>
      <xdr:rowOff>15821</xdr:rowOff>
    </xdr:from>
    <xdr:to>
      <xdr:col>17</xdr:col>
      <xdr:colOff>259330</xdr:colOff>
      <xdr:row>42</xdr:row>
      <xdr:rowOff>123825</xdr:rowOff>
    </xdr:to>
    <xdr:pic>
      <xdr:nvPicPr>
        <xdr:cNvPr id="3" name="Picture 2">
          <a:extLst>
            <a:ext uri="{FF2B5EF4-FFF2-40B4-BE49-F238E27FC236}">
              <a16:creationId xmlns:a16="http://schemas.microsoft.com/office/drawing/2014/main" id="{81FDD595-FA99-485B-BD80-53F44B2EE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5921321"/>
          <a:ext cx="10546330" cy="2203504"/>
        </a:xfrm>
        <a:prstGeom prst="rect">
          <a:avLst/>
        </a:prstGeom>
      </xdr:spPr>
    </xdr:pic>
    <xdr:clientData/>
  </xdr:twoCellAnchor>
  <xdr:twoCellAnchor editAs="oneCell">
    <xdr:from>
      <xdr:col>17</xdr:col>
      <xdr:colOff>544098</xdr:colOff>
      <xdr:row>4</xdr:row>
      <xdr:rowOff>19050</xdr:rowOff>
    </xdr:from>
    <xdr:to>
      <xdr:col>36</xdr:col>
      <xdr:colOff>314325</xdr:colOff>
      <xdr:row>29</xdr:row>
      <xdr:rowOff>15892</xdr:rowOff>
    </xdr:to>
    <xdr:pic>
      <xdr:nvPicPr>
        <xdr:cNvPr id="4" name="Picture 3">
          <a:extLst>
            <a:ext uri="{FF2B5EF4-FFF2-40B4-BE49-F238E27FC236}">
              <a16:creationId xmlns:a16="http://schemas.microsoft.com/office/drawing/2014/main" id="{5FFAC0E3-BEDB-4638-8797-B0C2771166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07298" y="781050"/>
          <a:ext cx="11352627" cy="4759342"/>
        </a:xfrm>
        <a:prstGeom prst="rect">
          <a:avLst/>
        </a:prstGeom>
      </xdr:spPr>
    </xdr:pic>
    <xdr:clientData/>
  </xdr:twoCellAnchor>
  <xdr:twoCellAnchor editAs="oneCell">
    <xdr:from>
      <xdr:col>17</xdr:col>
      <xdr:colOff>571499</xdr:colOff>
      <xdr:row>28</xdr:row>
      <xdr:rowOff>119881</xdr:rowOff>
    </xdr:from>
    <xdr:to>
      <xdr:col>38</xdr:col>
      <xdr:colOff>4654</xdr:colOff>
      <xdr:row>32</xdr:row>
      <xdr:rowOff>66675</xdr:rowOff>
    </xdr:to>
    <xdr:pic>
      <xdr:nvPicPr>
        <xdr:cNvPr id="5" name="Picture 4">
          <a:extLst>
            <a:ext uri="{FF2B5EF4-FFF2-40B4-BE49-F238E27FC236}">
              <a16:creationId xmlns:a16="http://schemas.microsoft.com/office/drawing/2014/main" id="{855CC9EF-4246-453E-BD3B-2E2968034E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34699" y="5453881"/>
          <a:ext cx="12234755" cy="708794"/>
        </a:xfrm>
        <a:prstGeom prst="rect">
          <a:avLst/>
        </a:prstGeom>
      </xdr:spPr>
    </xdr:pic>
    <xdr:clientData/>
  </xdr:twoCellAnchor>
  <xdr:twoCellAnchor editAs="oneCell">
    <xdr:from>
      <xdr:col>18</xdr:col>
      <xdr:colOff>0</xdr:colOff>
      <xdr:row>32</xdr:row>
      <xdr:rowOff>45318</xdr:rowOff>
    </xdr:from>
    <xdr:to>
      <xdr:col>36</xdr:col>
      <xdr:colOff>583023</xdr:colOff>
      <xdr:row>48</xdr:row>
      <xdr:rowOff>95786</xdr:rowOff>
    </xdr:to>
    <xdr:pic>
      <xdr:nvPicPr>
        <xdr:cNvPr id="6" name="Picture 5">
          <a:extLst>
            <a:ext uri="{FF2B5EF4-FFF2-40B4-BE49-F238E27FC236}">
              <a16:creationId xmlns:a16="http://schemas.microsoft.com/office/drawing/2014/main" id="{160018C3-BA0D-48F6-92D3-6DA9FD934EB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72800" y="6141318"/>
          <a:ext cx="11555823" cy="3098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9427-692F-478D-9680-5C669F95B8B1}">
  <dimension ref="B2:B21"/>
  <sheetViews>
    <sheetView showGridLines="0" topLeftCell="A4" workbookViewId="0">
      <selection activeCell="B11" sqref="B11"/>
    </sheetView>
  </sheetViews>
  <sheetFormatPr defaultColWidth="8.85546875" defaultRowHeight="15" x14ac:dyDescent="0.25"/>
  <cols>
    <col min="1" max="1" width="2" customWidth="1"/>
    <col min="2" max="2" width="182.7109375" customWidth="1"/>
  </cols>
  <sheetData>
    <row r="2" spans="2:2" ht="21" x14ac:dyDescent="0.25">
      <c r="B2" s="286" t="s">
        <v>260</v>
      </c>
    </row>
    <row r="3" spans="2:2" ht="135" x14ac:dyDescent="0.25">
      <c r="B3" s="287" t="s">
        <v>261</v>
      </c>
    </row>
    <row r="4" spans="2:2" ht="45" x14ac:dyDescent="0.25">
      <c r="B4" s="288" t="s">
        <v>262</v>
      </c>
    </row>
    <row r="5" spans="2:2" ht="30" x14ac:dyDescent="0.25">
      <c r="B5" s="288" t="s">
        <v>275</v>
      </c>
    </row>
    <row r="6" spans="2:2" ht="120" x14ac:dyDescent="0.25">
      <c r="B6" s="288" t="s">
        <v>263</v>
      </c>
    </row>
    <row r="7" spans="2:2" ht="30" x14ac:dyDescent="0.25">
      <c r="B7" s="288" t="s">
        <v>278</v>
      </c>
    </row>
    <row r="8" spans="2:2" ht="242.1" customHeight="1" x14ac:dyDescent="0.25">
      <c r="B8" s="296" t="s">
        <v>327</v>
      </c>
    </row>
    <row r="9" spans="2:2" ht="30" x14ac:dyDescent="0.25">
      <c r="B9" s="288" t="s">
        <v>264</v>
      </c>
    </row>
    <row r="10" spans="2:2" x14ac:dyDescent="0.25">
      <c r="B10" s="288" t="s">
        <v>265</v>
      </c>
    </row>
    <row r="11" spans="2:2" ht="67.5" customHeight="1" x14ac:dyDescent="0.25">
      <c r="B11" s="293" t="s">
        <v>266</v>
      </c>
    </row>
    <row r="12" spans="2:2" x14ac:dyDescent="0.25">
      <c r="B12" s="287" t="s">
        <v>276</v>
      </c>
    </row>
    <row r="13" spans="2:2" x14ac:dyDescent="0.25">
      <c r="B13" s="288" t="s">
        <v>267</v>
      </c>
    </row>
    <row r="14" spans="2:2" ht="45" x14ac:dyDescent="0.25">
      <c r="B14" s="287" t="s">
        <v>268</v>
      </c>
    </row>
    <row r="15" spans="2:2" x14ac:dyDescent="0.25">
      <c r="B15" s="294" t="s">
        <v>269</v>
      </c>
    </row>
    <row r="16" spans="2:2" x14ac:dyDescent="0.25">
      <c r="B16" s="289" t="s">
        <v>270</v>
      </c>
    </row>
    <row r="17" spans="2:2" x14ac:dyDescent="0.25">
      <c r="B17" s="289" t="s">
        <v>271</v>
      </c>
    </row>
    <row r="18" spans="2:2" ht="155.25" customHeight="1" x14ac:dyDescent="0.25">
      <c r="B18" s="295" t="s">
        <v>272</v>
      </c>
    </row>
    <row r="19" spans="2:2" x14ac:dyDescent="0.25">
      <c r="B19" s="290" t="s">
        <v>273</v>
      </c>
    </row>
    <row r="20" spans="2:2" x14ac:dyDescent="0.25">
      <c r="B20" s="291" t="s">
        <v>274</v>
      </c>
    </row>
    <row r="21" spans="2:2" x14ac:dyDescent="0.25">
      <c r="B21" s="292"/>
    </row>
  </sheetData>
  <hyperlinks>
    <hyperlink ref="B20" r:id="rId1" xr:uid="{D61DA783-4822-4D3E-A4AE-36E83ED535A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334"/>
  <sheetViews>
    <sheetView showGridLines="0" tabSelected="1" topLeftCell="A10" zoomScaleNormal="100" workbookViewId="0">
      <pane xSplit="3" ySplit="3" topLeftCell="H13" activePane="bottomRight" state="frozen"/>
      <selection activeCell="A10" sqref="A10"/>
      <selection pane="topRight" activeCell="D10" sqref="D10"/>
      <selection pane="bottomLeft" activeCell="A13" sqref="A13"/>
      <selection pane="bottomRight" activeCell="B11" sqref="B11:C11"/>
    </sheetView>
  </sheetViews>
  <sheetFormatPr defaultColWidth="8.85546875" defaultRowHeight="15" outlineLevelRow="1" outlineLevelCol="1" x14ac:dyDescent="0.25"/>
  <cols>
    <col min="1" max="1" width="3.140625" style="4" customWidth="1"/>
    <col min="2" max="2" width="33.42578125" style="4" customWidth="1"/>
    <col min="3" max="3" width="25.28515625" style="4" customWidth="1"/>
    <col min="4" max="5" width="11.42578125" style="3" customWidth="1" outlineLevel="1"/>
    <col min="6" max="7" width="11.42578125" style="11" customWidth="1" outlineLevel="1"/>
    <col min="8" max="8" width="11.42578125" style="11" customWidth="1"/>
    <col min="9" max="10" width="11.42578125" style="3" customWidth="1" outlineLevel="1"/>
    <col min="11" max="12" width="11.425781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customWidth="1" outlineLevel="1"/>
    <col min="26" max="27" width="11.42578125" style="11" customWidth="1" outlineLevel="1"/>
    <col min="28" max="28" width="11.42578125" style="11" customWidth="1"/>
    <col min="29" max="30" width="11.42578125" style="3" customWidth="1" outlineLevel="1"/>
    <col min="31" max="32" width="11.42578125" style="11" customWidth="1" outlineLevel="1"/>
    <col min="33" max="33" width="11.42578125" style="11" customWidth="1"/>
    <col min="34" max="35" width="11.42578125" style="3" customWidth="1" outlineLevel="1"/>
    <col min="36" max="37" width="11.42578125" style="11" customWidth="1" outlineLevel="1"/>
    <col min="38" max="38" width="11.42578125" style="11" customWidth="1"/>
    <col min="39" max="16384" width="8.85546875" style="4"/>
  </cols>
  <sheetData>
    <row r="1" spans="1:56" ht="24.75" customHeight="1" x14ac:dyDescent="0.25">
      <c r="B1" s="299" t="s">
        <v>57</v>
      </c>
    </row>
    <row r="2" spans="1:56" ht="45" customHeight="1" x14ac:dyDescent="0.25">
      <c r="B2" s="516" t="s">
        <v>56</v>
      </c>
      <c r="C2" s="517"/>
      <c r="K2" s="478" t="s">
        <v>364</v>
      </c>
      <c r="L2" s="38">
        <v>3614.6689724019225</v>
      </c>
      <c r="M2" s="39">
        <v>3614.5689724019248</v>
      </c>
      <c r="N2" s="38">
        <v>3718.5629557462753</v>
      </c>
      <c r="O2" s="38">
        <v>2875.6839087908816</v>
      </c>
      <c r="P2" s="38">
        <v>2341.6821757436555</v>
      </c>
      <c r="Q2" s="38">
        <v>2262.038652491301</v>
      </c>
      <c r="R2" s="39">
        <v>2262.0386524913038</v>
      </c>
      <c r="S2" s="38">
        <v>2634.7667475951985</v>
      </c>
      <c r="T2" s="38">
        <v>2205.1479076892347</v>
      </c>
      <c r="U2" s="38">
        <v>2070.909344778137</v>
      </c>
      <c r="V2" s="38">
        <v>2113.4232838120706</v>
      </c>
      <c r="W2" s="39">
        <v>2113.4232838120688</v>
      </c>
      <c r="X2" s="38">
        <v>2657.4458461299009</v>
      </c>
      <c r="Y2" s="38">
        <v>2257.6246220900371</v>
      </c>
      <c r="Z2" s="38">
        <v>2260.8403657818121</v>
      </c>
      <c r="AA2" s="38">
        <v>2392.9830408281646</v>
      </c>
      <c r="AB2" s="39">
        <v>2392.9830408281687</v>
      </c>
      <c r="AC2" s="38">
        <v>2884.9322465364485</v>
      </c>
      <c r="AD2" s="38">
        <v>2374.1360151229551</v>
      </c>
      <c r="AE2" s="38">
        <v>2282.483060162735</v>
      </c>
      <c r="AF2" s="38">
        <v>2336.9484559271114</v>
      </c>
      <c r="AG2" s="39">
        <v>2336.9484559271114</v>
      </c>
      <c r="AH2" s="38">
        <v>2572.9883752225369</v>
      </c>
      <c r="AI2" s="38">
        <v>1734.5719421543447</v>
      </c>
      <c r="AJ2" s="38">
        <v>1356.1354360102152</v>
      </c>
      <c r="AK2" s="38">
        <v>1122.2390540630793</v>
      </c>
      <c r="AL2" s="39">
        <v>1122.2390540630768</v>
      </c>
    </row>
    <row r="3" spans="1:56" ht="17.25" x14ac:dyDescent="0.4">
      <c r="B3" s="529" t="s">
        <v>362</v>
      </c>
      <c r="C3" s="530"/>
      <c r="K3" s="478" t="s">
        <v>365</v>
      </c>
      <c r="L3" s="41">
        <f>L276</f>
        <v>2959.751623353427</v>
      </c>
      <c r="M3" s="42">
        <f t="shared" ref="M3:AL3" si="0">M276</f>
        <v>2959.6516233534298</v>
      </c>
      <c r="N3" s="41">
        <f t="shared" si="0"/>
        <v>2110.0862321799204</v>
      </c>
      <c r="O3" s="41">
        <f t="shared" si="0"/>
        <v>1063.1549201561227</v>
      </c>
      <c r="P3" s="41">
        <f t="shared" si="0"/>
        <v>392.12681369560039</v>
      </c>
      <c r="Q3" s="41">
        <f t="shared" si="0"/>
        <v>-106.14793239970788</v>
      </c>
      <c r="R3" s="42">
        <f t="shared" si="0"/>
        <v>-106.14793239971596</v>
      </c>
      <c r="S3" s="41">
        <f t="shared" si="0"/>
        <v>575.2699561864772</v>
      </c>
      <c r="T3" s="41">
        <f t="shared" si="0"/>
        <v>-40.72387184467118</v>
      </c>
      <c r="U3" s="41">
        <f t="shared" si="0"/>
        <v>-467.64215419337677</v>
      </c>
      <c r="V3" s="41">
        <f t="shared" si="0"/>
        <v>-919.8515416791812</v>
      </c>
      <c r="W3" s="42">
        <f t="shared" si="0"/>
        <v>-919.85154167918017</v>
      </c>
      <c r="X3" s="41">
        <f t="shared" si="0"/>
        <v>-451.86001101328793</v>
      </c>
      <c r="Y3" s="41">
        <f t="shared" si="0"/>
        <v>-1020.2449002620373</v>
      </c>
      <c r="Z3" s="41">
        <f t="shared" si="0"/>
        <v>-1327.9538740529456</v>
      </c>
      <c r="AA3" s="41">
        <f t="shared" si="0"/>
        <v>-1552.3313662574424</v>
      </c>
      <c r="AB3" s="42">
        <f t="shared" si="0"/>
        <v>-1552.3313662574415</v>
      </c>
      <c r="AC3" s="41">
        <f t="shared" si="0"/>
        <v>-1135.7868580040556</v>
      </c>
      <c r="AD3" s="41">
        <f t="shared" si="0"/>
        <v>-1819.8247252450392</v>
      </c>
      <c r="AE3" s="41">
        <f t="shared" si="0"/>
        <v>-2237.5485919079106</v>
      </c>
      <c r="AF3" s="41">
        <f t="shared" si="0"/>
        <v>-2555.9972218191519</v>
      </c>
      <c r="AG3" s="42">
        <f t="shared" si="0"/>
        <v>-2555.9972218191538</v>
      </c>
      <c r="AH3" s="41">
        <f t="shared" si="0"/>
        <v>-2399.5230078539889</v>
      </c>
      <c r="AI3" s="41">
        <f t="shared" si="0"/>
        <v>-3415.8201515786582</v>
      </c>
      <c r="AJ3" s="41">
        <f t="shared" si="0"/>
        <v>-4134.404815872972</v>
      </c>
      <c r="AK3" s="41">
        <f t="shared" si="0"/>
        <v>-4762.4564922380887</v>
      </c>
      <c r="AL3" s="42">
        <f t="shared" si="0"/>
        <v>-4762.456492238085</v>
      </c>
      <c r="AM3" s="38"/>
    </row>
    <row r="4" spans="1:56" x14ac:dyDescent="0.25">
      <c r="B4" s="531" t="s">
        <v>363</v>
      </c>
      <c r="C4" s="532"/>
      <c r="K4" s="478" t="s">
        <v>366</v>
      </c>
      <c r="L4" s="38">
        <f>L3-L2</f>
        <v>-654.91734904849545</v>
      </c>
      <c r="M4" s="39">
        <f t="shared" ref="M4:AL4" si="1">M3-M2</f>
        <v>-654.917349048495</v>
      </c>
      <c r="N4" s="38">
        <f t="shared" si="1"/>
        <v>-1608.4767235663548</v>
      </c>
      <c r="O4" s="38">
        <f t="shared" si="1"/>
        <v>-1812.5289886347589</v>
      </c>
      <c r="P4" s="38">
        <f t="shared" si="1"/>
        <v>-1949.555362048055</v>
      </c>
      <c r="Q4" s="38">
        <f t="shared" si="1"/>
        <v>-2368.1865848910088</v>
      </c>
      <c r="R4" s="39">
        <f t="shared" si="1"/>
        <v>-2368.1865848910197</v>
      </c>
      <c r="S4" s="38">
        <f t="shared" si="1"/>
        <v>-2059.496791408721</v>
      </c>
      <c r="T4" s="38">
        <f t="shared" si="1"/>
        <v>-2245.8717795339057</v>
      </c>
      <c r="U4" s="38">
        <f t="shared" si="1"/>
        <v>-2538.5514989715139</v>
      </c>
      <c r="V4" s="38">
        <f t="shared" si="1"/>
        <v>-3033.2748254912517</v>
      </c>
      <c r="W4" s="39">
        <f t="shared" si="1"/>
        <v>-3033.274825491249</v>
      </c>
      <c r="X4" s="38">
        <f t="shared" si="1"/>
        <v>-3109.3058571431889</v>
      </c>
      <c r="Y4" s="38">
        <f t="shared" si="1"/>
        <v>-3277.8695223520745</v>
      </c>
      <c r="Z4" s="38">
        <f t="shared" si="1"/>
        <v>-3588.7942398347577</v>
      </c>
      <c r="AA4" s="38">
        <f t="shared" si="1"/>
        <v>-3945.3144070856069</v>
      </c>
      <c r="AB4" s="39">
        <f t="shared" si="1"/>
        <v>-3945.3144070856101</v>
      </c>
      <c r="AC4" s="38">
        <f t="shared" si="1"/>
        <v>-4020.7191045405043</v>
      </c>
      <c r="AD4" s="38">
        <f t="shared" si="1"/>
        <v>-4193.9607403679947</v>
      </c>
      <c r="AE4" s="38">
        <f t="shared" si="1"/>
        <v>-4520.0316520706456</v>
      </c>
      <c r="AF4" s="38">
        <f t="shared" si="1"/>
        <v>-4892.9456777462638</v>
      </c>
      <c r="AG4" s="39">
        <f t="shared" si="1"/>
        <v>-4892.9456777462656</v>
      </c>
      <c r="AH4" s="38">
        <f t="shared" si="1"/>
        <v>-4972.5113830765258</v>
      </c>
      <c r="AI4" s="38">
        <f t="shared" si="1"/>
        <v>-5150.3920937330031</v>
      </c>
      <c r="AJ4" s="38">
        <f t="shared" si="1"/>
        <v>-5490.540251883187</v>
      </c>
      <c r="AK4" s="38">
        <f t="shared" si="1"/>
        <v>-5884.6955463011682</v>
      </c>
      <c r="AL4" s="39">
        <f t="shared" si="1"/>
        <v>-5884.6955463011618</v>
      </c>
      <c r="BD4" s="299" t="s">
        <v>57</v>
      </c>
    </row>
    <row r="5" spans="1:56" x14ac:dyDescent="0.25">
      <c r="B5" s="533" t="s">
        <v>361</v>
      </c>
      <c r="C5" s="534"/>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56" ht="14.45" customHeight="1" x14ac:dyDescent="0.25">
      <c r="B6" s="131" t="s">
        <v>51</v>
      </c>
      <c r="C6" s="132">
        <f>C299</f>
        <v>34.456508542924944</v>
      </c>
      <c r="D6" s="12"/>
      <c r="E6" s="138"/>
      <c r="F6" s="137"/>
      <c r="G6" s="12"/>
      <c r="H6" s="138"/>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56" ht="14.45" customHeight="1" x14ac:dyDescent="0.25">
      <c r="B7" s="92" t="s">
        <v>52</v>
      </c>
      <c r="C7" s="125">
        <f>C326</f>
        <v>79.363313455793829</v>
      </c>
      <c r="D7" s="50"/>
      <c r="E7" s="138"/>
      <c r="F7" s="137"/>
      <c r="G7" s="50"/>
      <c r="H7" s="138"/>
      <c r="I7" s="50"/>
      <c r="J7" s="50"/>
      <c r="K7" s="50"/>
      <c r="L7" s="50"/>
      <c r="M7" s="50"/>
      <c r="N7" s="50"/>
      <c r="O7" s="50"/>
      <c r="P7" s="50"/>
      <c r="Q7" s="50"/>
      <c r="R7" s="50"/>
      <c r="S7" s="50"/>
      <c r="T7" s="50"/>
      <c r="U7" s="50"/>
      <c r="V7" s="50"/>
      <c r="W7" s="50"/>
      <c r="X7" s="50"/>
      <c r="Y7" s="50"/>
      <c r="Z7" s="50"/>
      <c r="AA7" s="50"/>
      <c r="AB7" s="61"/>
      <c r="AC7" s="50"/>
      <c r="AD7" s="50"/>
      <c r="AE7" s="50"/>
      <c r="AF7" s="50"/>
      <c r="AG7" s="61"/>
      <c r="AH7" s="50"/>
      <c r="AI7" s="50"/>
      <c r="AJ7" s="50"/>
      <c r="AK7" s="50"/>
      <c r="AL7" s="61"/>
    </row>
    <row r="8" spans="1:56" ht="14.45" customHeight="1" x14ac:dyDescent="0.25">
      <c r="B8" s="92" t="s">
        <v>67</v>
      </c>
      <c r="C8" s="129">
        <f>(0.5*C6)+(0.5*C7)</f>
        <v>56.909910999359383</v>
      </c>
      <c r="D8" s="38"/>
      <c r="E8" s="138"/>
      <c r="F8" s="157"/>
      <c r="G8" s="157"/>
      <c r="H8" s="38"/>
      <c r="I8" s="157"/>
      <c r="J8" s="157"/>
      <c r="K8" s="61"/>
      <c r="L8" s="38"/>
      <c r="M8" s="38"/>
      <c r="N8" s="38"/>
      <c r="O8" s="38"/>
      <c r="P8" s="38"/>
      <c r="Q8" s="61"/>
      <c r="R8" s="38"/>
      <c r="S8" s="38"/>
      <c r="T8" s="38"/>
      <c r="U8" s="38"/>
      <c r="V8" s="38"/>
      <c r="W8" s="38"/>
      <c r="X8" s="38"/>
      <c r="Y8" s="38"/>
      <c r="Z8" s="38"/>
      <c r="AA8" s="38"/>
      <c r="AB8" s="128"/>
      <c r="AC8" s="38"/>
      <c r="AD8" s="38"/>
      <c r="AE8" s="38"/>
      <c r="AF8" s="38"/>
      <c r="AG8" s="128"/>
      <c r="AH8" s="38"/>
      <c r="AI8" s="38"/>
      <c r="AJ8" s="38"/>
      <c r="AK8" s="38"/>
      <c r="AL8" s="128"/>
    </row>
    <row r="9" spans="1:56" ht="14.45" customHeight="1" x14ac:dyDescent="0.25">
      <c r="B9" s="473" t="s">
        <v>68</v>
      </c>
      <c r="C9" s="130" t="str">
        <f>TEXT(C333,"$0")&amp;" to "&amp;TEXT(C332,"$0")</f>
        <v>$47 to $65</v>
      </c>
      <c r="D9" s="188"/>
      <c r="E9" s="324"/>
      <c r="F9" s="158"/>
      <c r="G9" s="158"/>
      <c r="H9" s="50"/>
      <c r="I9" s="158"/>
      <c r="J9" s="158"/>
      <c r="K9" s="50"/>
      <c r="L9" s="158"/>
      <c r="M9" s="61"/>
      <c r="N9" s="61"/>
      <c r="O9" s="61"/>
      <c r="P9" s="61"/>
      <c r="Q9" s="158"/>
      <c r="R9" s="323"/>
      <c r="S9" s="61"/>
      <c r="T9" s="61"/>
      <c r="U9" s="61"/>
      <c r="V9" s="158"/>
      <c r="W9" s="61"/>
      <c r="X9" s="61"/>
      <c r="Y9" s="61"/>
      <c r="Z9" s="61"/>
      <c r="AA9" s="61"/>
      <c r="AB9" s="325"/>
      <c r="AC9" s="61"/>
      <c r="AD9" s="61"/>
      <c r="AE9" s="61"/>
      <c r="AF9" s="61"/>
      <c r="AG9" s="325"/>
      <c r="AH9" s="61"/>
      <c r="AI9" s="61"/>
      <c r="AJ9" s="61"/>
      <c r="AK9" s="61"/>
      <c r="AL9" s="325"/>
    </row>
    <row r="10" spans="1:56" ht="9.6" customHeight="1" x14ac:dyDescent="0.25">
      <c r="B10" s="299" t="s">
        <v>57</v>
      </c>
      <c r="D10" s="174"/>
      <c r="E10" s="439"/>
      <c r="F10" s="439"/>
      <c r="G10" s="439"/>
      <c r="H10" s="439"/>
      <c r="I10" s="439"/>
      <c r="J10" s="439"/>
      <c r="K10" s="458"/>
      <c r="L10" s="439"/>
      <c r="M10" s="439"/>
      <c r="N10" s="439"/>
      <c r="O10" s="439"/>
      <c r="P10" s="439"/>
      <c r="Q10" s="439"/>
      <c r="R10" s="439"/>
      <c r="S10" s="439"/>
      <c r="T10" s="439"/>
      <c r="U10" s="439"/>
      <c r="V10" s="439"/>
      <c r="W10" s="458"/>
      <c r="X10" s="439"/>
      <c r="Y10" s="439"/>
      <c r="Z10" s="439"/>
      <c r="AA10" s="439"/>
      <c r="AB10" s="439"/>
      <c r="AC10" s="439"/>
      <c r="AD10" s="439"/>
      <c r="AE10" s="439"/>
      <c r="AF10" s="439"/>
      <c r="AG10" s="439"/>
      <c r="AH10" s="439"/>
      <c r="AI10" s="439"/>
      <c r="AJ10" s="439"/>
      <c r="AK10" s="439"/>
      <c r="AL10" s="439"/>
    </row>
    <row r="11" spans="1:56" ht="15.75" x14ac:dyDescent="0.25">
      <c r="A11" s="496"/>
      <c r="B11" s="511" t="s">
        <v>120</v>
      </c>
      <c r="C11" s="512"/>
      <c r="D11" s="35" t="s">
        <v>110</v>
      </c>
      <c r="E11" s="35" t="s">
        <v>281</v>
      </c>
      <c r="F11" s="35" t="s">
        <v>283</v>
      </c>
      <c r="G11" s="35" t="s">
        <v>124</v>
      </c>
      <c r="H11" s="103" t="s">
        <v>124</v>
      </c>
      <c r="I11" s="35" t="s">
        <v>125</v>
      </c>
      <c r="J11" s="35" t="s">
        <v>126</v>
      </c>
      <c r="K11" s="35" t="s">
        <v>127</v>
      </c>
      <c r="L11" s="37" t="s">
        <v>128</v>
      </c>
      <c r="M11" s="106" t="s">
        <v>128</v>
      </c>
      <c r="N11" s="37" t="s">
        <v>129</v>
      </c>
      <c r="O11" s="37" t="s">
        <v>130</v>
      </c>
      <c r="P11" s="37" t="s">
        <v>131</v>
      </c>
      <c r="Q11" s="37" t="s">
        <v>132</v>
      </c>
      <c r="R11" s="106" t="s">
        <v>132</v>
      </c>
      <c r="S11" s="37" t="s">
        <v>133</v>
      </c>
      <c r="T11" s="37" t="s">
        <v>134</v>
      </c>
      <c r="U11" s="37" t="s">
        <v>135</v>
      </c>
      <c r="V11" s="37" t="s">
        <v>136</v>
      </c>
      <c r="W11" s="106" t="s">
        <v>136</v>
      </c>
      <c r="X11" s="37" t="s">
        <v>137</v>
      </c>
      <c r="Y11" s="37" t="s">
        <v>138</v>
      </c>
      <c r="Z11" s="37" t="s">
        <v>139</v>
      </c>
      <c r="AA11" s="37" t="s">
        <v>140</v>
      </c>
      <c r="AB11" s="106" t="s">
        <v>140</v>
      </c>
      <c r="AC11" s="37" t="s">
        <v>285</v>
      </c>
      <c r="AD11" s="37" t="s">
        <v>286</v>
      </c>
      <c r="AE11" s="37" t="s">
        <v>287</v>
      </c>
      <c r="AF11" s="37" t="s">
        <v>288</v>
      </c>
      <c r="AG11" s="106" t="s">
        <v>288</v>
      </c>
      <c r="AH11" s="37" t="s">
        <v>318</v>
      </c>
      <c r="AI11" s="37" t="s">
        <v>319</v>
      </c>
      <c r="AJ11" s="37" t="s">
        <v>320</v>
      </c>
      <c r="AK11" s="37" t="s">
        <v>321</v>
      </c>
      <c r="AL11" s="106" t="s">
        <v>321</v>
      </c>
    </row>
    <row r="12" spans="1:56" ht="17.45" customHeight="1" x14ac:dyDescent="0.4">
      <c r="A12" s="496"/>
      <c r="B12" s="505" t="s">
        <v>3</v>
      </c>
      <c r="C12" s="506"/>
      <c r="D12" s="36" t="s">
        <v>123</v>
      </c>
      <c r="E12" s="36" t="s">
        <v>280</v>
      </c>
      <c r="F12" s="36" t="s">
        <v>284</v>
      </c>
      <c r="G12" s="36" t="s">
        <v>294</v>
      </c>
      <c r="H12" s="104" t="s">
        <v>295</v>
      </c>
      <c r="I12" s="36" t="s">
        <v>296</v>
      </c>
      <c r="J12" s="36" t="s">
        <v>297</v>
      </c>
      <c r="K12" s="36" t="s">
        <v>298</v>
      </c>
      <c r="L12" s="34" t="s">
        <v>141</v>
      </c>
      <c r="M12" s="107" t="s">
        <v>142</v>
      </c>
      <c r="N12" s="34" t="s">
        <v>143</v>
      </c>
      <c r="O12" s="34" t="s">
        <v>144</v>
      </c>
      <c r="P12" s="34" t="s">
        <v>145</v>
      </c>
      <c r="Q12" s="34" t="s">
        <v>146</v>
      </c>
      <c r="R12" s="107" t="s">
        <v>147</v>
      </c>
      <c r="S12" s="34" t="s">
        <v>148</v>
      </c>
      <c r="T12" s="34" t="s">
        <v>149</v>
      </c>
      <c r="U12" s="34" t="s">
        <v>150</v>
      </c>
      <c r="V12" s="34" t="s">
        <v>151</v>
      </c>
      <c r="W12" s="107" t="s">
        <v>152</v>
      </c>
      <c r="X12" s="34" t="s">
        <v>153</v>
      </c>
      <c r="Y12" s="34" t="s">
        <v>154</v>
      </c>
      <c r="Z12" s="34" t="s">
        <v>155</v>
      </c>
      <c r="AA12" s="34" t="s">
        <v>156</v>
      </c>
      <c r="AB12" s="107" t="s">
        <v>157</v>
      </c>
      <c r="AC12" s="34" t="s">
        <v>289</v>
      </c>
      <c r="AD12" s="34" t="s">
        <v>290</v>
      </c>
      <c r="AE12" s="34" t="s">
        <v>291</v>
      </c>
      <c r="AF12" s="34" t="s">
        <v>292</v>
      </c>
      <c r="AG12" s="107" t="s">
        <v>293</v>
      </c>
      <c r="AH12" s="34" t="s">
        <v>322</v>
      </c>
      <c r="AI12" s="34" t="s">
        <v>323</v>
      </c>
      <c r="AJ12" s="34" t="s">
        <v>324</v>
      </c>
      <c r="AK12" s="34" t="s">
        <v>325</v>
      </c>
      <c r="AL12" s="107" t="s">
        <v>326</v>
      </c>
    </row>
    <row r="13" spans="1:56" outlineLevel="1" x14ac:dyDescent="0.25">
      <c r="A13" s="300"/>
      <c r="B13" s="541" t="s">
        <v>300</v>
      </c>
      <c r="C13" s="542"/>
      <c r="D13" s="307">
        <v>5370.3</v>
      </c>
      <c r="E13" s="307">
        <v>5159</v>
      </c>
      <c r="F13" s="307">
        <v>5535</v>
      </c>
      <c r="G13" s="307">
        <f>H13-F13-E13-D13</f>
        <v>5480.1000000000013</v>
      </c>
      <c r="H13" s="320">
        <v>21544.400000000001</v>
      </c>
      <c r="I13" s="307">
        <v>5780.7</v>
      </c>
      <c r="J13" s="307">
        <v>4766</v>
      </c>
      <c r="K13" s="307">
        <v>3444.4</v>
      </c>
      <c r="L13" s="307">
        <f>+L56+L89</f>
        <v>4907.9344999999994</v>
      </c>
      <c r="M13" s="194">
        <f>SUM(I13:L13)</f>
        <v>18899.034500000002</v>
      </c>
      <c r="N13" s="193">
        <f t="shared" ref="N13:Q13" si="2">+N56+N89</f>
        <v>6167.5554676240054</v>
      </c>
      <c r="O13" s="193">
        <f t="shared" si="2"/>
        <v>5199.9928224433006</v>
      </c>
      <c r="P13" s="193">
        <f t="shared" si="2"/>
        <v>3858.417314744559</v>
      </c>
      <c r="Q13" s="193">
        <f t="shared" si="2"/>
        <v>6887.0730057664778</v>
      </c>
      <c r="R13" s="194">
        <f>SUM(N13:Q13)</f>
        <v>22113.03861057834</v>
      </c>
      <c r="S13" s="193">
        <f t="shared" ref="S13:V13" si="3">+S56+S89</f>
        <v>7181.9682543316194</v>
      </c>
      <c r="T13" s="193">
        <f t="shared" si="3"/>
        <v>5530.5024994590058</v>
      </c>
      <c r="U13" s="193">
        <f t="shared" si="3"/>
        <v>4098.6920201821467</v>
      </c>
      <c r="V13" s="193">
        <f t="shared" si="3"/>
        <v>7311.5366675817859</v>
      </c>
      <c r="W13" s="194">
        <f>SUM(S13:V13)</f>
        <v>24122.699441554556</v>
      </c>
      <c r="X13" s="193">
        <f t="shared" ref="X13:AA13" si="4">+X56+X89</f>
        <v>7610.3826446844141</v>
      </c>
      <c r="Y13" s="193">
        <f t="shared" si="4"/>
        <v>5856.6459344694003</v>
      </c>
      <c r="Z13" s="193">
        <f t="shared" si="4"/>
        <v>4342.4166614039787</v>
      </c>
      <c r="AA13" s="193">
        <f t="shared" si="4"/>
        <v>7744.7453595762718</v>
      </c>
      <c r="AB13" s="194">
        <f>SUM(X13:AA13)</f>
        <v>25554.190600134065</v>
      </c>
      <c r="AC13" s="193">
        <f t="shared" ref="AC13:AF13" si="5">+AC56+AC89</f>
        <v>8029.2914407325998</v>
      </c>
      <c r="AD13" s="193">
        <f t="shared" si="5"/>
        <v>6170.1488680533366</v>
      </c>
      <c r="AE13" s="193">
        <f t="shared" si="5"/>
        <v>4583.4479331319526</v>
      </c>
      <c r="AF13" s="193">
        <f t="shared" si="5"/>
        <v>8198.3409340951766</v>
      </c>
      <c r="AG13" s="194">
        <f>SUM(AC13:AF13)</f>
        <v>26981.229176013065</v>
      </c>
      <c r="AH13" s="193">
        <f t="shared" ref="AH13:AK13" si="6">+AH56+AH89</f>
        <v>8520.6212266302973</v>
      </c>
      <c r="AI13" s="193">
        <f t="shared" si="6"/>
        <v>6542.4471139596772</v>
      </c>
      <c r="AJ13" s="193">
        <f t="shared" si="6"/>
        <v>4867.5180905613761</v>
      </c>
      <c r="AK13" s="193">
        <f t="shared" si="6"/>
        <v>8720.5850440133072</v>
      </c>
      <c r="AL13" s="194">
        <f>SUM(AH13:AK13)</f>
        <v>28651.171475164658</v>
      </c>
    </row>
    <row r="14" spans="1:56" outlineLevel="1" x14ac:dyDescent="0.25">
      <c r="A14" s="300"/>
      <c r="B14" s="541" t="s">
        <v>301</v>
      </c>
      <c r="C14" s="542"/>
      <c r="D14" s="307">
        <v>737.1</v>
      </c>
      <c r="E14" s="307">
        <v>678.2</v>
      </c>
      <c r="F14" s="307">
        <v>725</v>
      </c>
      <c r="G14" s="307">
        <f t="shared" ref="G14:G24" si="7">H14-F14-E14-D14</f>
        <v>734.69999999999993</v>
      </c>
      <c r="H14" s="320">
        <v>2875</v>
      </c>
      <c r="I14" s="307">
        <v>792</v>
      </c>
      <c r="J14" s="307">
        <v>689.8</v>
      </c>
      <c r="K14" s="307">
        <v>300.5</v>
      </c>
      <c r="L14" s="193">
        <f>+L63+L96</f>
        <v>646.34</v>
      </c>
      <c r="M14" s="194">
        <f t="shared" ref="M14:M15" si="8">SUM(I14:L14)</f>
        <v>2428.64</v>
      </c>
      <c r="N14" s="193">
        <f t="shared" ref="N14:Q14" si="9">+N63+N96</f>
        <v>788.00700000000006</v>
      </c>
      <c r="O14" s="193">
        <f t="shared" si="9"/>
        <v>759.63300000000004</v>
      </c>
      <c r="P14" s="193">
        <f t="shared" si="9"/>
        <v>814.38900000000001</v>
      </c>
      <c r="Q14" s="193">
        <f t="shared" si="9"/>
        <v>828.36750000000006</v>
      </c>
      <c r="R14" s="194">
        <f t="shared" ref="R14:R15" si="10">SUM(N14:Q14)</f>
        <v>3190.3964999999998</v>
      </c>
      <c r="S14" s="193">
        <f t="shared" ref="S14:V14" si="11">+S63+S96</f>
        <v>833.98937500000011</v>
      </c>
      <c r="T14" s="193">
        <f t="shared" si="11"/>
        <v>781.87853749999999</v>
      </c>
      <c r="U14" s="193">
        <f t="shared" si="11"/>
        <v>829.63104453124993</v>
      </c>
      <c r="V14" s="193">
        <f t="shared" si="11"/>
        <v>865.73503066406261</v>
      </c>
      <c r="W14" s="194">
        <f t="shared" ref="W14:W15" si="12">SUM(S14:V14)</f>
        <v>3311.2339876953129</v>
      </c>
      <c r="X14" s="193">
        <f t="shared" ref="X14:AA14" si="13">+X63+X96</f>
        <v>871.26976333007815</v>
      </c>
      <c r="Y14" s="193">
        <f t="shared" si="13"/>
        <v>817.51131143847658</v>
      </c>
      <c r="Z14" s="193">
        <f t="shared" si="13"/>
        <v>867.82960158856201</v>
      </c>
      <c r="AA14" s="193">
        <f t="shared" si="13"/>
        <v>906.90301963023376</v>
      </c>
      <c r="AB14" s="194">
        <f t="shared" ref="AB14:AB15" si="14">SUM(X14:AA14)</f>
        <v>3463.5136959873507</v>
      </c>
      <c r="AC14" s="193">
        <f t="shared" ref="AC14:AF14" si="15">+AC63+AC96</f>
        <v>941.1944315659332</v>
      </c>
      <c r="AD14" s="193">
        <f t="shared" si="15"/>
        <v>885.37999661284789</v>
      </c>
      <c r="AE14" s="193">
        <f t="shared" si="15"/>
        <v>942.09331449725209</v>
      </c>
      <c r="AF14" s="193">
        <f t="shared" si="15"/>
        <v>987.46537269725195</v>
      </c>
      <c r="AG14" s="194">
        <f t="shared" ref="AG14:AG15" si="16">SUM(AC14:AF14)</f>
        <v>3756.1331153732854</v>
      </c>
      <c r="AH14" s="193">
        <f t="shared" ref="AH14:AK14" si="17">+AH63+AH96</f>
        <v>1025.92657814423</v>
      </c>
      <c r="AI14" s="193">
        <f t="shared" si="17"/>
        <v>964.68997444349043</v>
      </c>
      <c r="AJ14" s="193">
        <f t="shared" si="17"/>
        <v>1025.9595197221147</v>
      </c>
      <c r="AK14" s="193">
        <f t="shared" si="17"/>
        <v>1075.2645148321146</v>
      </c>
      <c r="AL14" s="194">
        <f t="shared" ref="AL14:AL15" si="18">SUM(AH14:AK14)</f>
        <v>4091.84058714195</v>
      </c>
    </row>
    <row r="15" spans="1:56" ht="17.25" outlineLevel="1" x14ac:dyDescent="0.4">
      <c r="A15" s="300"/>
      <c r="B15" s="541" t="s">
        <v>302</v>
      </c>
      <c r="C15" s="542"/>
      <c r="D15" s="306">
        <v>525.29999999999995</v>
      </c>
      <c r="E15" s="306">
        <v>468.7</v>
      </c>
      <c r="F15" s="306">
        <v>563</v>
      </c>
      <c r="G15" s="306">
        <f t="shared" si="7"/>
        <v>532.19999999999982</v>
      </c>
      <c r="H15" s="331">
        <v>2089.1999999999998</v>
      </c>
      <c r="I15" s="306">
        <v>524.4</v>
      </c>
      <c r="J15" s="306">
        <v>539.9</v>
      </c>
      <c r="K15" s="306">
        <v>477.2</v>
      </c>
      <c r="L15" s="306">
        <f>+L64+L97+L115+L129</f>
        <v>446.83799999999997</v>
      </c>
      <c r="M15" s="331">
        <f t="shared" si="8"/>
        <v>1988.338</v>
      </c>
      <c r="N15" s="306">
        <f t="shared" ref="N15:Q15" si="19">+N64+N97+N115+N129</f>
        <v>553.78000000000009</v>
      </c>
      <c r="O15" s="306">
        <f t="shared" si="19"/>
        <v>571.95500000000004</v>
      </c>
      <c r="P15" s="306">
        <f t="shared" si="19"/>
        <v>531</v>
      </c>
      <c r="Q15" s="306">
        <f t="shared" si="19"/>
        <v>495.73180000000008</v>
      </c>
      <c r="R15" s="331">
        <f t="shared" si="10"/>
        <v>2152.4668000000001</v>
      </c>
      <c r="S15" s="306">
        <f t="shared" ref="S15:V15" si="20">+S64+S97+S115+S129</f>
        <v>587.71900000000005</v>
      </c>
      <c r="T15" s="306">
        <f t="shared" si="20"/>
        <v>606.38025000000005</v>
      </c>
      <c r="U15" s="306">
        <f t="shared" si="20"/>
        <v>561.81850000000009</v>
      </c>
      <c r="V15" s="306">
        <f t="shared" si="20"/>
        <v>524.12584000000004</v>
      </c>
      <c r="W15" s="331">
        <f t="shared" si="12"/>
        <v>2280.0435900000002</v>
      </c>
      <c r="X15" s="197">
        <f t="shared" ref="X15:AA15" si="21">+X64+X97+X115+X129</f>
        <v>621.86419999999998</v>
      </c>
      <c r="Y15" s="197">
        <f t="shared" si="21"/>
        <v>641.00163750000002</v>
      </c>
      <c r="Z15" s="197">
        <f t="shared" si="21"/>
        <v>595.15471250000007</v>
      </c>
      <c r="AA15" s="197">
        <f t="shared" si="21"/>
        <v>554.89095200000008</v>
      </c>
      <c r="AB15" s="198">
        <f t="shared" si="14"/>
        <v>2412.9115020000004</v>
      </c>
      <c r="AC15" s="197">
        <f t="shared" ref="AC15:AF15" si="22">+AC64+AC97+AC115+AC129</f>
        <v>658.72021000000018</v>
      </c>
      <c r="AD15" s="197">
        <f t="shared" si="22"/>
        <v>678.30408187500018</v>
      </c>
      <c r="AE15" s="197">
        <f t="shared" si="22"/>
        <v>631.27945187500018</v>
      </c>
      <c r="AF15" s="197">
        <f t="shared" si="22"/>
        <v>588.1916078500002</v>
      </c>
      <c r="AG15" s="198">
        <f t="shared" si="16"/>
        <v>2556.495351600001</v>
      </c>
      <c r="AH15" s="197">
        <f t="shared" ref="AH15:AK15" si="23">+AH64+AH97+AH115+AH129</f>
        <v>698.65483175000008</v>
      </c>
      <c r="AI15" s="197">
        <f t="shared" si="23"/>
        <v>718.64657221875018</v>
      </c>
      <c r="AJ15" s="197">
        <f t="shared" si="23"/>
        <v>670.59361296875022</v>
      </c>
      <c r="AK15" s="197">
        <f t="shared" si="23"/>
        <v>624.38966513000014</v>
      </c>
      <c r="AL15" s="198">
        <f t="shared" si="18"/>
        <v>2712.2846820675004</v>
      </c>
    </row>
    <row r="16" spans="1:56" s="20" customFormat="1" x14ac:dyDescent="0.25">
      <c r="A16" s="315"/>
      <c r="B16" s="537" t="s">
        <v>303</v>
      </c>
      <c r="C16" s="538"/>
      <c r="D16" s="305">
        <f t="shared" ref="D16:AB16" si="24">SUM(D13:D15)</f>
        <v>6632.7000000000007</v>
      </c>
      <c r="E16" s="305">
        <f t="shared" si="24"/>
        <v>6305.9</v>
      </c>
      <c r="F16" s="305">
        <f t="shared" si="24"/>
        <v>6823</v>
      </c>
      <c r="G16" s="305">
        <f t="shared" si="24"/>
        <v>6747.0000000000009</v>
      </c>
      <c r="H16" s="321">
        <f t="shared" si="24"/>
        <v>26508.600000000002</v>
      </c>
      <c r="I16" s="305">
        <f>SUM(I13:I15)</f>
        <v>7097.0999999999995</v>
      </c>
      <c r="J16" s="305">
        <f>SUM(J13:J15)</f>
        <v>5995.7</v>
      </c>
      <c r="K16" s="305">
        <f>SUM(K13:K15)</f>
        <v>4222.1000000000004</v>
      </c>
      <c r="L16" s="305">
        <f t="shared" si="24"/>
        <v>6001.1124999999993</v>
      </c>
      <c r="M16" s="321">
        <f t="shared" si="24"/>
        <v>23316.012500000001</v>
      </c>
      <c r="N16" s="305">
        <f t="shared" si="24"/>
        <v>7509.3424676240056</v>
      </c>
      <c r="O16" s="305">
        <f t="shared" si="24"/>
        <v>6531.5808224433003</v>
      </c>
      <c r="P16" s="305">
        <f t="shared" si="24"/>
        <v>5203.8063147445591</v>
      </c>
      <c r="Q16" s="305">
        <f t="shared" si="24"/>
        <v>8211.1723057664785</v>
      </c>
      <c r="R16" s="321">
        <f t="shared" si="24"/>
        <v>27455.901910578337</v>
      </c>
      <c r="S16" s="305">
        <f t="shared" si="24"/>
        <v>8603.6766293316196</v>
      </c>
      <c r="T16" s="305">
        <f t="shared" si="24"/>
        <v>6918.7612869590057</v>
      </c>
      <c r="U16" s="305">
        <f t="shared" si="24"/>
        <v>5490.1415647133972</v>
      </c>
      <c r="V16" s="305">
        <f t="shared" si="24"/>
        <v>8701.3975382458484</v>
      </c>
      <c r="W16" s="321">
        <f t="shared" si="24"/>
        <v>29713.977019249869</v>
      </c>
      <c r="X16" s="195">
        <f t="shared" si="24"/>
        <v>9103.5166080144918</v>
      </c>
      <c r="Y16" s="195">
        <f t="shared" si="24"/>
        <v>7315.1588834078775</v>
      </c>
      <c r="Z16" s="195">
        <f t="shared" si="24"/>
        <v>5805.4009754925401</v>
      </c>
      <c r="AA16" s="195">
        <f t="shared" si="24"/>
        <v>9206.5393312065044</v>
      </c>
      <c r="AB16" s="321">
        <f t="shared" si="24"/>
        <v>31430.615798121416</v>
      </c>
      <c r="AC16" s="195">
        <f t="shared" ref="AC16:AG16" si="25">SUM(AC13:AC15)</f>
        <v>9629.2060822985331</v>
      </c>
      <c r="AD16" s="195">
        <f t="shared" si="25"/>
        <v>7733.8329465411853</v>
      </c>
      <c r="AE16" s="195">
        <f t="shared" si="25"/>
        <v>6156.8206995042055</v>
      </c>
      <c r="AF16" s="195">
        <f t="shared" si="25"/>
        <v>9773.9979146424284</v>
      </c>
      <c r="AG16" s="196">
        <f t="shared" si="25"/>
        <v>33293.857642986353</v>
      </c>
      <c r="AH16" s="195">
        <f t="shared" ref="AH16:AL16" si="26">SUM(AH13:AH15)</f>
        <v>10245.202636524527</v>
      </c>
      <c r="AI16" s="195">
        <f t="shared" si="26"/>
        <v>8225.7836606219171</v>
      </c>
      <c r="AJ16" s="195">
        <f t="shared" si="26"/>
        <v>6564.0712232522419</v>
      </c>
      <c r="AK16" s="195">
        <f t="shared" si="26"/>
        <v>10420.239223975423</v>
      </c>
      <c r="AL16" s="196">
        <f t="shared" si="26"/>
        <v>35455.296744374107</v>
      </c>
    </row>
    <row r="17" spans="1:38" outlineLevel="1" x14ac:dyDescent="0.25">
      <c r="A17" s="300"/>
      <c r="B17" s="543" t="s">
        <v>299</v>
      </c>
      <c r="C17" s="544"/>
      <c r="D17" s="307">
        <v>2175.8000000000002</v>
      </c>
      <c r="E17" s="307">
        <v>2012</v>
      </c>
      <c r="F17" s="307">
        <v>2199.6</v>
      </c>
      <c r="G17" s="307">
        <f t="shared" si="7"/>
        <v>2139.4999999999991</v>
      </c>
      <c r="H17" s="320">
        <v>8526.9</v>
      </c>
      <c r="I17" s="307">
        <v>2236.4</v>
      </c>
      <c r="J17" s="307">
        <v>1997.7</v>
      </c>
      <c r="K17" s="307">
        <v>1484</v>
      </c>
      <c r="L17" s="307">
        <f>+L69+L102+L117+L131</f>
        <v>1853.419846218789</v>
      </c>
      <c r="M17" s="320">
        <f>SUM(I17:L17)</f>
        <v>7571.5198462187891</v>
      </c>
      <c r="N17" s="307">
        <f>+N69+N102+N117+N131</f>
        <v>2231.8966295347827</v>
      </c>
      <c r="O17" s="307">
        <f t="shared" ref="O17:Q17" si="27">+O69+O102+O117+O131</f>
        <v>1878.2623695354418</v>
      </c>
      <c r="P17" s="307">
        <f t="shared" si="27"/>
        <v>1550.5573386515159</v>
      </c>
      <c r="Q17" s="307">
        <f t="shared" si="27"/>
        <v>2021.5524249364501</v>
      </c>
      <c r="R17" s="320">
        <f>SUM(N17:Q17)</f>
        <v>7682.268762658191</v>
      </c>
      <c r="S17" s="307">
        <f>+S69+S102+S117+S131</f>
        <v>2155.5040991387791</v>
      </c>
      <c r="T17" s="307">
        <f t="shared" ref="T17:V17" si="28">+T69+T102+T117+T131</f>
        <v>1793.3548505999606</v>
      </c>
      <c r="U17" s="307">
        <f t="shared" si="28"/>
        <v>1475.2381178041389</v>
      </c>
      <c r="V17" s="307">
        <f t="shared" si="28"/>
        <v>2125.2922879893936</v>
      </c>
      <c r="W17" s="194">
        <f>SUM(S17:V17)</f>
        <v>7549.389355532272</v>
      </c>
      <c r="X17" s="307">
        <f>+X69+X102+X117+X131</f>
        <v>2265.0099609886483</v>
      </c>
      <c r="Y17" s="307">
        <f t="shared" ref="Y17:AA17" si="29">+Y69+Y102+Y117+Y131</f>
        <v>1889.9179921369712</v>
      </c>
      <c r="Z17" s="307">
        <f t="shared" si="29"/>
        <v>1558.5035716345124</v>
      </c>
      <c r="AA17" s="307">
        <f t="shared" si="29"/>
        <v>2248.0423044608142</v>
      </c>
      <c r="AB17" s="194">
        <f>SUM(X17:AA17)</f>
        <v>7961.4738292209458</v>
      </c>
      <c r="AC17" s="307">
        <f>+AC69+AC102+AC117+AC131</f>
        <v>2395.8353606471646</v>
      </c>
      <c r="AD17" s="307">
        <f t="shared" ref="AD17:AF17" si="30">+AD69+AD102+AD117+AD131</f>
        <v>1997.0357198125073</v>
      </c>
      <c r="AE17" s="307">
        <f t="shared" si="30"/>
        <v>1650.6180399155191</v>
      </c>
      <c r="AF17" s="307">
        <f t="shared" si="30"/>
        <v>2385.087420382506</v>
      </c>
      <c r="AG17" s="194">
        <f>SUM(AC17:AF17)</f>
        <v>8428.5765407576982</v>
      </c>
      <c r="AH17" s="307">
        <f>+AH69+AH102+AH117+AH131</f>
        <v>2546.9016995138154</v>
      </c>
      <c r="AI17" s="307">
        <f t="shared" ref="AI17:AK17" si="31">+AI69+AI102+AI117+AI131</f>
        <v>2121.0394087984773</v>
      </c>
      <c r="AJ17" s="307">
        <f t="shared" si="31"/>
        <v>1756.2137686292019</v>
      </c>
      <c r="AK17" s="307">
        <f t="shared" si="31"/>
        <v>2540.9761815274933</v>
      </c>
      <c r="AL17" s="194">
        <f>SUM(AH17:AK17)</f>
        <v>8965.1310584689872</v>
      </c>
    </row>
    <row r="18" spans="1:38" outlineLevel="1" x14ac:dyDescent="0.25">
      <c r="A18" s="300"/>
      <c r="B18" s="390" t="s">
        <v>158</v>
      </c>
      <c r="C18" s="391"/>
      <c r="D18" s="307">
        <v>2586.8000000000002</v>
      </c>
      <c r="E18" s="307">
        <v>2554.1</v>
      </c>
      <c r="F18" s="307">
        <v>2643.2</v>
      </c>
      <c r="G18" s="307">
        <f t="shared" si="7"/>
        <v>2709.5000000000009</v>
      </c>
      <c r="H18" s="320">
        <v>10493.6</v>
      </c>
      <c r="I18" s="307">
        <v>2821.5</v>
      </c>
      <c r="J18" s="307">
        <v>2721.4</v>
      </c>
      <c r="K18" s="307">
        <v>2537.8000000000002</v>
      </c>
      <c r="L18" s="193">
        <f>+L70+L103</f>
        <v>3422.6792349915941</v>
      </c>
      <c r="M18" s="194">
        <f t="shared" ref="M18:M21" si="32">SUM(I18:L18)</f>
        <v>11503.379234991593</v>
      </c>
      <c r="N18" s="193">
        <f>+N70+N103</f>
        <v>4231.6282554567761</v>
      </c>
      <c r="O18" s="193">
        <f t="shared" ref="O18:Q18" si="33">+O70+O103</f>
        <v>3460.9316021791756</v>
      </c>
      <c r="P18" s="193">
        <f t="shared" si="33"/>
        <v>2662.8345217212873</v>
      </c>
      <c r="Q18" s="193">
        <f t="shared" si="33"/>
        <v>3823.0032506821458</v>
      </c>
      <c r="R18" s="194">
        <f t="shared" ref="R18:R21" si="34">SUM(N18:Q18)</f>
        <v>14178.397630039386</v>
      </c>
      <c r="S18" s="193">
        <f>+S70+S103</f>
        <v>3976.3832020659897</v>
      </c>
      <c r="T18" s="193">
        <f t="shared" ref="T18:V18" si="35">+T70+T103</f>
        <v>3195.7939642259689</v>
      </c>
      <c r="U18" s="193">
        <f t="shared" si="35"/>
        <v>2444.3075531781897</v>
      </c>
      <c r="V18" s="193">
        <f t="shared" si="35"/>
        <v>4008.4461182801883</v>
      </c>
      <c r="W18" s="194">
        <f t="shared" ref="W18:W21" si="36">SUM(S18:V18)</f>
        <v>13624.930837750335</v>
      </c>
      <c r="X18" s="193">
        <f>+X70+X103</f>
        <v>4184.0275057621693</v>
      </c>
      <c r="Y18" s="193">
        <f t="shared" ref="Y18:AA18" si="37">+Y70+Y103</f>
        <v>3370.6974775902486</v>
      </c>
      <c r="Z18" s="193">
        <f t="shared" si="37"/>
        <v>2583.5897454020214</v>
      </c>
      <c r="AA18" s="193">
        <f t="shared" si="37"/>
        <v>4239.3954096024172</v>
      </c>
      <c r="AB18" s="194">
        <f t="shared" ref="AB18:AB21" si="38">SUM(X18:AA18)</f>
        <v>14377.710138356857</v>
      </c>
      <c r="AC18" s="193">
        <f>+AC70+AC103</f>
        <v>4422.195937117729</v>
      </c>
      <c r="AD18" s="193">
        <f t="shared" ref="AD18:AF18" si="39">+AD70+AD103</f>
        <v>3562.6588261847128</v>
      </c>
      <c r="AE18" s="193">
        <f t="shared" si="39"/>
        <v>2739.873410497089</v>
      </c>
      <c r="AF18" s="193">
        <f t="shared" si="39"/>
        <v>4499.8545707548319</v>
      </c>
      <c r="AG18" s="194">
        <f t="shared" ref="AG18:AG22" si="40">SUM(AC18:AF18)</f>
        <v>15224.582744554362</v>
      </c>
      <c r="AH18" s="193">
        <f>+AH70+AH103</f>
        <v>4704.5212298810593</v>
      </c>
      <c r="AI18" s="193">
        <f t="shared" ref="AI18:AK18" si="41">+AI70+AI103</f>
        <v>3790.7472964416447</v>
      </c>
      <c r="AJ18" s="193">
        <f t="shared" si="41"/>
        <v>2922.4859250558738</v>
      </c>
      <c r="AK18" s="193">
        <f t="shared" si="41"/>
        <v>4796.4180751365557</v>
      </c>
      <c r="AL18" s="194">
        <f t="shared" ref="AL18:AL22" si="42">SUM(AH18:AK18)</f>
        <v>16214.172526515133</v>
      </c>
    </row>
    <row r="19" spans="1:38" outlineLevel="1" x14ac:dyDescent="0.25">
      <c r="A19" s="300"/>
      <c r="B19" s="390" t="s">
        <v>159</v>
      </c>
      <c r="C19" s="391"/>
      <c r="D19" s="307">
        <v>97.6</v>
      </c>
      <c r="E19" s="307">
        <v>87.1</v>
      </c>
      <c r="F19" s="307">
        <v>94.4</v>
      </c>
      <c r="G19" s="307">
        <f t="shared" si="7"/>
        <v>91.900000000000034</v>
      </c>
      <c r="H19" s="320">
        <v>371</v>
      </c>
      <c r="I19" s="307">
        <v>101.8</v>
      </c>
      <c r="J19" s="307">
        <v>95</v>
      </c>
      <c r="K19" s="307">
        <v>133.6</v>
      </c>
      <c r="L19" s="193">
        <f>+L71+L104+L118+L132</f>
        <v>153.77508549993667</v>
      </c>
      <c r="M19" s="194">
        <f t="shared" si="32"/>
        <v>484.17508549993664</v>
      </c>
      <c r="N19" s="193">
        <f>+N71+N104+N118+N132</f>
        <v>183.71867174146536</v>
      </c>
      <c r="O19" s="193">
        <f t="shared" ref="O19:Q19" si="43">+O71+O104+O118+O132</f>
        <v>158.60661883382619</v>
      </c>
      <c r="P19" s="193">
        <f t="shared" si="43"/>
        <v>140.2979051998976</v>
      </c>
      <c r="Q19" s="193">
        <f t="shared" si="43"/>
        <v>167.1061560394528</v>
      </c>
      <c r="R19" s="194">
        <f t="shared" si="34"/>
        <v>649.72935181464197</v>
      </c>
      <c r="S19" s="193">
        <f>+S71+S104+S118+S132</f>
        <v>182.80275993522093</v>
      </c>
      <c r="T19" s="193">
        <f t="shared" ref="T19:V19" si="44">+T71+T104+T118+T132</f>
        <v>156.27449145255991</v>
      </c>
      <c r="U19" s="193">
        <f t="shared" si="44"/>
        <v>137.51566042227992</v>
      </c>
      <c r="V19" s="193">
        <f t="shared" si="44"/>
        <v>176.21691828742337</v>
      </c>
      <c r="W19" s="194">
        <f t="shared" si="36"/>
        <v>652.80983009748411</v>
      </c>
      <c r="X19" s="193">
        <f>+X71+X104+X118+X132</f>
        <v>191.7844779090828</v>
      </c>
      <c r="Y19" s="193">
        <f t="shared" ref="Y19:AA19" si="45">+Y71+Y104+Y118+Y132</f>
        <v>164.52076136863587</v>
      </c>
      <c r="Z19" s="193">
        <f t="shared" si="45"/>
        <v>145.24320958472606</v>
      </c>
      <c r="AA19" s="193">
        <f t="shared" si="45"/>
        <v>186.45382364767312</v>
      </c>
      <c r="AB19" s="194">
        <f t="shared" si="38"/>
        <v>688.00227251011779</v>
      </c>
      <c r="AC19" s="193">
        <f>+AC71+AC104+AC118+AC132</f>
        <v>203.092873862022</v>
      </c>
      <c r="AD19" s="193">
        <f t="shared" ref="AD19:AF19" si="46">+AD71+AD104+AD118+AD132</f>
        <v>173.8282406339562</v>
      </c>
      <c r="AE19" s="193">
        <f t="shared" si="46"/>
        <v>153.68868699618278</v>
      </c>
      <c r="AF19" s="193">
        <f t="shared" si="46"/>
        <v>197.77342698038274</v>
      </c>
      <c r="AG19" s="194">
        <f t="shared" si="40"/>
        <v>728.38322847254369</v>
      </c>
      <c r="AH19" s="193">
        <f>+AH71+AH104+AH118+AH132</f>
        <v>215.80785107190741</v>
      </c>
      <c r="AI19" s="193">
        <f t="shared" ref="AI19:AK19" si="47">+AI71+AI104+AI118+AI132</f>
        <v>184.34577827505444</v>
      </c>
      <c r="AJ19" s="193">
        <f t="shared" si="47"/>
        <v>163.22844002132894</v>
      </c>
      <c r="AK19" s="193">
        <f t="shared" si="47"/>
        <v>210.67337548596771</v>
      </c>
      <c r="AL19" s="194">
        <f t="shared" si="42"/>
        <v>774.05544485425844</v>
      </c>
    </row>
    <row r="20" spans="1:38" outlineLevel="1" x14ac:dyDescent="0.25">
      <c r="A20" s="300"/>
      <c r="B20" s="390" t="s">
        <v>160</v>
      </c>
      <c r="C20" s="391"/>
      <c r="D20" s="307">
        <v>333.4</v>
      </c>
      <c r="E20" s="307">
        <v>356.2</v>
      </c>
      <c r="F20" s="307">
        <v>343.1</v>
      </c>
      <c r="G20" s="307">
        <f t="shared" si="7"/>
        <v>344.5999999999998</v>
      </c>
      <c r="H20" s="320">
        <v>1377.3</v>
      </c>
      <c r="I20" s="307">
        <v>351</v>
      </c>
      <c r="J20" s="307">
        <v>356.3</v>
      </c>
      <c r="K20" s="307">
        <v>361</v>
      </c>
      <c r="L20" s="193">
        <f>+L72+L105+L119+L133</f>
        <v>368.49523072332948</v>
      </c>
      <c r="M20" s="194">
        <f t="shared" ref="M20" si="48">SUM(I20:L20)</f>
        <v>1436.7952307233295</v>
      </c>
      <c r="N20" s="193">
        <f>+N72+N105+N119+N133</f>
        <v>368.99841571956335</v>
      </c>
      <c r="O20" s="193">
        <f t="shared" ref="O20:Q20" si="49">+O72+O105+O119+O133</f>
        <v>376.24601609753739</v>
      </c>
      <c r="P20" s="193">
        <f t="shared" si="49"/>
        <v>378.11355194030091</v>
      </c>
      <c r="Q20" s="193">
        <f t="shared" si="49"/>
        <v>374.49478131314868</v>
      </c>
      <c r="R20" s="194">
        <f t="shared" ref="R20" si="50">SUM(N20:Q20)</f>
        <v>1497.8527650705503</v>
      </c>
      <c r="S20" s="193">
        <f>+S72+S105+S119+S133</f>
        <v>382.8856610569764</v>
      </c>
      <c r="T20" s="193">
        <f t="shared" ref="T20:V20" si="51">+T72+T105+T119+T133</f>
        <v>390.9748492336663</v>
      </c>
      <c r="U20" s="193">
        <f t="shared" si="51"/>
        <v>392.25077386484969</v>
      </c>
      <c r="V20" s="193">
        <f t="shared" si="51"/>
        <v>388.44283573762613</v>
      </c>
      <c r="W20" s="194">
        <f t="shared" ref="W20" si="52">SUM(S20:V20)</f>
        <v>1554.5541198931185</v>
      </c>
      <c r="X20" s="193">
        <f>+X72+X105+X119+X133</f>
        <v>396.39957648315158</v>
      </c>
      <c r="Y20" s="193">
        <f t="shared" ref="Y20:AA20" si="53">+Y72+Y105+Y119+Y133</f>
        <v>399.87928823204874</v>
      </c>
      <c r="Z20" s="193">
        <f t="shared" si="53"/>
        <v>397.83578131756542</v>
      </c>
      <c r="AA20" s="193">
        <f t="shared" si="53"/>
        <v>391.49949524647576</v>
      </c>
      <c r="AB20" s="194">
        <f t="shared" ref="AB20" si="54">SUM(X20:AA20)</f>
        <v>1585.6141412792417</v>
      </c>
      <c r="AC20" s="193">
        <f>+AC72+AC105+AC119+AC133</f>
        <v>395.5671726563138</v>
      </c>
      <c r="AD20" s="193">
        <f t="shared" ref="AD20:AF20" si="55">+AD72+AD105+AD119+AD133</f>
        <v>400.61981696108484</v>
      </c>
      <c r="AE20" s="193">
        <f t="shared" si="55"/>
        <v>399.79376545108249</v>
      </c>
      <c r="AF20" s="193">
        <f t="shared" si="55"/>
        <v>394.38450904481113</v>
      </c>
      <c r="AG20" s="194">
        <f t="shared" si="40"/>
        <v>1590.3652641132921</v>
      </c>
      <c r="AH20" s="193">
        <f>+AH72+AH105+AH119+AH133</f>
        <v>399.93649527517499</v>
      </c>
      <c r="AI20" s="193">
        <f t="shared" ref="AI20:AK20" si="56">+AI72+AI105+AI119+AI133</f>
        <v>406.54413055950789</v>
      </c>
      <c r="AJ20" s="193">
        <f t="shared" si="56"/>
        <v>406.82233831504578</v>
      </c>
      <c r="AK20" s="193">
        <f t="shared" si="56"/>
        <v>402.19725145511984</v>
      </c>
      <c r="AL20" s="194">
        <f t="shared" si="42"/>
        <v>1615.5002156048486</v>
      </c>
    </row>
    <row r="21" spans="1:38" ht="17.25" customHeight="1" outlineLevel="1" x14ac:dyDescent="0.25">
      <c r="A21" s="300"/>
      <c r="B21" s="390" t="s">
        <v>282</v>
      </c>
      <c r="C21" s="391"/>
      <c r="D21" s="307">
        <v>448</v>
      </c>
      <c r="E21" s="307">
        <v>458.1</v>
      </c>
      <c r="F21" s="307">
        <v>459.7</v>
      </c>
      <c r="G21" s="307">
        <f t="shared" si="7"/>
        <v>458.29999999999984</v>
      </c>
      <c r="H21" s="320">
        <v>1824.1</v>
      </c>
      <c r="I21" s="307">
        <v>434.2</v>
      </c>
      <c r="J21" s="307">
        <v>406.5</v>
      </c>
      <c r="K21" s="307">
        <v>399.9</v>
      </c>
      <c r="L21" s="193">
        <f>+L73+L106+L120+L134</f>
        <v>431.72789010482552</v>
      </c>
      <c r="M21" s="320">
        <f t="shared" si="32"/>
        <v>1672.3278901048254</v>
      </c>
      <c r="N21" s="193">
        <f>+N73+N106+N120+N134</f>
        <v>463.82218817459682</v>
      </c>
      <c r="O21" s="193">
        <f t="shared" ref="O21:Q21" si="57">+O73+O106+O120+O134</f>
        <v>407.53069804892652</v>
      </c>
      <c r="P21" s="193">
        <f t="shared" si="57"/>
        <v>378.4019807513007</v>
      </c>
      <c r="Q21" s="193">
        <f t="shared" si="57"/>
        <v>417.23274761313411</v>
      </c>
      <c r="R21" s="320">
        <f t="shared" si="34"/>
        <v>1666.987614587958</v>
      </c>
      <c r="S21" s="193">
        <f>+S73+S106+S120+S134</f>
        <v>445.33393595606702</v>
      </c>
      <c r="T21" s="193">
        <f t="shared" ref="T21:V21" si="58">+T73+T106+T120+T134</f>
        <v>393.27721213687585</v>
      </c>
      <c r="U21" s="193">
        <f t="shared" si="58"/>
        <v>369.17990990334192</v>
      </c>
      <c r="V21" s="193">
        <f t="shared" si="58"/>
        <v>436.02456712415295</v>
      </c>
      <c r="W21" s="194">
        <f t="shared" si="36"/>
        <v>1643.8156251204377</v>
      </c>
      <c r="X21" s="193">
        <f>+X73+X106+X120+X134</f>
        <v>452.21081214510957</v>
      </c>
      <c r="Y21" s="193">
        <f t="shared" ref="Y21:AA21" si="59">+Y73+Y106+Y120+Y134</f>
        <v>401.33114368311658</v>
      </c>
      <c r="Z21" s="193">
        <f t="shared" si="59"/>
        <v>378.32102216644853</v>
      </c>
      <c r="AA21" s="193">
        <f t="shared" si="59"/>
        <v>449.85530373567718</v>
      </c>
      <c r="AB21" s="194">
        <f t="shared" si="38"/>
        <v>1681.7182817303517</v>
      </c>
      <c r="AC21" s="193">
        <f>+AC73+AC106+AC120+AC134</f>
        <v>465.67280372825002</v>
      </c>
      <c r="AD21" s="193">
        <f t="shared" ref="AD21:AF21" si="60">+AD73+AD106+AD120+AD134</f>
        <v>411.83502698574233</v>
      </c>
      <c r="AE21" s="193">
        <f t="shared" si="60"/>
        <v>388.06507910882186</v>
      </c>
      <c r="AF21" s="193">
        <f t="shared" si="60"/>
        <v>464.44183066473056</v>
      </c>
      <c r="AG21" s="194">
        <f t="shared" si="40"/>
        <v>1730.0147404875447</v>
      </c>
      <c r="AH21" s="193">
        <f>+AH73+AH106+AH120+AH134</f>
        <v>481.7903774778116</v>
      </c>
      <c r="AI21" s="193">
        <f t="shared" ref="AI21:AK21" si="61">+AI73+AI106+AI120+AI134</f>
        <v>424.13586752489675</v>
      </c>
      <c r="AJ21" s="193">
        <f t="shared" si="61"/>
        <v>399.27419967983815</v>
      </c>
      <c r="AK21" s="193">
        <f t="shared" si="61"/>
        <v>481.40237804718396</v>
      </c>
      <c r="AL21" s="194">
        <f t="shared" si="42"/>
        <v>1786.6028227297304</v>
      </c>
    </row>
    <row r="22" spans="1:38" ht="17.25" customHeight="1" outlineLevel="1" x14ac:dyDescent="0.4">
      <c r="A22" s="300"/>
      <c r="B22" s="390" t="s">
        <v>169</v>
      </c>
      <c r="C22" s="391"/>
      <c r="D22" s="306">
        <v>43.2</v>
      </c>
      <c r="E22" s="306">
        <v>43</v>
      </c>
      <c r="F22" s="306">
        <v>37.700000000000003</v>
      </c>
      <c r="G22" s="306">
        <f t="shared" si="7"/>
        <v>11.900000000000006</v>
      </c>
      <c r="H22" s="331">
        <v>135.80000000000001</v>
      </c>
      <c r="I22" s="306">
        <v>6.3</v>
      </c>
      <c r="J22" s="306">
        <v>-0.7</v>
      </c>
      <c r="K22" s="306">
        <v>78.099999999999994</v>
      </c>
      <c r="L22" s="306">
        <f>+L74+L107+L121+L135</f>
        <v>151.07210995937254</v>
      </c>
      <c r="M22" s="198">
        <f t="shared" ref="M22" si="62">SUM(I22:L22)</f>
        <v>234.77210995937253</v>
      </c>
      <c r="N22" s="197">
        <f>+N74+N107+N121+N135</f>
        <v>89.411292327659538</v>
      </c>
      <c r="O22" s="197">
        <f t="shared" ref="O22:Q22" si="63">+O74+O107+O121+O135</f>
        <v>77.931906242225452</v>
      </c>
      <c r="P22" s="197">
        <f t="shared" si="63"/>
        <v>60.436336314850969</v>
      </c>
      <c r="Q22" s="197">
        <f t="shared" si="63"/>
        <v>82.436522657687007</v>
      </c>
      <c r="R22" s="198">
        <f t="shared" ref="R22" si="64">SUM(N22:Q22)</f>
        <v>310.21605754242296</v>
      </c>
      <c r="S22" s="197">
        <f>+S74+S107+S121+S135</f>
        <v>84.358473066914783</v>
      </c>
      <c r="T22" s="197">
        <f t="shared" ref="T22:V22" si="65">+T74+T107+T121+T135</f>
        <v>71.880319507202458</v>
      </c>
      <c r="U22" s="197">
        <f t="shared" si="65"/>
        <v>53.915050378699348</v>
      </c>
      <c r="V22" s="197">
        <f t="shared" si="65"/>
        <v>86.278858010790785</v>
      </c>
      <c r="W22" s="198">
        <f t="shared" ref="W22" si="66">SUM(S22:V22)</f>
        <v>296.43270096360737</v>
      </c>
      <c r="X22" s="197">
        <f>+X74+X107+X121+X135</f>
        <v>88.670852369481196</v>
      </c>
      <c r="Y22" s="197">
        <f t="shared" ref="Y22:AA22" si="67">+Y74+Y107+Y121+Y135</f>
        <v>75.145033571051897</v>
      </c>
      <c r="Z22" s="197">
        <f t="shared" si="67"/>
        <v>56.04942820120273</v>
      </c>
      <c r="AA22" s="197">
        <f t="shared" si="67"/>
        <v>90.620715846069658</v>
      </c>
      <c r="AB22" s="198">
        <f t="shared" ref="AB22" si="68">SUM(X22:AA22)</f>
        <v>310.48602998780552</v>
      </c>
      <c r="AC22" s="197">
        <f>+AC74+AC107+AC121+AC135</f>
        <v>92.814728510279565</v>
      </c>
      <c r="AD22" s="197">
        <f t="shared" ref="AD22:AF22" si="69">+AD74+AD107+AD121+AD135</f>
        <v>78.641421293469449</v>
      </c>
      <c r="AE22" s="197">
        <f t="shared" si="69"/>
        <v>58.68497706246189</v>
      </c>
      <c r="AF22" s="197">
        <f t="shared" si="69"/>
        <v>95.383869887505199</v>
      </c>
      <c r="AG22" s="198">
        <f t="shared" si="40"/>
        <v>325.5249967537161</v>
      </c>
      <c r="AH22" s="197">
        <f>+AH74+AH107+AH121+AH135</f>
        <v>97.8268936348924</v>
      </c>
      <c r="AI22" s="197">
        <f t="shared" ref="AI22:AK22" si="70">+AI74+AI107+AI121+AI135</f>
        <v>82.885236546911941</v>
      </c>
      <c r="AJ22" s="197">
        <f t="shared" si="70"/>
        <v>61.787084557856488</v>
      </c>
      <c r="AK22" s="197">
        <f t="shared" si="70"/>
        <v>100.67571594781018</v>
      </c>
      <c r="AL22" s="198">
        <f t="shared" si="42"/>
        <v>343.17493068747103</v>
      </c>
    </row>
    <row r="23" spans="1:38" s="44" customFormat="1" ht="17.25" customHeight="1" x14ac:dyDescent="0.4">
      <c r="A23" s="392"/>
      <c r="B23" s="393" t="s">
        <v>53</v>
      </c>
      <c r="C23" s="394"/>
      <c r="D23" s="308">
        <f t="shared" ref="D23:AL23" si="71">SUM(D18:D22)+D17</f>
        <v>5684.8</v>
      </c>
      <c r="E23" s="308">
        <f t="shared" si="71"/>
        <v>5510.5</v>
      </c>
      <c r="F23" s="308">
        <f t="shared" si="71"/>
        <v>5777.6999999999989</v>
      </c>
      <c r="G23" s="308">
        <f t="shared" si="71"/>
        <v>5755.7</v>
      </c>
      <c r="H23" s="355">
        <f t="shared" si="71"/>
        <v>22728.699999999997</v>
      </c>
      <c r="I23" s="308">
        <f t="shared" si="71"/>
        <v>5951.2000000000007</v>
      </c>
      <c r="J23" s="308">
        <f t="shared" si="71"/>
        <v>5576.2000000000007</v>
      </c>
      <c r="K23" s="308">
        <f t="shared" si="71"/>
        <v>4994.3999999999996</v>
      </c>
      <c r="L23" s="199">
        <f t="shared" si="71"/>
        <v>6381.1693974978471</v>
      </c>
      <c r="M23" s="200">
        <f t="shared" si="71"/>
        <v>22902.969397497847</v>
      </c>
      <c r="N23" s="199">
        <f t="shared" si="71"/>
        <v>7569.4754529548436</v>
      </c>
      <c r="O23" s="199">
        <f t="shared" si="71"/>
        <v>6359.5092109371326</v>
      </c>
      <c r="P23" s="199">
        <f t="shared" si="71"/>
        <v>5170.6416345791531</v>
      </c>
      <c r="Q23" s="199">
        <f t="shared" si="71"/>
        <v>6885.8258832420188</v>
      </c>
      <c r="R23" s="200">
        <f t="shared" si="71"/>
        <v>25985.45218171315</v>
      </c>
      <c r="S23" s="199">
        <f t="shared" si="71"/>
        <v>7227.2681312199475</v>
      </c>
      <c r="T23" s="199">
        <f t="shared" si="71"/>
        <v>6001.5556871562339</v>
      </c>
      <c r="U23" s="199">
        <f t="shared" si="71"/>
        <v>4872.4070655514997</v>
      </c>
      <c r="V23" s="199">
        <f t="shared" si="71"/>
        <v>7220.7015854295751</v>
      </c>
      <c r="W23" s="200">
        <f t="shared" si="71"/>
        <v>25321.932469357253</v>
      </c>
      <c r="X23" s="199">
        <f t="shared" si="71"/>
        <v>7578.1031856576428</v>
      </c>
      <c r="Y23" s="199">
        <f t="shared" si="71"/>
        <v>6301.4916965820721</v>
      </c>
      <c r="Z23" s="199">
        <f t="shared" si="71"/>
        <v>5119.5427583064766</v>
      </c>
      <c r="AA23" s="199">
        <f t="shared" si="71"/>
        <v>7605.8670525391262</v>
      </c>
      <c r="AB23" s="200">
        <f t="shared" si="71"/>
        <v>26605.00469308532</v>
      </c>
      <c r="AC23" s="199">
        <f t="shared" si="71"/>
        <v>7975.1788765217598</v>
      </c>
      <c r="AD23" s="199">
        <f t="shared" si="71"/>
        <v>6624.6190518714729</v>
      </c>
      <c r="AE23" s="199">
        <f t="shared" si="71"/>
        <v>5390.7239590311565</v>
      </c>
      <c r="AF23" s="199">
        <f t="shared" si="71"/>
        <v>8036.9256277147679</v>
      </c>
      <c r="AG23" s="200">
        <f t="shared" si="71"/>
        <v>28027.44751513916</v>
      </c>
      <c r="AH23" s="199">
        <f t="shared" si="71"/>
        <v>8446.7845468546602</v>
      </c>
      <c r="AI23" s="199">
        <f t="shared" si="71"/>
        <v>7009.6977181464936</v>
      </c>
      <c r="AJ23" s="199">
        <f t="shared" si="71"/>
        <v>5709.8117562591451</v>
      </c>
      <c r="AK23" s="199">
        <f t="shared" si="71"/>
        <v>8532.3429776001321</v>
      </c>
      <c r="AL23" s="200">
        <f t="shared" si="71"/>
        <v>29698.636998860427</v>
      </c>
    </row>
    <row r="24" spans="1:38" s="47" customFormat="1" ht="17.25" customHeight="1" x14ac:dyDescent="0.4">
      <c r="A24" s="366"/>
      <c r="B24" s="545" t="s">
        <v>162</v>
      </c>
      <c r="C24" s="546"/>
      <c r="D24" s="306">
        <v>67.8</v>
      </c>
      <c r="E24" s="306">
        <v>62.3</v>
      </c>
      <c r="F24" s="306">
        <v>76</v>
      </c>
      <c r="G24" s="306">
        <f t="shared" si="7"/>
        <v>91.899999999999991</v>
      </c>
      <c r="H24" s="331">
        <v>298</v>
      </c>
      <c r="I24" s="306">
        <v>73.900000000000006</v>
      </c>
      <c r="J24" s="306">
        <v>67.900000000000006</v>
      </c>
      <c r="K24" s="306">
        <v>68.400000000000006</v>
      </c>
      <c r="L24" s="197">
        <f>+L109+L123</f>
        <v>75.524999999999991</v>
      </c>
      <c r="M24" s="198">
        <f t="shared" ref="M24" si="72">SUM(I24:L24)</f>
        <v>285.72500000000002</v>
      </c>
      <c r="N24" s="197">
        <f>+N109+N123</f>
        <v>71.431250000000006</v>
      </c>
      <c r="O24" s="197">
        <f>+O109+O123</f>
        <v>70.814062499999991</v>
      </c>
      <c r="P24" s="197">
        <f>+P109+P123</f>
        <v>71.542578124999991</v>
      </c>
      <c r="Q24" s="197">
        <f>+Q109+Q123</f>
        <v>72.328222656249991</v>
      </c>
      <c r="R24" s="198">
        <f t="shared" ref="R24" si="73">SUM(N24:Q24)</f>
        <v>286.11611328124997</v>
      </c>
      <c r="S24" s="197">
        <f>+S109+S123</f>
        <v>71.529028320312491</v>
      </c>
      <c r="T24" s="197">
        <f>+T109+T123</f>
        <v>71.553472900390616</v>
      </c>
      <c r="U24" s="197">
        <f>+U109+U123</f>
        <v>71.738325500488273</v>
      </c>
      <c r="V24" s="197">
        <f>+V109+V123</f>
        <v>71.787262344360343</v>
      </c>
      <c r="W24" s="198">
        <f t="shared" ref="W24" si="74">SUM(S24:V24)</f>
        <v>286.60808906555172</v>
      </c>
      <c r="X24" s="197">
        <f>+X109+X123</f>
        <v>71.652022266387931</v>
      </c>
      <c r="Y24" s="197">
        <f>+Y109+Y123</f>
        <v>71.682770752906791</v>
      </c>
      <c r="Z24" s="197">
        <f>+Z109+Z123</f>
        <v>71.715095216035834</v>
      </c>
      <c r="AA24" s="197">
        <f>+AA109+AA123</f>
        <v>71.709287644922725</v>
      </c>
      <c r="AB24" s="198">
        <f t="shared" ref="AB24" si="75">SUM(X24:AA24)</f>
        <v>286.75917588025328</v>
      </c>
      <c r="AC24" s="197">
        <f>+AC109+AC123</f>
        <v>71.68979397006332</v>
      </c>
      <c r="AD24" s="197">
        <f>+AD109+AD123</f>
        <v>71.699236895982168</v>
      </c>
      <c r="AE24" s="197">
        <f>+AE109+AE123</f>
        <v>71.703353431751012</v>
      </c>
      <c r="AF24" s="197">
        <f>+AF109+AF123</f>
        <v>71.700417985679806</v>
      </c>
      <c r="AG24" s="198">
        <f t="shared" ref="AG24" si="76">SUM(AC24:AF24)</f>
        <v>286.79280228347631</v>
      </c>
      <c r="AH24" s="197">
        <f>+AH109+AH123</f>
        <v>71.698200570869076</v>
      </c>
      <c r="AI24" s="197">
        <f>+AI109+AI123</f>
        <v>71.700302221070515</v>
      </c>
      <c r="AJ24" s="197">
        <f>+AJ109+AJ123</f>
        <v>71.700568552342602</v>
      </c>
      <c r="AK24" s="197">
        <f>+AK109+AK123</f>
        <v>71.6998723324905</v>
      </c>
      <c r="AL24" s="198">
        <f t="shared" ref="AL24" si="77">SUM(AH24:AK24)</f>
        <v>286.79894367677269</v>
      </c>
    </row>
    <row r="25" spans="1:38" x14ac:dyDescent="0.25">
      <c r="A25" s="300"/>
      <c r="B25" s="395" t="s">
        <v>69</v>
      </c>
      <c r="C25" s="396"/>
      <c r="D25" s="305">
        <f t="shared" ref="D25:AL25" si="78">D16-D23+D24</f>
        <v>1015.7000000000005</v>
      </c>
      <c r="E25" s="305">
        <f t="shared" si="78"/>
        <v>857.69999999999959</v>
      </c>
      <c r="F25" s="305">
        <f t="shared" si="78"/>
        <v>1121.3000000000011</v>
      </c>
      <c r="G25" s="305">
        <f t="shared" si="78"/>
        <v>1083.2000000000012</v>
      </c>
      <c r="H25" s="321">
        <f t="shared" si="78"/>
        <v>4077.9000000000051</v>
      </c>
      <c r="I25" s="305">
        <f t="shared" si="78"/>
        <v>1219.7999999999988</v>
      </c>
      <c r="J25" s="305">
        <f t="shared" si="78"/>
        <v>487.39999999999907</v>
      </c>
      <c r="K25" s="305">
        <f t="shared" si="78"/>
        <v>-703.8999999999993</v>
      </c>
      <c r="L25" s="195">
        <f t="shared" si="78"/>
        <v>-304.53189749784781</v>
      </c>
      <c r="M25" s="196">
        <f t="shared" si="78"/>
        <v>698.76810250215351</v>
      </c>
      <c r="N25" s="195">
        <f t="shared" si="78"/>
        <v>11.298264669162023</v>
      </c>
      <c r="O25" s="195">
        <f t="shared" si="78"/>
        <v>242.88567400616773</v>
      </c>
      <c r="P25" s="195">
        <f t="shared" si="78"/>
        <v>104.70725829040602</v>
      </c>
      <c r="Q25" s="195">
        <f t="shared" si="78"/>
        <v>1397.6746451807098</v>
      </c>
      <c r="R25" s="196">
        <f t="shared" si="78"/>
        <v>1756.5658421464373</v>
      </c>
      <c r="S25" s="195">
        <f t="shared" si="78"/>
        <v>1447.9375264319847</v>
      </c>
      <c r="T25" s="195">
        <f t="shared" si="78"/>
        <v>988.75907270316236</v>
      </c>
      <c r="U25" s="195">
        <f t="shared" si="78"/>
        <v>689.47282466238573</v>
      </c>
      <c r="V25" s="195">
        <f t="shared" si="78"/>
        <v>1552.4832151606338</v>
      </c>
      <c r="W25" s="196">
        <f t="shared" si="78"/>
        <v>4678.6526389581686</v>
      </c>
      <c r="X25" s="195">
        <f t="shared" si="78"/>
        <v>1597.065444623237</v>
      </c>
      <c r="Y25" s="195">
        <f t="shared" si="78"/>
        <v>1085.3499575787123</v>
      </c>
      <c r="Z25" s="195">
        <f t="shared" si="78"/>
        <v>757.5733124020993</v>
      </c>
      <c r="AA25" s="195">
        <f t="shared" si="78"/>
        <v>1672.3815663123009</v>
      </c>
      <c r="AB25" s="196">
        <f t="shared" si="78"/>
        <v>5112.3702809163497</v>
      </c>
      <c r="AC25" s="195">
        <f t="shared" si="78"/>
        <v>1725.7169997468368</v>
      </c>
      <c r="AD25" s="195">
        <f t="shared" si="78"/>
        <v>1180.9131315656946</v>
      </c>
      <c r="AE25" s="195">
        <f t="shared" si="78"/>
        <v>837.80009390480006</v>
      </c>
      <c r="AF25" s="195">
        <f t="shared" si="78"/>
        <v>1808.7727049133405</v>
      </c>
      <c r="AG25" s="196">
        <f t="shared" si="78"/>
        <v>5553.2029301306702</v>
      </c>
      <c r="AH25" s="195">
        <f t="shared" si="78"/>
        <v>1870.1162902407364</v>
      </c>
      <c r="AI25" s="195">
        <f t="shared" si="78"/>
        <v>1287.7862446964941</v>
      </c>
      <c r="AJ25" s="195">
        <f t="shared" si="78"/>
        <v>925.96003554543938</v>
      </c>
      <c r="AK25" s="195">
        <f t="shared" si="78"/>
        <v>1959.596118707781</v>
      </c>
      <c r="AL25" s="196">
        <f t="shared" si="78"/>
        <v>6043.4586891904528</v>
      </c>
    </row>
    <row r="26" spans="1:38" ht="17.25" x14ac:dyDescent="0.4">
      <c r="A26" s="300"/>
      <c r="B26" s="352" t="s">
        <v>213</v>
      </c>
      <c r="C26" s="255"/>
      <c r="D26" s="309">
        <f t="shared" ref="D26:AA26" si="79">+D176</f>
        <v>138</v>
      </c>
      <c r="E26" s="309">
        <f t="shared" si="79"/>
        <v>141.4</v>
      </c>
      <c r="F26" s="309">
        <f t="shared" si="79"/>
        <v>125.30000000000001</v>
      </c>
      <c r="G26" s="309">
        <f t="shared" si="79"/>
        <v>77.399999999999991</v>
      </c>
      <c r="H26" s="400">
        <f>SUM(D26:G26)</f>
        <v>482.09999999999997</v>
      </c>
      <c r="I26" s="309">
        <f t="shared" si="79"/>
        <v>71.599999999999994</v>
      </c>
      <c r="J26" s="309">
        <f t="shared" si="79"/>
        <v>66.8</v>
      </c>
      <c r="K26" s="309">
        <f>+K176</f>
        <v>173.67999999999998</v>
      </c>
      <c r="L26" s="256">
        <f t="shared" si="79"/>
        <v>187.04000000000002</v>
      </c>
      <c r="M26" s="257">
        <f>SUM(I26:L26)</f>
        <v>499.11999999999995</v>
      </c>
      <c r="N26" s="256">
        <f t="shared" si="79"/>
        <v>122.65249999999997</v>
      </c>
      <c r="O26" s="256">
        <f t="shared" si="79"/>
        <v>120.73406249999999</v>
      </c>
      <c r="P26" s="256">
        <f t="shared" si="79"/>
        <v>118.15082031249997</v>
      </c>
      <c r="Q26" s="256">
        <f t="shared" si="79"/>
        <v>9.7437386068924923</v>
      </c>
      <c r="R26" s="257">
        <f>SUM(N26:Q26)</f>
        <v>371.28112141939243</v>
      </c>
      <c r="S26" s="256">
        <f t="shared" si="79"/>
        <v>122.2393194580078</v>
      </c>
      <c r="T26" s="256">
        <f t="shared" si="79"/>
        <v>128.56923439025877</v>
      </c>
      <c r="U26" s="256">
        <f t="shared" si="79"/>
        <v>136.29038868904112</v>
      </c>
      <c r="V26" s="256">
        <f t="shared" si="79"/>
        <v>131.61668727517127</v>
      </c>
      <c r="W26" s="257">
        <f>SUM(S26:V26)</f>
        <v>518.71562981247894</v>
      </c>
      <c r="X26" s="256">
        <f t="shared" si="79"/>
        <v>124.68877318456768</v>
      </c>
      <c r="Y26" s="256">
        <f t="shared" si="79"/>
        <v>124.94330733263865</v>
      </c>
      <c r="Z26" s="256">
        <f t="shared" si="79"/>
        <v>125.46946293671846</v>
      </c>
      <c r="AA26" s="256">
        <f t="shared" si="79"/>
        <v>126.38429326474576</v>
      </c>
      <c r="AB26" s="257">
        <f>SUM(X26:AA26)</f>
        <v>501.48583671867061</v>
      </c>
      <c r="AC26" s="256">
        <f t="shared" ref="AC26:AF26" si="80">+AC176</f>
        <v>127.52518331639368</v>
      </c>
      <c r="AD26" s="256">
        <f t="shared" si="80"/>
        <v>128.18591629869192</v>
      </c>
      <c r="AE26" s="256">
        <f t="shared" si="80"/>
        <v>128.13800153724605</v>
      </c>
      <c r="AF26" s="256">
        <f t="shared" si="80"/>
        <v>127.1189531432717</v>
      </c>
      <c r="AG26" s="257">
        <f>SUM(AC26:AF26)</f>
        <v>510.96805429560334</v>
      </c>
      <c r="AH26" s="256">
        <f t="shared" ref="AH26:AK26" si="81">+AH176</f>
        <v>126.55673637678426</v>
      </c>
      <c r="AI26" s="256">
        <f t="shared" si="81"/>
        <v>126.79023177581131</v>
      </c>
      <c r="AJ26" s="256">
        <f t="shared" si="81"/>
        <v>127.0210973312079</v>
      </c>
      <c r="AK26" s="256">
        <f t="shared" si="81"/>
        <v>127.21505163051907</v>
      </c>
      <c r="AL26" s="257">
        <f>SUM(AH26:AK26)</f>
        <v>507.58311711432248</v>
      </c>
    </row>
    <row r="27" spans="1:38" x14ac:dyDescent="0.25">
      <c r="A27" s="300"/>
      <c r="B27" s="353" t="s">
        <v>214</v>
      </c>
      <c r="C27" s="244"/>
      <c r="D27" s="310">
        <f t="shared" ref="D27:AA27" si="82">+D25+D26</f>
        <v>1153.7000000000005</v>
      </c>
      <c r="E27" s="310">
        <f t="shared" si="82"/>
        <v>999.09999999999957</v>
      </c>
      <c r="F27" s="310">
        <f t="shared" si="82"/>
        <v>1246.600000000001</v>
      </c>
      <c r="G27" s="310">
        <f t="shared" si="82"/>
        <v>1160.6000000000013</v>
      </c>
      <c r="H27" s="401">
        <f t="shared" ref="H27" si="83">+H25+H26</f>
        <v>4560.0000000000055</v>
      </c>
      <c r="I27" s="310">
        <f t="shared" si="82"/>
        <v>1291.3999999999987</v>
      </c>
      <c r="J27" s="310">
        <f t="shared" si="82"/>
        <v>554.19999999999902</v>
      </c>
      <c r="K27" s="310">
        <f t="shared" si="82"/>
        <v>-530.21999999999935</v>
      </c>
      <c r="L27" s="245">
        <f t="shared" si="82"/>
        <v>-117.49189749784779</v>
      </c>
      <c r="M27" s="246">
        <f t="shared" ref="M27" si="84">+M25+M26</f>
        <v>1197.8881025021535</v>
      </c>
      <c r="N27" s="245">
        <f t="shared" si="82"/>
        <v>133.950764669162</v>
      </c>
      <c r="O27" s="245">
        <f t="shared" si="82"/>
        <v>363.61973650616773</v>
      </c>
      <c r="P27" s="245">
        <f t="shared" si="82"/>
        <v>222.85807860290601</v>
      </c>
      <c r="Q27" s="245">
        <f t="shared" si="82"/>
        <v>1407.4183837876024</v>
      </c>
      <c r="R27" s="246">
        <f t="shared" ref="R27" si="85">+R25+R26</f>
        <v>2127.8469635658298</v>
      </c>
      <c r="S27" s="245">
        <f t="shared" si="82"/>
        <v>1570.1768458899924</v>
      </c>
      <c r="T27" s="245">
        <f t="shared" si="82"/>
        <v>1117.3283070934212</v>
      </c>
      <c r="U27" s="245">
        <f t="shared" si="82"/>
        <v>825.76321335142688</v>
      </c>
      <c r="V27" s="245">
        <f t="shared" si="82"/>
        <v>1684.099902435805</v>
      </c>
      <c r="W27" s="246">
        <f t="shared" ref="W27" si="86">+W25+W26</f>
        <v>5197.3682687706478</v>
      </c>
      <c r="X27" s="245">
        <f t="shared" si="82"/>
        <v>1721.7542178078047</v>
      </c>
      <c r="Y27" s="245">
        <f t="shared" si="82"/>
        <v>1210.2932649113509</v>
      </c>
      <c r="Z27" s="245">
        <f t="shared" si="82"/>
        <v>883.04277533881782</v>
      </c>
      <c r="AA27" s="245">
        <f t="shared" si="82"/>
        <v>1798.7658595770467</v>
      </c>
      <c r="AB27" s="246">
        <f t="shared" ref="AB27:AF27" si="87">+AB25+AB26</f>
        <v>5613.8561176350204</v>
      </c>
      <c r="AC27" s="245">
        <f t="shared" si="87"/>
        <v>1853.2421830632304</v>
      </c>
      <c r="AD27" s="245">
        <f t="shared" si="87"/>
        <v>1309.0990478643864</v>
      </c>
      <c r="AE27" s="245">
        <f t="shared" si="87"/>
        <v>965.93809544204612</v>
      </c>
      <c r="AF27" s="245">
        <f t="shared" si="87"/>
        <v>1935.8916580566122</v>
      </c>
      <c r="AG27" s="246">
        <f t="shared" ref="AG27:AK27" si="88">+AG25+AG26</f>
        <v>6064.1709844262732</v>
      </c>
      <c r="AH27" s="245">
        <f t="shared" si="88"/>
        <v>1996.6730266175207</v>
      </c>
      <c r="AI27" s="245">
        <f t="shared" si="88"/>
        <v>1414.5764764723053</v>
      </c>
      <c r="AJ27" s="245">
        <f t="shared" si="88"/>
        <v>1052.9811328766473</v>
      </c>
      <c r="AK27" s="245">
        <f t="shared" si="88"/>
        <v>2086.8111703383001</v>
      </c>
      <c r="AL27" s="246">
        <f t="shared" ref="AL27" si="89">+AL25+AL26</f>
        <v>6551.0418063047755</v>
      </c>
    </row>
    <row r="28" spans="1:38" x14ac:dyDescent="0.25">
      <c r="A28" s="300"/>
      <c r="B28" s="94" t="s">
        <v>204</v>
      </c>
      <c r="C28" s="40"/>
      <c r="D28" s="307">
        <v>0</v>
      </c>
      <c r="E28" s="307">
        <v>21</v>
      </c>
      <c r="F28" s="307">
        <v>601.79999999999995</v>
      </c>
      <c r="G28" s="307">
        <f t="shared" ref="G28:G30" si="90">H28-F28-E28-D28</f>
        <v>0</v>
      </c>
      <c r="H28" s="320">
        <v>622.79999999999995</v>
      </c>
      <c r="I28" s="307">
        <v>0</v>
      </c>
      <c r="J28" s="307">
        <v>0</v>
      </c>
      <c r="K28" s="307">
        <v>0</v>
      </c>
      <c r="L28" s="307">
        <v>0</v>
      </c>
      <c r="M28" s="320">
        <f>SUM(I28:L28)</f>
        <v>0</v>
      </c>
      <c r="N28" s="307">
        <v>0</v>
      </c>
      <c r="O28" s="307">
        <v>0</v>
      </c>
      <c r="P28" s="307">
        <v>0</v>
      </c>
      <c r="Q28" s="307">
        <v>0</v>
      </c>
      <c r="R28" s="320">
        <f>SUM(N28:Q28)</f>
        <v>0</v>
      </c>
      <c r="S28" s="307">
        <v>0</v>
      </c>
      <c r="T28" s="307">
        <v>0</v>
      </c>
      <c r="U28" s="307">
        <v>0</v>
      </c>
      <c r="V28" s="307">
        <v>0</v>
      </c>
      <c r="W28" s="320">
        <f>SUM(S28:V28)</f>
        <v>0</v>
      </c>
      <c r="X28" s="307">
        <v>0</v>
      </c>
      <c r="Y28" s="307">
        <v>0</v>
      </c>
      <c r="Z28" s="307">
        <v>0</v>
      </c>
      <c r="AA28" s="307">
        <v>0</v>
      </c>
      <c r="AB28" s="320">
        <f>SUM(X28:AA28)</f>
        <v>0</v>
      </c>
      <c r="AC28" s="307">
        <v>0</v>
      </c>
      <c r="AD28" s="307">
        <v>0</v>
      </c>
      <c r="AE28" s="307">
        <v>0</v>
      </c>
      <c r="AF28" s="307">
        <v>0</v>
      </c>
      <c r="AG28" s="320">
        <f>SUM(AC28:AF28)</f>
        <v>0</v>
      </c>
      <c r="AH28" s="307">
        <v>0</v>
      </c>
      <c r="AI28" s="307">
        <v>0</v>
      </c>
      <c r="AJ28" s="307">
        <v>0</v>
      </c>
      <c r="AK28" s="307">
        <v>0</v>
      </c>
      <c r="AL28" s="320">
        <f>SUM(AH28:AK28)</f>
        <v>0</v>
      </c>
    </row>
    <row r="29" spans="1:38" x14ac:dyDescent="0.25">
      <c r="A29" s="300"/>
      <c r="B29" s="94" t="s">
        <v>163</v>
      </c>
      <c r="C29" s="40"/>
      <c r="D29" s="307">
        <v>24.8</v>
      </c>
      <c r="E29" s="307">
        <v>15.2</v>
      </c>
      <c r="F29" s="304">
        <v>40.200000000000003</v>
      </c>
      <c r="G29" s="307">
        <f t="shared" si="90"/>
        <v>16.299999999999994</v>
      </c>
      <c r="H29" s="320">
        <v>96.5</v>
      </c>
      <c r="I29" s="307">
        <v>15.9</v>
      </c>
      <c r="J29" s="307">
        <v>2</v>
      </c>
      <c r="K29" s="307">
        <v>12.7</v>
      </c>
      <c r="L29" s="193">
        <f>(K184+K185+K190)*L151</f>
        <v>9.8318996517576309</v>
      </c>
      <c r="M29" s="194">
        <f t="shared" ref="M29" si="91">SUM(I29:L29)</f>
        <v>40.431899651757632</v>
      </c>
      <c r="N29" s="193">
        <f>(L184+L185+L190)*N151</f>
        <v>6.7467961225611006</v>
      </c>
      <c r="O29" s="193">
        <f>(N184+N185+N190)*O151</f>
        <v>4.1846383219909624</v>
      </c>
      <c r="P29" s="193">
        <f>(O184+O185+O190)*P151</f>
        <v>2.8116303061599406</v>
      </c>
      <c r="Q29" s="193">
        <f>(P184+P185+P190)*Q151</f>
        <v>1.4195618618007804</v>
      </c>
      <c r="R29" s="194">
        <f t="shared" ref="R29" si="92">SUM(N29:Q29)</f>
        <v>15.162626612512785</v>
      </c>
      <c r="S29" s="193">
        <f>(Q184+Q185+Q190)*S151</f>
        <v>0.3864829816065567</v>
      </c>
      <c r="T29" s="193">
        <f>(S184+S185+S190)*T151</f>
        <v>1.7176274279437982</v>
      </c>
      <c r="U29" s="193">
        <f>(T184+T185+T190)*U151</f>
        <v>0.52029779333533632</v>
      </c>
      <c r="V29" s="193">
        <f>(U184+U185+U190)*V151</f>
        <v>-0.34992944653283742</v>
      </c>
      <c r="W29" s="194">
        <f t="shared" ref="W29" si="93">SUM(S29:V29)</f>
        <v>2.2744787563528539</v>
      </c>
      <c r="X29" s="193">
        <f>(V184+V185+V190)*X151</f>
        <v>-1.2220138819594315</v>
      </c>
      <c r="Y29" s="193">
        <f>(X184+X185+X190)*Y151</f>
        <v>-0.2903495253488339</v>
      </c>
      <c r="Z29" s="193">
        <f>(Y184+Y185+Y190)*Z151</f>
        <v>-1.4386800149294572</v>
      </c>
      <c r="AA29" s="193">
        <f>(Z184+Z185+Z190)*AA151</f>
        <v>-2.0674856430123731</v>
      </c>
      <c r="AB29" s="194">
        <f t="shared" ref="AB29" si="94">SUM(X29:AA29)</f>
        <v>-5.018529065250096</v>
      </c>
      <c r="AC29" s="193">
        <f>(AA184+AA185+AA190)*AC151</f>
        <v>-2.483973844846636</v>
      </c>
      <c r="AD29" s="193">
        <f>(AC184+AC185+AC190)*AD151</f>
        <v>-1.6527756504049815</v>
      </c>
      <c r="AE29" s="193">
        <f>(AD184+AD185+AD190)*AE151</f>
        <v>-3.0302656753227861</v>
      </c>
      <c r="AF29" s="193">
        <f>(AE184+AE185+AE190)*AF151</f>
        <v>-3.8794742828489097</v>
      </c>
      <c r="AG29" s="194">
        <f t="shared" ref="AG29" si="95">SUM(AC29:AF29)</f>
        <v>-11.046489453423312</v>
      </c>
      <c r="AH29" s="193">
        <f>(AF184+AF185+AF190)*AH151</f>
        <v>-4.4809838159246489</v>
      </c>
      <c r="AI29" s="193">
        <f>(AH184+AH185+AH190)*AI151</f>
        <v>-4.1652996070284702</v>
      </c>
      <c r="AJ29" s="193">
        <f>(AI184+AI185+AI190)*AJ151</f>
        <v>-6.2032388522507951</v>
      </c>
      <c r="AK29" s="193">
        <f>(AJ184+AJ185+AJ190)*AK151</f>
        <v>-7.651998085405511</v>
      </c>
      <c r="AL29" s="194">
        <f t="shared" ref="AL29" si="96">SUM(AH29:AK29)</f>
        <v>-22.501520360609426</v>
      </c>
    </row>
    <row r="30" spans="1:38" ht="17.25" x14ac:dyDescent="0.4">
      <c r="A30" s="300"/>
      <c r="B30" s="94" t="s">
        <v>164</v>
      </c>
      <c r="C30" s="83"/>
      <c r="D30" s="306">
        <v>-75</v>
      </c>
      <c r="E30" s="306">
        <v>-73.900000000000006</v>
      </c>
      <c r="F30" s="306">
        <v>-86.4</v>
      </c>
      <c r="G30" s="306">
        <f t="shared" si="90"/>
        <v>-95.699999999999989</v>
      </c>
      <c r="H30" s="331">
        <v>-331</v>
      </c>
      <c r="I30" s="306">
        <v>-91.9</v>
      </c>
      <c r="J30" s="306">
        <v>-99.2</v>
      </c>
      <c r="K30" s="306">
        <v>-120.8</v>
      </c>
      <c r="L30" s="197">
        <f>-(K206+K209)*L152</f>
        <v>-131.82973718590847</v>
      </c>
      <c r="M30" s="425">
        <f t="shared" ref="M30" si="97">SUM(I30:L30)</f>
        <v>-443.7297371859085</v>
      </c>
      <c r="N30" s="197">
        <f>-(L206+L209)*N152</f>
        <v>-128.90455422236997</v>
      </c>
      <c r="O30" s="197">
        <f>-(N206+N209)*O152</f>
        <v>-124.69907629149446</v>
      </c>
      <c r="P30" s="197">
        <f>-(O206+O209)*P152</f>
        <v>-121.61005930819697</v>
      </c>
      <c r="Q30" s="197">
        <f>-(P206+P209)*Q152</f>
        <v>-118.19776621193658</v>
      </c>
      <c r="R30" s="198">
        <f t="shared" ref="R30" si="98">SUM(N30:Q30)</f>
        <v>-493.41145603399798</v>
      </c>
      <c r="S30" s="197">
        <f>-(Q206+Q209)*S152</f>
        <v>-114.7790244658205</v>
      </c>
      <c r="T30" s="197">
        <f>-(S206+S209)*T152</f>
        <v>-112.72806672704482</v>
      </c>
      <c r="U30" s="197">
        <f>-(T206+T209)*U152</f>
        <v>-110.82830756529229</v>
      </c>
      <c r="V30" s="197">
        <f>-(U206+U209)*V152</f>
        <v>-108.86779197918895</v>
      </c>
      <c r="W30" s="198">
        <f t="shared" ref="W30" si="99">SUM(S30:V30)</f>
        <v>-447.20319073734657</v>
      </c>
      <c r="X30" s="197">
        <f>-(V206+V209)*X152</f>
        <v>-106.90423916102863</v>
      </c>
      <c r="Y30" s="197">
        <f>-(X206+X209)*Y152</f>
        <v>-104.93640588324087</v>
      </c>
      <c r="Z30" s="197">
        <f>-(Y206+Y209)*Z152</f>
        <v>-102.987579229199</v>
      </c>
      <c r="AA30" s="197">
        <f>-(Z206+Z209)*AA152</f>
        <v>-101.02753746869739</v>
      </c>
      <c r="AB30" s="198">
        <f t="shared" ref="AB30" si="100">SUM(X30:AA30)</f>
        <v>-415.8557617421659</v>
      </c>
      <c r="AC30" s="197">
        <f>-(AA206+AA209)*AC152</f>
        <v>-99.067608557876113</v>
      </c>
      <c r="AD30" s="197">
        <f>-(AC206+AC209)*AD152</f>
        <v>-96.045026986483748</v>
      </c>
      <c r="AE30" s="197">
        <f>-(AD206+AD209)*AE152</f>
        <v>-93.02439541048841</v>
      </c>
      <c r="AF30" s="197">
        <f>-(AE206+AE209)*AF152</f>
        <v>-90.001913198535931</v>
      </c>
      <c r="AG30" s="198">
        <f t="shared" ref="AG30" si="101">SUM(AC30:AF30)</f>
        <v>-378.13894415338422</v>
      </c>
      <c r="AH30" s="197">
        <f>-(AF206+AF209)*AH152</f>
        <v>-86.979667716195848</v>
      </c>
      <c r="AI30" s="197">
        <f>-(AH206+AH209)*AI152</f>
        <v>-81.104077301922246</v>
      </c>
      <c r="AJ30" s="197">
        <f>-(AI206+AI209)*AJ152</f>
        <v>-75.228599003168057</v>
      </c>
      <c r="AK30" s="197">
        <f>-(AJ206+AJ209)*AK152</f>
        <v>-69.352875437545649</v>
      </c>
      <c r="AL30" s="198">
        <f t="shared" ref="AL30" si="102">SUM(AH30:AK30)</f>
        <v>-312.66521945883181</v>
      </c>
    </row>
    <row r="31" spans="1:38" x14ac:dyDescent="0.25">
      <c r="A31" s="300"/>
      <c r="B31" s="535" t="s">
        <v>70</v>
      </c>
      <c r="C31" s="536"/>
      <c r="D31" s="305">
        <f t="shared" ref="D31:AB31" si="103">D25+D29+D30+D28</f>
        <v>965.50000000000045</v>
      </c>
      <c r="E31" s="305">
        <f t="shared" si="103"/>
        <v>819.99999999999966</v>
      </c>
      <c r="F31" s="305">
        <f t="shared" si="103"/>
        <v>1676.900000000001</v>
      </c>
      <c r="G31" s="305">
        <f t="shared" si="103"/>
        <v>1003.8000000000011</v>
      </c>
      <c r="H31" s="321">
        <f t="shared" si="103"/>
        <v>4466.2000000000053</v>
      </c>
      <c r="I31" s="305">
        <f t="shared" si="103"/>
        <v>1143.7999999999988</v>
      </c>
      <c r="J31" s="305">
        <f t="shared" si="103"/>
        <v>390.19999999999908</v>
      </c>
      <c r="K31" s="305">
        <f t="shared" si="103"/>
        <v>-811.9999999999992</v>
      </c>
      <c r="L31" s="195">
        <f t="shared" si="103"/>
        <v>-426.52973503199865</v>
      </c>
      <c r="M31" s="196">
        <f t="shared" si="103"/>
        <v>295.4702649680026</v>
      </c>
      <c r="N31" s="195">
        <f t="shared" si="103"/>
        <v>-110.85949343064684</v>
      </c>
      <c r="O31" s="195">
        <f t="shared" si="103"/>
        <v>122.37123603666424</v>
      </c>
      <c r="P31" s="195">
        <f t="shared" si="103"/>
        <v>-14.091170711631008</v>
      </c>
      <c r="Q31" s="195">
        <f t="shared" si="103"/>
        <v>1280.896440830574</v>
      </c>
      <c r="R31" s="196">
        <f t="shared" si="103"/>
        <v>1278.3170127249523</v>
      </c>
      <c r="S31" s="195">
        <f t="shared" si="103"/>
        <v>1333.5449849477709</v>
      </c>
      <c r="T31" s="195">
        <f t="shared" si="103"/>
        <v>877.74863340406137</v>
      </c>
      <c r="U31" s="195">
        <f t="shared" si="103"/>
        <v>579.16481489042872</v>
      </c>
      <c r="V31" s="195">
        <f t="shared" si="103"/>
        <v>1443.2654937349121</v>
      </c>
      <c r="W31" s="196">
        <f t="shared" si="103"/>
        <v>4233.7239269771744</v>
      </c>
      <c r="X31" s="195">
        <f t="shared" si="103"/>
        <v>1488.9391915802489</v>
      </c>
      <c r="Y31" s="195">
        <f t="shared" si="103"/>
        <v>980.12320217012257</v>
      </c>
      <c r="Z31" s="195">
        <f t="shared" si="103"/>
        <v>653.14705315797084</v>
      </c>
      <c r="AA31" s="195">
        <f t="shared" si="103"/>
        <v>1569.2865432005913</v>
      </c>
      <c r="AB31" s="196">
        <f t="shared" si="103"/>
        <v>4691.4959901089342</v>
      </c>
      <c r="AC31" s="195">
        <f t="shared" ref="AC31:AG31" si="104">AC25+AC29+AC30+AC28</f>
        <v>1624.1654173441141</v>
      </c>
      <c r="AD31" s="195">
        <f t="shared" si="104"/>
        <v>1083.215328928806</v>
      </c>
      <c r="AE31" s="195">
        <f t="shared" si="104"/>
        <v>741.74543281898889</v>
      </c>
      <c r="AF31" s="195">
        <f t="shared" si="104"/>
        <v>1714.8913174319557</v>
      </c>
      <c r="AG31" s="196">
        <f t="shared" si="104"/>
        <v>5164.017496523863</v>
      </c>
      <c r="AH31" s="195">
        <f t="shared" ref="AH31:AL31" si="105">AH25+AH29+AH30+AH28</f>
        <v>1778.6556387086159</v>
      </c>
      <c r="AI31" s="195">
        <f t="shared" si="105"/>
        <v>1202.5168677875436</v>
      </c>
      <c r="AJ31" s="195">
        <f t="shared" si="105"/>
        <v>844.52819769002053</v>
      </c>
      <c r="AK31" s="195">
        <f t="shared" si="105"/>
        <v>1882.5912451848299</v>
      </c>
      <c r="AL31" s="196">
        <f t="shared" si="105"/>
        <v>5708.2919493710124</v>
      </c>
    </row>
    <row r="32" spans="1:38" ht="17.25" x14ac:dyDescent="0.4">
      <c r="A32" s="300"/>
      <c r="B32" s="539" t="s">
        <v>35</v>
      </c>
      <c r="C32" s="540"/>
      <c r="D32" s="306">
        <v>205.1</v>
      </c>
      <c r="E32" s="306">
        <v>161.19999999999999</v>
      </c>
      <c r="F32" s="306">
        <v>303.7</v>
      </c>
      <c r="G32" s="306">
        <f t="shared" ref="G32" si="106">H32-F32-E32-D32</f>
        <v>201.60000000000011</v>
      </c>
      <c r="H32" s="331">
        <v>871.6</v>
      </c>
      <c r="I32" s="306">
        <v>258.5</v>
      </c>
      <c r="J32" s="306">
        <v>65.400000000000006</v>
      </c>
      <c r="K32" s="306">
        <v>-133.9</v>
      </c>
      <c r="L32" s="197">
        <f>+L31*L150</f>
        <v>-106.63243375799966</v>
      </c>
      <c r="M32" s="198">
        <f>SUM(I32:L32)</f>
        <v>83.367566242000308</v>
      </c>
      <c r="N32" s="197">
        <f>+N31*N150</f>
        <v>-27.714873357661709</v>
      </c>
      <c r="O32" s="197">
        <f>+O31*O150</f>
        <v>30.592809009166061</v>
      </c>
      <c r="P32" s="197">
        <f>+P31*P150</f>
        <v>-3.5227926779077521</v>
      </c>
      <c r="Q32" s="197">
        <f>+Q31*Q150</f>
        <v>320.22411020764349</v>
      </c>
      <c r="R32" s="198">
        <f>SUM(N32:Q32)</f>
        <v>319.57925318124012</v>
      </c>
      <c r="S32" s="197">
        <f>+S31*S150</f>
        <v>331.18513380702638</v>
      </c>
      <c r="T32" s="197">
        <f>+T31*T150</f>
        <v>217.62617386123878</v>
      </c>
      <c r="U32" s="197">
        <f>+U31*U150</f>
        <v>143.29752652267348</v>
      </c>
      <c r="V32" s="197">
        <f>+V31*V150</f>
        <v>356.16361159025621</v>
      </c>
      <c r="W32" s="198">
        <f>SUM(S32:V32)</f>
        <v>1048.2724457811948</v>
      </c>
      <c r="X32" s="197">
        <f>+X31*X150</f>
        <v>368.69239529340979</v>
      </c>
      <c r="Y32" s="197">
        <f>+Y31*Y150</f>
        <v>242.52042227450488</v>
      </c>
      <c r="Z32" s="197">
        <f>+Z31*Z150</f>
        <v>161.53253652278661</v>
      </c>
      <c r="AA32" s="197">
        <f>+AA31*AA150</f>
        <v>388.06494035080345</v>
      </c>
      <c r="AB32" s="198">
        <f>SUM(X32:AA32)</f>
        <v>1160.8102944415048</v>
      </c>
      <c r="AC32" s="197">
        <f>+AC31*AC150</f>
        <v>401.84339667313429</v>
      </c>
      <c r="AD32" s="197">
        <f>+AD31*AD150</f>
        <v>267.94839947392796</v>
      </c>
      <c r="AE32" s="197">
        <f>+AE31*AE150</f>
        <v>183.46719697405973</v>
      </c>
      <c r="AF32" s="197">
        <f>+AF31*AF150</f>
        <v>424.18350012396462</v>
      </c>
      <c r="AG32" s="198">
        <f>SUM(AC32:AF32)</f>
        <v>1277.4424932450868</v>
      </c>
      <c r="AH32" s="197">
        <f>+AH31*AH150</f>
        <v>439.98491985310335</v>
      </c>
      <c r="AI32" s="197">
        <f>+AI31*AI150</f>
        <v>297.452023723119</v>
      </c>
      <c r="AJ32" s="197">
        <f>+AJ31*AJ150</f>
        <v>208.89942805483909</v>
      </c>
      <c r="AK32" s="197">
        <f>+AK31*AK150</f>
        <v>465.67617457492679</v>
      </c>
      <c r="AL32" s="198">
        <f>SUM(AH32:AK32)</f>
        <v>1412.0125462059882</v>
      </c>
    </row>
    <row r="33" spans="1:38" x14ac:dyDescent="0.25">
      <c r="A33" s="366"/>
      <c r="B33" s="535" t="s">
        <v>165</v>
      </c>
      <c r="C33" s="536"/>
      <c r="D33" s="305">
        <f t="shared" ref="D33:AA33" si="107">+D31-D32</f>
        <v>760.40000000000043</v>
      </c>
      <c r="E33" s="305">
        <f t="shared" si="107"/>
        <v>658.79999999999973</v>
      </c>
      <c r="F33" s="305">
        <f t="shared" si="107"/>
        <v>1373.200000000001</v>
      </c>
      <c r="G33" s="305">
        <f t="shared" si="107"/>
        <v>802.20000000000095</v>
      </c>
      <c r="H33" s="321">
        <f t="shared" ref="H33" si="108">+H31-H32</f>
        <v>3594.6000000000054</v>
      </c>
      <c r="I33" s="305">
        <f t="shared" si="107"/>
        <v>885.29999999999882</v>
      </c>
      <c r="J33" s="305">
        <f t="shared" si="107"/>
        <v>324.79999999999905</v>
      </c>
      <c r="K33" s="305">
        <f t="shared" si="107"/>
        <v>-678.09999999999923</v>
      </c>
      <c r="L33" s="195">
        <f t="shared" si="107"/>
        <v>-319.89730127399901</v>
      </c>
      <c r="M33" s="196">
        <f t="shared" ref="M33" si="109">+M31-M32</f>
        <v>212.1026987260023</v>
      </c>
      <c r="N33" s="195">
        <f t="shared" si="107"/>
        <v>-83.144620072985134</v>
      </c>
      <c r="O33" s="195">
        <f t="shared" si="107"/>
        <v>91.778427027498182</v>
      </c>
      <c r="P33" s="195">
        <f t="shared" si="107"/>
        <v>-10.568378033723256</v>
      </c>
      <c r="Q33" s="195">
        <f t="shared" si="107"/>
        <v>960.67233062293053</v>
      </c>
      <c r="R33" s="196">
        <f t="shared" ref="R33" si="110">+R31-R32</f>
        <v>958.73775954371217</v>
      </c>
      <c r="S33" s="195">
        <f t="shared" si="107"/>
        <v>1002.3598511407445</v>
      </c>
      <c r="T33" s="195">
        <f t="shared" si="107"/>
        <v>660.12245954282253</v>
      </c>
      <c r="U33" s="195">
        <f t="shared" si="107"/>
        <v>435.86728836775524</v>
      </c>
      <c r="V33" s="195">
        <f t="shared" si="107"/>
        <v>1087.101882144656</v>
      </c>
      <c r="W33" s="196">
        <f t="shared" ref="W33" si="111">+W31-W32</f>
        <v>3185.4514811959798</v>
      </c>
      <c r="X33" s="195">
        <f t="shared" si="107"/>
        <v>1120.2467962868391</v>
      </c>
      <c r="Y33" s="195">
        <f t="shared" si="107"/>
        <v>737.60277989561769</v>
      </c>
      <c r="Z33" s="195">
        <f t="shared" si="107"/>
        <v>491.61451663518426</v>
      </c>
      <c r="AA33" s="195">
        <f t="shared" si="107"/>
        <v>1181.2216028497878</v>
      </c>
      <c r="AB33" s="196">
        <f t="shared" ref="AB33:AF33" si="112">+AB31-AB32</f>
        <v>3530.6856956674292</v>
      </c>
      <c r="AC33" s="195">
        <f t="shared" si="112"/>
        <v>1222.3220206709798</v>
      </c>
      <c r="AD33" s="195">
        <f t="shared" si="112"/>
        <v>815.26692945487798</v>
      </c>
      <c r="AE33" s="195">
        <f t="shared" si="112"/>
        <v>558.27823584492921</v>
      </c>
      <c r="AF33" s="305">
        <f t="shared" si="112"/>
        <v>1290.707817307991</v>
      </c>
      <c r="AG33" s="321">
        <f t="shared" ref="AG33:AK33" si="113">+AG31-AG32</f>
        <v>3886.5750032787764</v>
      </c>
      <c r="AH33" s="305">
        <f t="shared" si="113"/>
        <v>1338.6707188555126</v>
      </c>
      <c r="AI33" s="305">
        <f t="shared" si="113"/>
        <v>905.06484406442451</v>
      </c>
      <c r="AJ33" s="305">
        <f t="shared" si="113"/>
        <v>635.62876963518147</v>
      </c>
      <c r="AK33" s="305">
        <f t="shared" si="113"/>
        <v>1416.9150706099031</v>
      </c>
      <c r="AL33" s="196">
        <f t="shared" ref="AL33" si="114">+AL31-AL32</f>
        <v>4296.2794031650246</v>
      </c>
    </row>
    <row r="34" spans="1:38" ht="17.25" x14ac:dyDescent="0.4">
      <c r="A34" s="366"/>
      <c r="B34" s="351" t="s">
        <v>166</v>
      </c>
      <c r="C34" s="85"/>
      <c r="D34" s="306">
        <v>-0.2</v>
      </c>
      <c r="E34" s="306">
        <v>-4.4000000000000004</v>
      </c>
      <c r="F34" s="306">
        <v>0.4</v>
      </c>
      <c r="G34" s="306">
        <f t="shared" ref="G34" si="115">H34-F34-E34-D34</f>
        <v>-0.39999999999999963</v>
      </c>
      <c r="H34" s="331">
        <v>-4.5999999999999996</v>
      </c>
      <c r="I34" s="306">
        <v>-0.4</v>
      </c>
      <c r="J34" s="306">
        <v>-3.6</v>
      </c>
      <c r="K34" s="306">
        <v>0.3</v>
      </c>
      <c r="L34" s="306">
        <f>AVERAGE(K34,J34,I34,G34)</f>
        <v>-1.0249999999999999</v>
      </c>
      <c r="M34" s="331">
        <f>SUM(I34:L34)</f>
        <v>-4.7249999999999996</v>
      </c>
      <c r="N34" s="306">
        <f>AVERAGE(L34,K34,J34,I34)</f>
        <v>-1.1812500000000001</v>
      </c>
      <c r="O34" s="306">
        <f>AVERAGE(N34,L34,K34,J34)</f>
        <v>-1.3765624999999999</v>
      </c>
      <c r="P34" s="306">
        <f>AVERAGE(O34,N34,L34,K34)</f>
        <v>-0.82070312499999998</v>
      </c>
      <c r="Q34" s="306">
        <f>AVERAGE(P34,O34,N34,L34)</f>
        <v>-1.1008789062500002</v>
      </c>
      <c r="R34" s="331">
        <f>SUM(N34:Q34)</f>
        <v>-4.4793945312499996</v>
      </c>
      <c r="S34" s="306">
        <f>AVERAGE(Q34,P34,O34,N34)</f>
        <v>-1.1198486328125001</v>
      </c>
      <c r="T34" s="306">
        <f>AVERAGE(S34,Q34,P34,O34)</f>
        <v>-1.1044982910156251</v>
      </c>
      <c r="U34" s="306">
        <f>AVERAGE(T34,S34,Q34,P34)</f>
        <v>-1.0364822387695314</v>
      </c>
      <c r="V34" s="306">
        <f>AVERAGE(U34,T34,S34,Q34)</f>
        <v>-1.0904270172119142</v>
      </c>
      <c r="W34" s="331">
        <f>SUM(S34:V34)</f>
        <v>-4.351256179809571</v>
      </c>
      <c r="X34" s="306">
        <f>AVERAGE(V34,U34,T34,S34)</f>
        <v>-1.0878140449523928</v>
      </c>
      <c r="Y34" s="306">
        <f>AVERAGE(X34,V34,U34,T34)</f>
        <v>-1.0798053979873659</v>
      </c>
      <c r="Z34" s="306">
        <f>AVERAGE(Y34,X34,V34,U34)</f>
        <v>-1.073632174730301</v>
      </c>
      <c r="AA34" s="306">
        <f>AVERAGE(Z34,Y34,X34,V34)</f>
        <v>-1.0829196587204934</v>
      </c>
      <c r="AB34" s="331">
        <f>SUM(X34:AA34)</f>
        <v>-4.3241712763905538</v>
      </c>
      <c r="AC34" s="306">
        <f>AVERAGE(AA34,Z34,Y34,X34)</f>
        <v>-1.0810428190976382</v>
      </c>
      <c r="AD34" s="306">
        <f>AVERAGE(AC34,AA34,Z34,Y34)</f>
        <v>-1.0793500126339497</v>
      </c>
      <c r="AE34" s="306">
        <f>AVERAGE(AD34,AC34,AA34,Z34)</f>
        <v>-1.0792361662955956</v>
      </c>
      <c r="AF34" s="306">
        <f>AVERAGE(AE34,AD34,AC34,AA34)</f>
        <v>-1.0806371641869192</v>
      </c>
      <c r="AG34" s="331">
        <f>SUM(AC34:AF34)</f>
        <v>-4.3202661622141028</v>
      </c>
      <c r="AH34" s="306">
        <f>AVERAGE(AF34,AE34,AD34,AC34)</f>
        <v>-1.0800665405535257</v>
      </c>
      <c r="AI34" s="306">
        <f>AVERAGE(AH34,AF34,AE34,AD34)</f>
        <v>-1.0798224709174975</v>
      </c>
      <c r="AJ34" s="306">
        <f>AVERAGE(AI34,AH34,AF34,AE34)</f>
        <v>-1.0799405854883846</v>
      </c>
      <c r="AK34" s="306">
        <f>AVERAGE(AJ34,AI34,AH34,AF34)</f>
        <v>-1.0801166902865817</v>
      </c>
      <c r="AL34" s="198">
        <f>SUM(AH34:AK34)</f>
        <v>-4.3199462872459895</v>
      </c>
    </row>
    <row r="35" spans="1:38" s="20" customFormat="1" x14ac:dyDescent="0.25">
      <c r="A35" s="392"/>
      <c r="B35" s="348" t="s">
        <v>111</v>
      </c>
      <c r="C35" s="93"/>
      <c r="D35" s="305">
        <f t="shared" ref="D35:AB35" si="116">+D33-D34</f>
        <v>760.60000000000048</v>
      </c>
      <c r="E35" s="305">
        <f t="shared" si="116"/>
        <v>663.1999999999997</v>
      </c>
      <c r="F35" s="305">
        <f t="shared" si="116"/>
        <v>1372.8000000000009</v>
      </c>
      <c r="G35" s="305">
        <f t="shared" si="116"/>
        <v>802.60000000000093</v>
      </c>
      <c r="H35" s="321">
        <f t="shared" si="116"/>
        <v>3599.2000000000053</v>
      </c>
      <c r="I35" s="305">
        <f t="shared" si="116"/>
        <v>885.69999999999879</v>
      </c>
      <c r="J35" s="305">
        <f t="shared" si="116"/>
        <v>328.39999999999907</v>
      </c>
      <c r="K35" s="305">
        <f t="shared" si="116"/>
        <v>-678.39999999999918</v>
      </c>
      <c r="L35" s="195">
        <f t="shared" si="116"/>
        <v>-318.87230127399903</v>
      </c>
      <c r="M35" s="196">
        <f t="shared" si="116"/>
        <v>216.8276987260023</v>
      </c>
      <c r="N35" s="195">
        <f t="shared" si="116"/>
        <v>-81.963370072985128</v>
      </c>
      <c r="O35" s="195">
        <f t="shared" si="116"/>
        <v>93.154989527498188</v>
      </c>
      <c r="P35" s="195">
        <f t="shared" si="116"/>
        <v>-9.7476749087232566</v>
      </c>
      <c r="Q35" s="195">
        <f t="shared" si="116"/>
        <v>961.77320952918058</v>
      </c>
      <c r="R35" s="196">
        <f t="shared" si="116"/>
        <v>963.2171540749622</v>
      </c>
      <c r="S35" s="195">
        <f t="shared" si="116"/>
        <v>1003.4796997735569</v>
      </c>
      <c r="T35" s="195">
        <f t="shared" si="116"/>
        <v>661.22695783383813</v>
      </c>
      <c r="U35" s="195">
        <f t="shared" si="116"/>
        <v>436.90377060652474</v>
      </c>
      <c r="V35" s="195">
        <f t="shared" si="116"/>
        <v>1088.1923091618678</v>
      </c>
      <c r="W35" s="196">
        <f t="shared" si="116"/>
        <v>3189.8027373757895</v>
      </c>
      <c r="X35" s="195">
        <f t="shared" si="116"/>
        <v>1121.3346103317915</v>
      </c>
      <c r="Y35" s="195">
        <f t="shared" si="116"/>
        <v>738.68258529360503</v>
      </c>
      <c r="Z35" s="195">
        <f t="shared" si="116"/>
        <v>492.68814880991454</v>
      </c>
      <c r="AA35" s="195">
        <f t="shared" si="116"/>
        <v>1182.3045225085084</v>
      </c>
      <c r="AB35" s="196">
        <f t="shared" si="116"/>
        <v>3535.0098669438198</v>
      </c>
      <c r="AC35" s="195">
        <f t="shared" ref="AC35:AG35" si="117">+AC33-AC34</f>
        <v>1223.4030634900773</v>
      </c>
      <c r="AD35" s="195">
        <f t="shared" si="117"/>
        <v>816.34627946751198</v>
      </c>
      <c r="AE35" s="195">
        <f t="shared" si="117"/>
        <v>559.35747201122479</v>
      </c>
      <c r="AF35" s="195">
        <f t="shared" si="117"/>
        <v>1291.788454472178</v>
      </c>
      <c r="AG35" s="196">
        <f t="shared" si="117"/>
        <v>3890.8952694409904</v>
      </c>
      <c r="AH35" s="195">
        <f t="shared" ref="AH35:AL35" si="118">+AH33-AH34</f>
        <v>1339.7507853960662</v>
      </c>
      <c r="AI35" s="195">
        <f t="shared" si="118"/>
        <v>906.14466653534203</v>
      </c>
      <c r="AJ35" s="195">
        <f t="shared" si="118"/>
        <v>636.7087102206699</v>
      </c>
      <c r="AK35" s="195">
        <f t="shared" si="118"/>
        <v>1417.9951873001896</v>
      </c>
      <c r="AL35" s="196">
        <f t="shared" si="118"/>
        <v>4300.5993494522709</v>
      </c>
    </row>
    <row r="36" spans="1:38" s="20" customFormat="1" ht="17.25" x14ac:dyDescent="0.4">
      <c r="A36" s="392"/>
      <c r="B36" s="254" t="s">
        <v>215</v>
      </c>
      <c r="C36" s="251"/>
      <c r="D36" s="311">
        <f t="shared" ref="D36:AA36" si="119">-D177-D178</f>
        <v>41.449999999998646</v>
      </c>
      <c r="E36" s="311">
        <f t="shared" si="119"/>
        <v>-54.179999999999545</v>
      </c>
      <c r="F36" s="311">
        <f t="shared" si="119"/>
        <v>-544.16000000000076</v>
      </c>
      <c r="G36" s="311">
        <f t="shared" si="119"/>
        <v>-30</v>
      </c>
      <c r="H36" s="402">
        <f>SUM(D36:G36)</f>
        <v>-586.89000000000169</v>
      </c>
      <c r="I36" s="311">
        <f t="shared" si="119"/>
        <v>-11</v>
      </c>
      <c r="J36" s="311">
        <f t="shared" si="119"/>
        <v>-23</v>
      </c>
      <c r="K36" s="311">
        <f t="shared" si="119"/>
        <v>-35.055</v>
      </c>
      <c r="L36" s="258">
        <f>-L177-L178</f>
        <v>-46.76</v>
      </c>
      <c r="M36" s="259">
        <f>SUM(I36:L36)</f>
        <v>-115.815</v>
      </c>
      <c r="N36" s="258">
        <f t="shared" si="119"/>
        <v>-24.530499999999996</v>
      </c>
      <c r="O36" s="258">
        <f t="shared" si="119"/>
        <v>-24.146812499999999</v>
      </c>
      <c r="P36" s="258">
        <f t="shared" si="119"/>
        <v>-23.630164062499997</v>
      </c>
      <c r="Q36" s="258">
        <f t="shared" si="119"/>
        <v>-1.9487477213784985</v>
      </c>
      <c r="R36" s="259">
        <f>SUM(N36:Q36)</f>
        <v>-74.256224283878495</v>
      </c>
      <c r="S36" s="258">
        <f t="shared" si="119"/>
        <v>-24.44786389160156</v>
      </c>
      <c r="T36" s="258">
        <f t="shared" si="119"/>
        <v>-25.713846878051754</v>
      </c>
      <c r="U36" s="258">
        <f t="shared" si="119"/>
        <v>-27.258077737808225</v>
      </c>
      <c r="V36" s="258">
        <f t="shared" si="119"/>
        <v>-26.323337455034256</v>
      </c>
      <c r="W36" s="259">
        <f>SUM(S36:V36)</f>
        <v>-103.74312596249578</v>
      </c>
      <c r="X36" s="258">
        <f t="shared" si="119"/>
        <v>-24.937754636913539</v>
      </c>
      <c r="Y36" s="258">
        <f t="shared" si="119"/>
        <v>-24.988661466527731</v>
      </c>
      <c r="Z36" s="258">
        <f t="shared" si="119"/>
        <v>-25.093892587343692</v>
      </c>
      <c r="AA36" s="258">
        <f t="shared" si="119"/>
        <v>-25.276858652949155</v>
      </c>
      <c r="AB36" s="259">
        <f>SUM(X36:AA36)</f>
        <v>-100.29716734373412</v>
      </c>
      <c r="AC36" s="258">
        <f t="shared" ref="AC36:AF36" si="120">-AC177-AC178</f>
        <v>-25.505036663278737</v>
      </c>
      <c r="AD36" s="258">
        <f t="shared" si="120"/>
        <v>-25.637183259738386</v>
      </c>
      <c r="AE36" s="258">
        <f t="shared" si="120"/>
        <v>-25.627600307449214</v>
      </c>
      <c r="AF36" s="258">
        <f t="shared" si="120"/>
        <v>-25.423790628654341</v>
      </c>
      <c r="AG36" s="259">
        <f>SUM(AC36:AF36)</f>
        <v>-102.19361085912068</v>
      </c>
      <c r="AH36" s="258">
        <f t="shared" ref="AH36:AK36" si="121">-AH177-AH178</f>
        <v>-25.311347275356852</v>
      </c>
      <c r="AI36" s="258">
        <f t="shared" si="121"/>
        <v>-25.358046355162262</v>
      </c>
      <c r="AJ36" s="258">
        <f t="shared" si="121"/>
        <v>-25.404219466241582</v>
      </c>
      <c r="AK36" s="258">
        <f t="shared" si="121"/>
        <v>-25.443010326103817</v>
      </c>
      <c r="AL36" s="259">
        <f>SUM(AH36:AK36)</f>
        <v>-101.51662342286451</v>
      </c>
    </row>
    <row r="37" spans="1:38" s="20" customFormat="1" x14ac:dyDescent="0.25">
      <c r="A37" s="392"/>
      <c r="B37" s="252" t="s">
        <v>216</v>
      </c>
      <c r="C37" s="253"/>
      <c r="D37" s="310">
        <f t="shared" ref="D37:AB37" si="122">+D27+D28+D29+D30-D32-D34+D36</f>
        <v>940.04999999999916</v>
      </c>
      <c r="E37" s="310">
        <f t="shared" si="122"/>
        <v>750.42000000000007</v>
      </c>
      <c r="F37" s="310">
        <f t="shared" si="122"/>
        <v>953.94</v>
      </c>
      <c r="G37" s="310">
        <f t="shared" si="122"/>
        <v>850.00000000000102</v>
      </c>
      <c r="H37" s="401">
        <f t="shared" si="122"/>
        <v>3494.4100000000039</v>
      </c>
      <c r="I37" s="310">
        <f t="shared" si="122"/>
        <v>946.2999999999987</v>
      </c>
      <c r="J37" s="310">
        <f t="shared" si="122"/>
        <v>372.19999999999902</v>
      </c>
      <c r="K37" s="310">
        <f t="shared" si="122"/>
        <v>-539.7749999999993</v>
      </c>
      <c r="L37" s="245">
        <f>+L27+L28+L29+L30-L32-L34+L36</f>
        <v>-178.59230127399897</v>
      </c>
      <c r="M37" s="246">
        <f t="shared" si="122"/>
        <v>600.13269872600245</v>
      </c>
      <c r="N37" s="245">
        <f t="shared" si="122"/>
        <v>16.15862992701485</v>
      </c>
      <c r="O37" s="245">
        <f t="shared" si="122"/>
        <v>189.74223952749819</v>
      </c>
      <c r="P37" s="245">
        <f t="shared" si="122"/>
        <v>84.772981341276733</v>
      </c>
      <c r="Q37" s="245">
        <f t="shared" si="122"/>
        <v>969.56820041469462</v>
      </c>
      <c r="R37" s="246">
        <f t="shared" si="122"/>
        <v>1260.2420512104757</v>
      </c>
      <c r="S37" s="245">
        <f t="shared" si="122"/>
        <v>1101.2711553399631</v>
      </c>
      <c r="T37" s="245">
        <f t="shared" si="122"/>
        <v>764.08234534604537</v>
      </c>
      <c r="U37" s="245">
        <f t="shared" si="122"/>
        <v>545.93608155775769</v>
      </c>
      <c r="V37" s="245">
        <f t="shared" si="122"/>
        <v>1193.4856589820045</v>
      </c>
      <c r="W37" s="246">
        <f t="shared" si="122"/>
        <v>3604.7752412257728</v>
      </c>
      <c r="X37" s="245">
        <f t="shared" si="122"/>
        <v>1221.0856288794457</v>
      </c>
      <c r="Y37" s="245">
        <f t="shared" si="122"/>
        <v>838.63723115971584</v>
      </c>
      <c r="Z37" s="245">
        <f t="shared" si="122"/>
        <v>593.06371915928935</v>
      </c>
      <c r="AA37" s="245">
        <f t="shared" si="122"/>
        <v>1283.411957120305</v>
      </c>
      <c r="AB37" s="246">
        <f t="shared" si="122"/>
        <v>3936.1985363187564</v>
      </c>
      <c r="AC37" s="245">
        <f t="shared" ref="AC37:AG37" si="123">+AC27+AC28+AC29+AC30-AC32-AC34+AC36</f>
        <v>1325.4232101431921</v>
      </c>
      <c r="AD37" s="245">
        <f t="shared" si="123"/>
        <v>918.89501250646538</v>
      </c>
      <c r="AE37" s="245">
        <f t="shared" si="123"/>
        <v>661.86787324102158</v>
      </c>
      <c r="AF37" s="245">
        <f t="shared" si="123"/>
        <v>1393.4836169867954</v>
      </c>
      <c r="AG37" s="246">
        <f t="shared" si="123"/>
        <v>4299.6697128774731</v>
      </c>
      <c r="AH37" s="245">
        <f t="shared" ref="AH37:AL37" si="124">+AH27+AH28+AH29+AH30-AH32-AH34+AH36</f>
        <v>1440.9961744974937</v>
      </c>
      <c r="AI37" s="245">
        <f t="shared" si="124"/>
        <v>1007.5768519559908</v>
      </c>
      <c r="AJ37" s="245">
        <f t="shared" si="124"/>
        <v>738.32558808563635</v>
      </c>
      <c r="AK37" s="245">
        <f t="shared" si="124"/>
        <v>1519.767228604605</v>
      </c>
      <c r="AL37" s="246">
        <f t="shared" si="124"/>
        <v>4706.6658431437281</v>
      </c>
    </row>
    <row r="38" spans="1:38" x14ac:dyDescent="0.25">
      <c r="A38" s="300"/>
      <c r="B38" s="509" t="s">
        <v>0</v>
      </c>
      <c r="C38" s="510"/>
      <c r="D38" s="302">
        <v>1242</v>
      </c>
      <c r="E38" s="302">
        <v>1239.2</v>
      </c>
      <c r="F38" s="302">
        <v>1211</v>
      </c>
      <c r="G38" s="302">
        <v>1210.7904210526317</v>
      </c>
      <c r="H38" s="303">
        <v>1221.2</v>
      </c>
      <c r="I38" s="302">
        <v>1180.4000000000001</v>
      </c>
      <c r="J38" s="302">
        <v>1171.8</v>
      </c>
      <c r="K38" s="302">
        <v>1168.5</v>
      </c>
      <c r="L38" s="38">
        <f>K38*(1+L157)-L161-L164-L167</f>
        <v>1167.5263533898762</v>
      </c>
      <c r="M38" s="39">
        <f>+(I35/M35*I38)+(J35/M35*J38)+(K35/M35*K38)+(L35/M35*L38)</f>
        <v>1223.5391809040746</v>
      </c>
      <c r="N38" s="38">
        <f>L38*(1+N157)-N161-N164-N167</f>
        <v>1161.0306670949265</v>
      </c>
      <c r="O38" s="38">
        <f>N38*(1+O157)-O161-O164-O167</f>
        <v>1157.4507423239977</v>
      </c>
      <c r="P38" s="38">
        <f>O38*(1+P157)-P161-P164-P167</f>
        <v>1153.638308626701</v>
      </c>
      <c r="Q38" s="38">
        <f>P38*(1+Q157)-Q161-Q164-Q167</f>
        <v>1150.0967459560122</v>
      </c>
      <c r="R38" s="39">
        <f>+(N35/R35*N38)+(O35/R35*O38)+(P35/R35*P38)+(Q35/R35*Q38)</f>
        <v>1149.8417239492437</v>
      </c>
      <c r="S38" s="38">
        <f>Q38*(1+S157)-S161-S164-S167</f>
        <v>1145.8745012543516</v>
      </c>
      <c r="T38" s="38">
        <f>S38*(1+T157)-T161-T164-T167</f>
        <v>1142.1689804364789</v>
      </c>
      <c r="U38" s="38">
        <f>T38*(1+U157)-U161-U164-U167</f>
        <v>1138.3986185413737</v>
      </c>
      <c r="V38" s="38">
        <f>U38*(1+V157)-V161-V164-V167</f>
        <v>1134.6115454782685</v>
      </c>
      <c r="W38" s="39">
        <f>+(S35/W35*S38)+(T35/W35*T38)+(U35/W35*U38)+(V35/W35*V38)</f>
        <v>1140.240079649881</v>
      </c>
      <c r="X38" s="38">
        <f>V38*(1+X157)-X161-X164-X167</f>
        <v>1130.764203156438</v>
      </c>
      <c r="Y38" s="38">
        <f>X38*(1+Y157)-Y161-Y164-Y167</f>
        <v>1127.0091122264164</v>
      </c>
      <c r="Z38" s="38">
        <f>Y38*(1+Z157)-Z161-Z164-Z167</f>
        <v>1123.2419276990231</v>
      </c>
      <c r="AA38" s="38">
        <f>Z38*(1+AA157)-AA161-AA164-AA167</f>
        <v>1119.4756207477662</v>
      </c>
      <c r="AB38" s="39">
        <f>+(X35/AB35*X38)+(Y35/AB35*Y38)+(Z35/AB35*Z38)+(AA35/AB35*AA38)</f>
        <v>1125.155591292003</v>
      </c>
      <c r="AC38" s="38">
        <f>AA38*(1+AC157)-AC161-AC164-AC167</f>
        <v>1115.7145159547774</v>
      </c>
      <c r="AD38" s="38">
        <f>AC38*(1+AD157)-AD161-AD164-AD167</f>
        <v>1111.9747086009645</v>
      </c>
      <c r="AE38" s="38">
        <f>AD38*(1+AE157)-AE161-AE164-AE167</f>
        <v>1108.2387547595961</v>
      </c>
      <c r="AF38" s="38">
        <f>AE38*(1+AF157)-AF161-AF164-AF167</f>
        <v>1104.5105749627826</v>
      </c>
      <c r="AG38" s="39">
        <f>+(AC35/AG35*AC38)+(AD35/AG35*AD38)+(AE35/AG35*AE38)+(AF35/AG35*AF38)</f>
        <v>1110.1354086240704</v>
      </c>
      <c r="AH38" s="38">
        <f>AF38*(1+AH157)-AH161-AH164-AH167</f>
        <v>1100.7918644143476</v>
      </c>
      <c r="AI38" s="38">
        <f>AH38*(1+AI157)-AI161-AI164-AI167</f>
        <v>1097.0836718261903</v>
      </c>
      <c r="AJ38" s="38">
        <f>AI38*(1+AJ157)-AJ161-AJ164-AJ167</f>
        <v>1093.3833470267973</v>
      </c>
      <c r="AK38" s="38">
        <f>AJ38*(1+AK157)-AK161-AK164-AK167</f>
        <v>1089.6918766359249</v>
      </c>
      <c r="AL38" s="39">
        <f>+(AH35/AL35*AH38)+(AI35/AL35*AI38)+(AJ35/AL35*AJ38)+(AK35/AL35*AK38)</f>
        <v>1095.2538094130953</v>
      </c>
    </row>
    <row r="39" spans="1:38" ht="15.75" customHeight="1" x14ac:dyDescent="0.25">
      <c r="A39" s="300"/>
      <c r="B39" s="509" t="s">
        <v>1</v>
      </c>
      <c r="C39" s="510"/>
      <c r="D39" s="302">
        <v>1253.4000000000001</v>
      </c>
      <c r="E39" s="302">
        <v>1250.7</v>
      </c>
      <c r="F39" s="302">
        <v>1223</v>
      </c>
      <c r="G39" s="302">
        <v>1222.8144210526316</v>
      </c>
      <c r="H39" s="303">
        <v>1233.2</v>
      </c>
      <c r="I39" s="302">
        <v>1191</v>
      </c>
      <c r="J39" s="302">
        <v>1180.7</v>
      </c>
      <c r="K39" s="302">
        <v>1168.5</v>
      </c>
      <c r="L39" s="38">
        <f>K39*(1+L158)-L161-L164-L167</f>
        <v>1164.5681225650246</v>
      </c>
      <c r="M39" s="39">
        <f>+(I35/M35*I39)+(J35/M35*J39)+(K35/M35*K39)+(L35/M35*L39)</f>
        <v>1284.6682614998585</v>
      </c>
      <c r="N39" s="38">
        <f>L39*(1+N158)-N161-N164-N167</f>
        <v>1154.4497619907947</v>
      </c>
      <c r="O39" s="38">
        <f>N39*(1+O158)-O161-O164-O167</f>
        <v>1146.673151688648</v>
      </c>
      <c r="P39" s="38">
        <f>O39*(1+P158)-P161-P164-P167</f>
        <v>1138.0643452943084</v>
      </c>
      <c r="Q39" s="38">
        <f>P39*(1+Q158)-Q161-Q164-Q167</f>
        <v>1130.7139345858584</v>
      </c>
      <c r="R39" s="39">
        <f>+(N35/R35*N39)+(O35/R35*O39)+(P35/R35*P39)+(Q35/R35*Q39)</f>
        <v>1130.1632414059454</v>
      </c>
      <c r="S39" s="38">
        <f>Q39*(1+S158)-S161-S164-S167</f>
        <v>1122.4887116196219</v>
      </c>
      <c r="T39" s="38">
        <f>S39*(1+T158)-T161-T164-T167</f>
        <v>1114.6798872802908</v>
      </c>
      <c r="U39" s="38">
        <f>T39*(1+U158)-U161-U164-U167</f>
        <v>1106.8305775715926</v>
      </c>
      <c r="V39" s="38">
        <f>U39*(1+V158)-V161-V164-V167</f>
        <v>1099.1387477343283</v>
      </c>
      <c r="W39" s="39">
        <f>+(S35/W35*S39)+(T35/W35*T39)+(U35/W35*U39)+(V35/W35*V39)</f>
        <v>1110.7595367558599</v>
      </c>
      <c r="X39" s="38">
        <f>V39*(1+X158)-X161-X164-X167</f>
        <v>1091.3653850665344</v>
      </c>
      <c r="Y39" s="38">
        <f>X39*(1+Y158)-Y161-Y164-Y167</f>
        <v>1083.7019995966916</v>
      </c>
      <c r="Z39" s="38">
        <f>Y39*(1+Z158)-Z161-Z164-Z167</f>
        <v>1076.0746346285518</v>
      </c>
      <c r="AA39" s="38">
        <f>Z39*(1+AA158)-AA161-AA164-AA167</f>
        <v>1068.5017509445227</v>
      </c>
      <c r="AB39" s="39">
        <f>+(X35/AB35*X39)+(Y35/AB35*Y39)+(Z35/AB35*Z39)+(AA35/AB35*AA39)</f>
        <v>1079.9860225030061</v>
      </c>
      <c r="AC39" s="38">
        <f>AA39*(1+AC158)-AC161-AC164-AC167</f>
        <v>1060.9584839206873</v>
      </c>
      <c r="AD39" s="38">
        <f>AC39*(1+AD158)-AD161-AD164-AD167</f>
        <v>1053.4716542517085</v>
      </c>
      <c r="AE39" s="38">
        <f>AD39*(1+AE158)-AE161-AE164-AE167</f>
        <v>1046.0283348640403</v>
      </c>
      <c r="AF39" s="38">
        <f>AE39*(1+AF158)-AF161-AF164-AF167</f>
        <v>1038.63032796629</v>
      </c>
      <c r="AG39" s="39">
        <f>+(AC35/AG35*AC39)+(AD35/AG35*AD39)+(AE35/AG35*AE39)+(AF35/AG35*AF39)</f>
        <v>1049.8282974080803</v>
      </c>
      <c r="AH39" s="38">
        <f>AF39*(1+AH158)-AH161-AH164-AH167</f>
        <v>1031.2754156211095</v>
      </c>
      <c r="AI39" s="38">
        <f>AH39*(1+AI158)-AI161-AI164-AI167</f>
        <v>1023.966844790892</v>
      </c>
      <c r="AJ39" s="38">
        <f>AI39*(1+AJ158)-AJ161-AJ164-AJ167</f>
        <v>1016.7021737976461</v>
      </c>
      <c r="AK39" s="38">
        <f>AJ39*(1+AK158)-AK161-AK164-AK167</f>
        <v>1009.4814913074001</v>
      </c>
      <c r="AL39" s="39">
        <f>+(AH35/AL35*AH39)+(AI35/AL35*AI39)+(AJ35/AL35*AJ39)+(AK35/AL35*AK39)</f>
        <v>1020.3919995042054</v>
      </c>
    </row>
    <row r="40" spans="1:38" ht="15.75" customHeight="1" x14ac:dyDescent="0.25">
      <c r="A40" s="300"/>
      <c r="B40" s="501" t="s">
        <v>45</v>
      </c>
      <c r="C40" s="502"/>
      <c r="D40" s="312">
        <f t="shared" ref="D40:AB40" si="125">D35/D38</f>
        <v>0.61239935587761718</v>
      </c>
      <c r="E40" s="312">
        <f t="shared" si="125"/>
        <v>0.53518398967075509</v>
      </c>
      <c r="F40" s="312">
        <f t="shared" si="125"/>
        <v>1.1336085879438487</v>
      </c>
      <c r="G40" s="312">
        <f t="shared" si="125"/>
        <v>0.66287276975832043</v>
      </c>
      <c r="H40" s="354">
        <f t="shared" si="125"/>
        <v>2.947264985260404</v>
      </c>
      <c r="I40" s="312">
        <f t="shared" si="125"/>
        <v>0.75033886818027684</v>
      </c>
      <c r="J40" s="312">
        <f t="shared" si="125"/>
        <v>0.28025260283324721</v>
      </c>
      <c r="K40" s="312">
        <f t="shared" si="125"/>
        <v>-0.58057338468121455</v>
      </c>
      <c r="L40" s="48">
        <f t="shared" si="125"/>
        <v>-0.27311786183512116</v>
      </c>
      <c r="M40" s="49">
        <f t="shared" si="125"/>
        <v>0.17721353113170274</v>
      </c>
      <c r="N40" s="312">
        <f t="shared" si="125"/>
        <v>-7.0595353245982567E-2</v>
      </c>
      <c r="O40" s="312">
        <f t="shared" si="125"/>
        <v>8.048289756197842E-2</v>
      </c>
      <c r="P40" s="312">
        <f t="shared" si="125"/>
        <v>-8.4495069519032844E-3</v>
      </c>
      <c r="Q40" s="312">
        <f t="shared" si="125"/>
        <v>0.83625417853844231</v>
      </c>
      <c r="R40" s="354">
        <f t="shared" si="125"/>
        <v>0.83769542712948253</v>
      </c>
      <c r="S40" s="312">
        <f t="shared" si="125"/>
        <v>0.87573263797656753</v>
      </c>
      <c r="T40" s="312">
        <f t="shared" si="125"/>
        <v>0.57892218153320085</v>
      </c>
      <c r="U40" s="312">
        <f t="shared" si="125"/>
        <v>0.38378803653708582</v>
      </c>
      <c r="V40" s="312">
        <f t="shared" si="125"/>
        <v>0.9590879922724268</v>
      </c>
      <c r="W40" s="354">
        <f t="shared" si="125"/>
        <v>2.7974834373084323</v>
      </c>
      <c r="X40" s="48">
        <f t="shared" si="125"/>
        <v>0.99166086722738078</v>
      </c>
      <c r="Y40" s="48">
        <f t="shared" si="125"/>
        <v>0.65543621367384608</v>
      </c>
      <c r="Z40" s="48">
        <f t="shared" si="125"/>
        <v>0.43863048258819287</v>
      </c>
      <c r="AA40" s="48">
        <f t="shared" si="125"/>
        <v>1.0561235105046547</v>
      </c>
      <c r="AB40" s="49">
        <f t="shared" si="125"/>
        <v>3.1417964717969444</v>
      </c>
      <c r="AC40" s="48">
        <f t="shared" ref="AC40:AG40" si="126">AC35/AC38</f>
        <v>1.0965198050176348</v>
      </c>
      <c r="AD40" s="48">
        <f t="shared" si="126"/>
        <v>0.73414104939005431</v>
      </c>
      <c r="AE40" s="48">
        <f t="shared" si="126"/>
        <v>0.50472650375104688</v>
      </c>
      <c r="AF40" s="48">
        <f t="shared" si="126"/>
        <v>1.1695573439989073</v>
      </c>
      <c r="AG40" s="49">
        <f t="shared" si="126"/>
        <v>3.5048834936843098</v>
      </c>
      <c r="AH40" s="48">
        <f t="shared" ref="AH40:AL40" si="127">AH35/AH38</f>
        <v>1.2170791125067513</v>
      </c>
      <c r="AI40" s="48">
        <f t="shared" si="127"/>
        <v>0.8259576637641376</v>
      </c>
      <c r="AJ40" s="48">
        <f t="shared" si="127"/>
        <v>0.58232888945313799</v>
      </c>
      <c r="AK40" s="48">
        <f t="shared" si="127"/>
        <v>1.3012808645300689</v>
      </c>
      <c r="AL40" s="49">
        <f t="shared" si="127"/>
        <v>3.9265778511711344</v>
      </c>
    </row>
    <row r="41" spans="1:38" x14ac:dyDescent="0.25">
      <c r="A41" s="300"/>
      <c r="B41" s="501" t="s">
        <v>46</v>
      </c>
      <c r="C41" s="502"/>
      <c r="D41" s="312">
        <f t="shared" ref="D41:AB41" si="128">D35/D39</f>
        <v>0.60682942396681061</v>
      </c>
      <c r="E41" s="312">
        <f t="shared" si="128"/>
        <v>0.53026305269049312</v>
      </c>
      <c r="F41" s="312">
        <f t="shared" si="128"/>
        <v>1.1224856909239582</v>
      </c>
      <c r="G41" s="312">
        <f t="shared" si="128"/>
        <v>0.65635470614510849</v>
      </c>
      <c r="H41" s="354">
        <f t="shared" si="128"/>
        <v>2.9185857930587131</v>
      </c>
      <c r="I41" s="312">
        <f t="shared" si="128"/>
        <v>0.74366078925272783</v>
      </c>
      <c r="J41" s="312">
        <f t="shared" si="128"/>
        <v>0.27814008638942922</v>
      </c>
      <c r="K41" s="312">
        <f t="shared" si="128"/>
        <v>-0.58057338468121455</v>
      </c>
      <c r="L41" s="427">
        <f t="shared" si="128"/>
        <v>-0.27381163462697694</v>
      </c>
      <c r="M41" s="428">
        <f t="shared" si="128"/>
        <v>0.16878108164115033</v>
      </c>
      <c r="N41" s="312">
        <f t="shared" si="128"/>
        <v>-7.0997779870163535E-2</v>
      </c>
      <c r="O41" s="312">
        <f t="shared" si="128"/>
        <v>8.1239356995769466E-2</v>
      </c>
      <c r="P41" s="312">
        <f t="shared" si="128"/>
        <v>-8.5651351340793169E-3</v>
      </c>
      <c r="Q41" s="312">
        <f t="shared" si="128"/>
        <v>0.85058933131609893</v>
      </c>
      <c r="R41" s="354">
        <f t="shared" si="128"/>
        <v>0.85228143934030365</v>
      </c>
      <c r="S41" s="312">
        <f t="shared" si="128"/>
        <v>0.89397754238940308</v>
      </c>
      <c r="T41" s="312">
        <f t="shared" si="128"/>
        <v>0.59319896714667275</v>
      </c>
      <c r="U41" s="312">
        <f t="shared" si="128"/>
        <v>0.39473409884022176</v>
      </c>
      <c r="V41" s="312">
        <f t="shared" si="128"/>
        <v>0.99004089465954637</v>
      </c>
      <c r="W41" s="354">
        <f t="shared" si="128"/>
        <v>2.8717311279560001</v>
      </c>
      <c r="X41" s="48">
        <f t="shared" si="128"/>
        <v>1.0274603040148924</v>
      </c>
      <c r="Y41" s="48">
        <f t="shared" si="128"/>
        <v>0.68162888466433735</v>
      </c>
      <c r="Z41" s="48">
        <f t="shared" si="128"/>
        <v>0.45785685579326441</v>
      </c>
      <c r="AA41" s="48">
        <f t="shared" si="128"/>
        <v>1.1065068648351652</v>
      </c>
      <c r="AB41" s="49">
        <f t="shared" si="128"/>
        <v>3.273199646372257</v>
      </c>
      <c r="AC41" s="48">
        <f t="shared" ref="AC41:AG41" si="129">AC35/AC39</f>
        <v>1.1531111556496434</v>
      </c>
      <c r="AD41" s="48">
        <f t="shared" si="129"/>
        <v>0.77491053145361655</v>
      </c>
      <c r="AE41" s="48">
        <f t="shared" si="129"/>
        <v>0.5347440918834464</v>
      </c>
      <c r="AF41" s="48">
        <f t="shared" si="129"/>
        <v>1.2437422822050548</v>
      </c>
      <c r="AG41" s="49">
        <f t="shared" si="129"/>
        <v>3.706220606786097</v>
      </c>
      <c r="AH41" s="48">
        <f t="shared" ref="AH41:AL41" si="130">AH35/AH39</f>
        <v>1.2991202593433011</v>
      </c>
      <c r="AI41" s="48">
        <f t="shared" si="130"/>
        <v>0.88493555347525843</v>
      </c>
      <c r="AJ41" s="48">
        <f t="shared" si="130"/>
        <v>0.62624899073678364</v>
      </c>
      <c r="AK41" s="48">
        <f t="shared" si="130"/>
        <v>1.4046767568404994</v>
      </c>
      <c r="AL41" s="49">
        <f t="shared" si="130"/>
        <v>4.2146541246323705</v>
      </c>
    </row>
    <row r="42" spans="1:38" x14ac:dyDescent="0.25">
      <c r="A42" s="300"/>
      <c r="B42" s="260" t="s">
        <v>217</v>
      </c>
      <c r="C42" s="301"/>
      <c r="D42" s="313">
        <f t="shared" ref="D42:AB42" si="131">+D37/D39</f>
        <v>0.74999999999999922</v>
      </c>
      <c r="E42" s="313">
        <f t="shared" si="131"/>
        <v>0.60000000000000009</v>
      </c>
      <c r="F42" s="329">
        <f t="shared" si="131"/>
        <v>0.78</v>
      </c>
      <c r="G42" s="329">
        <f t="shared" si="131"/>
        <v>0.69511774261567683</v>
      </c>
      <c r="H42" s="328">
        <f t="shared" si="131"/>
        <v>2.8336117418099285</v>
      </c>
      <c r="I42" s="313">
        <f t="shared" si="131"/>
        <v>0.79454240134340781</v>
      </c>
      <c r="J42" s="313">
        <f t="shared" si="131"/>
        <v>0.31523672397730074</v>
      </c>
      <c r="K42" s="313">
        <f t="shared" si="131"/>
        <v>-0.46193838254171954</v>
      </c>
      <c r="L42" s="313">
        <f t="shared" si="131"/>
        <v>-0.15335496293736747</v>
      </c>
      <c r="M42" s="430">
        <f t="shared" si="131"/>
        <v>0.46714993801228</v>
      </c>
      <c r="N42" s="313">
        <f t="shared" si="131"/>
        <v>1.3996823819470539E-2</v>
      </c>
      <c r="O42" s="313">
        <f t="shared" si="131"/>
        <v>0.16547194747524552</v>
      </c>
      <c r="P42" s="313">
        <f t="shared" si="131"/>
        <v>7.4488741951892076E-2</v>
      </c>
      <c r="Q42" s="313">
        <f t="shared" si="131"/>
        <v>0.85748319779026516</v>
      </c>
      <c r="R42" s="328">
        <f t="shared" si="131"/>
        <v>1.1150973638487036</v>
      </c>
      <c r="S42" s="313">
        <f t="shared" si="131"/>
        <v>0.98109775531814103</v>
      </c>
      <c r="T42" s="313">
        <f t="shared" si="131"/>
        <v>0.68547244286458875</v>
      </c>
      <c r="U42" s="313">
        <f t="shared" si="131"/>
        <v>0.49324268105743146</v>
      </c>
      <c r="V42" s="313">
        <f t="shared" si="131"/>
        <v>1.0858371260608863</v>
      </c>
      <c r="W42" s="328">
        <f t="shared" si="131"/>
        <v>3.2453245927143333</v>
      </c>
      <c r="X42" s="247">
        <f t="shared" si="131"/>
        <v>1.1188605077528668</v>
      </c>
      <c r="Y42" s="247">
        <f t="shared" si="131"/>
        <v>0.77386332356295495</v>
      </c>
      <c r="Z42" s="247">
        <f t="shared" si="131"/>
        <v>0.55113623170200265</v>
      </c>
      <c r="AA42" s="247">
        <f t="shared" si="131"/>
        <v>1.2011322920021501</v>
      </c>
      <c r="AB42" s="248">
        <f t="shared" si="131"/>
        <v>3.6446754442211313</v>
      </c>
      <c r="AC42" s="247">
        <f t="shared" ref="AC42:AG42" si="132">+AC37/AC39</f>
        <v>1.2492696276344355</v>
      </c>
      <c r="AD42" s="247">
        <f t="shared" si="132"/>
        <v>0.87225414067658591</v>
      </c>
      <c r="AE42" s="247">
        <f t="shared" si="132"/>
        <v>0.63274373282349872</v>
      </c>
      <c r="AF42" s="247">
        <f t="shared" si="132"/>
        <v>1.3416550426707958</v>
      </c>
      <c r="AG42" s="248">
        <f t="shared" si="132"/>
        <v>4.0955932731980287</v>
      </c>
      <c r="AH42" s="247">
        <f t="shared" ref="AH42:AL42" si="133">+AH37/AH39</f>
        <v>1.3972951867854044</v>
      </c>
      <c r="AI42" s="247">
        <f t="shared" si="133"/>
        <v>0.9839936293657553</v>
      </c>
      <c r="AJ42" s="247">
        <f t="shared" si="133"/>
        <v>0.72619652747254293</v>
      </c>
      <c r="AK42" s="247">
        <f t="shared" si="133"/>
        <v>1.5054929106588406</v>
      </c>
      <c r="AL42" s="248">
        <f t="shared" si="133"/>
        <v>4.6126055921946012</v>
      </c>
    </row>
    <row r="43" spans="1:38" x14ac:dyDescent="0.25">
      <c r="A43" s="300"/>
      <c r="B43" s="435" t="s">
        <v>167</v>
      </c>
      <c r="C43" s="436"/>
      <c r="D43" s="314">
        <v>0.36</v>
      </c>
      <c r="E43" s="314">
        <v>0.36</v>
      </c>
      <c r="F43" s="314">
        <v>0.36</v>
      </c>
      <c r="G43" s="314">
        <v>0.41</v>
      </c>
      <c r="H43" s="403">
        <f>+SUM(D43:G43)</f>
        <v>1.49</v>
      </c>
      <c r="I43" s="314">
        <v>0.41</v>
      </c>
      <c r="J43" s="314">
        <v>0.41</v>
      </c>
      <c r="K43" s="314">
        <v>0.41</v>
      </c>
      <c r="L43" s="249">
        <f>K43*1.1</f>
        <v>0.45100000000000001</v>
      </c>
      <c r="M43" s="168">
        <f>+SUM(I43:L43)</f>
        <v>1.681</v>
      </c>
      <c r="N43" s="249">
        <f>+L43</f>
        <v>0.45100000000000001</v>
      </c>
      <c r="O43" s="249">
        <f>+N43</f>
        <v>0.45100000000000001</v>
      </c>
      <c r="P43" s="249">
        <f>+O43</f>
        <v>0.45100000000000001</v>
      </c>
      <c r="Q43" s="483">
        <f>1.1*P43</f>
        <v>0.49610000000000004</v>
      </c>
      <c r="R43" s="168">
        <f>+SUM(N43:Q43)</f>
        <v>1.8491</v>
      </c>
      <c r="S43" s="249">
        <f>+Q43*1.1</f>
        <v>0.54571000000000014</v>
      </c>
      <c r="T43" s="249">
        <f>+S43*1.1</f>
        <v>0.60028100000000018</v>
      </c>
      <c r="U43" s="249">
        <f>1.07*T43</f>
        <v>0.64230067000000024</v>
      </c>
      <c r="V43" s="249">
        <f>1.07*U43</f>
        <v>0.68726171690000026</v>
      </c>
      <c r="W43" s="168">
        <f>+SUM(S43:V43)</f>
        <v>2.475553386900001</v>
      </c>
      <c r="X43" s="249">
        <f>+V43</f>
        <v>0.68726171690000026</v>
      </c>
      <c r="Y43" s="249">
        <f>+X43</f>
        <v>0.68726171690000026</v>
      </c>
      <c r="Z43" s="249">
        <f>+Y43</f>
        <v>0.68726171690000026</v>
      </c>
      <c r="AA43" s="249">
        <f>1.05*Z43</f>
        <v>0.72162480274500029</v>
      </c>
      <c r="AB43" s="168">
        <f>+SUM(X43:AA43)</f>
        <v>2.783409953445001</v>
      </c>
      <c r="AC43" s="249">
        <f>+AA43</f>
        <v>0.72162480274500029</v>
      </c>
      <c r="AD43" s="249">
        <f>+AC43</f>
        <v>0.72162480274500029</v>
      </c>
      <c r="AE43" s="249">
        <f>+AD43</f>
        <v>0.72162480274500029</v>
      </c>
      <c r="AF43" s="249">
        <f>1.05*AE43</f>
        <v>0.7577060428822503</v>
      </c>
      <c r="AG43" s="168">
        <f>+SUM(AC43:AF43)</f>
        <v>2.9225804511172511</v>
      </c>
      <c r="AH43" s="249">
        <f>+AF43</f>
        <v>0.7577060428822503</v>
      </c>
      <c r="AI43" s="249">
        <f>+AH43</f>
        <v>0.7577060428822503</v>
      </c>
      <c r="AJ43" s="249">
        <f>+AI43</f>
        <v>0.7577060428822503</v>
      </c>
      <c r="AK43" s="249">
        <f>1.05*AJ43</f>
        <v>0.79559134502636286</v>
      </c>
      <c r="AL43" s="168">
        <f>+SUM(AH43:AK43)</f>
        <v>3.0687094736731138</v>
      </c>
    </row>
    <row r="44" spans="1:38" x14ac:dyDescent="0.25">
      <c r="A44" s="300"/>
      <c r="B44" s="299" t="s">
        <v>57</v>
      </c>
      <c r="C44" s="60"/>
      <c r="D44" s="404"/>
      <c r="E44" s="377"/>
      <c r="F44" s="376"/>
      <c r="G44" s="377"/>
      <c r="H44" s="378"/>
      <c r="I44" s="377"/>
      <c r="J44" s="379"/>
      <c r="K44" s="379"/>
      <c r="L44" s="404"/>
      <c r="M44" s="429"/>
      <c r="N44" s="341"/>
      <c r="O44" s="60"/>
      <c r="P44" s="60"/>
      <c r="Q44" s="250"/>
      <c r="R44" s="14"/>
      <c r="S44" s="60"/>
      <c r="T44" s="60"/>
      <c r="U44" s="60"/>
      <c r="V44" s="250"/>
      <c r="W44" s="14"/>
      <c r="X44" s="60"/>
      <c r="Y44" s="60"/>
      <c r="Z44" s="60"/>
      <c r="AA44" s="250"/>
      <c r="AB44" s="14"/>
      <c r="AC44" s="60"/>
      <c r="AD44" s="60"/>
      <c r="AE44" s="60"/>
      <c r="AF44" s="250"/>
      <c r="AG44" s="14"/>
      <c r="AH44" s="60"/>
      <c r="AI44" s="60"/>
      <c r="AJ44" s="60"/>
      <c r="AK44" s="250"/>
      <c r="AL44" s="14"/>
    </row>
    <row r="45" spans="1:38" ht="15.75" x14ac:dyDescent="0.25">
      <c r="A45" s="300"/>
      <c r="B45" s="511" t="s">
        <v>101</v>
      </c>
      <c r="C45" s="512"/>
      <c r="D45" s="35" t="s">
        <v>110</v>
      </c>
      <c r="E45" s="35" t="s">
        <v>281</v>
      </c>
      <c r="F45" s="35" t="s">
        <v>283</v>
      </c>
      <c r="G45" s="35" t="s">
        <v>124</v>
      </c>
      <c r="H45" s="103" t="s">
        <v>124</v>
      </c>
      <c r="I45" s="35" t="s">
        <v>125</v>
      </c>
      <c r="J45" s="35" t="s">
        <v>126</v>
      </c>
      <c r="K45" s="35" t="s">
        <v>127</v>
      </c>
      <c r="L45" s="37" t="s">
        <v>128</v>
      </c>
      <c r="M45" s="106" t="s">
        <v>128</v>
      </c>
      <c r="N45" s="37" t="s">
        <v>129</v>
      </c>
      <c r="O45" s="37" t="s">
        <v>130</v>
      </c>
      <c r="P45" s="37" t="s">
        <v>131</v>
      </c>
      <c r="Q45" s="37" t="s">
        <v>132</v>
      </c>
      <c r="R45" s="106" t="s">
        <v>132</v>
      </c>
      <c r="S45" s="37" t="s">
        <v>133</v>
      </c>
      <c r="T45" s="37" t="s">
        <v>134</v>
      </c>
      <c r="U45" s="37" t="s">
        <v>135</v>
      </c>
      <c r="V45" s="37" t="s">
        <v>136</v>
      </c>
      <c r="W45" s="106" t="s">
        <v>136</v>
      </c>
      <c r="X45" s="37" t="s">
        <v>137</v>
      </c>
      <c r="Y45" s="37" t="s">
        <v>138</v>
      </c>
      <c r="Z45" s="37" t="s">
        <v>139</v>
      </c>
      <c r="AA45" s="37" t="s">
        <v>140</v>
      </c>
      <c r="AB45" s="106" t="s">
        <v>140</v>
      </c>
      <c r="AC45" s="37" t="s">
        <v>285</v>
      </c>
      <c r="AD45" s="37" t="s">
        <v>286</v>
      </c>
      <c r="AE45" s="37" t="s">
        <v>287</v>
      </c>
      <c r="AF45" s="37" t="s">
        <v>288</v>
      </c>
      <c r="AG45" s="106" t="s">
        <v>288</v>
      </c>
      <c r="AH45" s="37" t="s">
        <v>318</v>
      </c>
      <c r="AI45" s="37" t="s">
        <v>319</v>
      </c>
      <c r="AJ45" s="37" t="s">
        <v>320</v>
      </c>
      <c r="AK45" s="37" t="s">
        <v>321</v>
      </c>
      <c r="AL45" s="106" t="s">
        <v>321</v>
      </c>
    </row>
    <row r="46" spans="1:38" ht="17.25" x14ac:dyDescent="0.4">
      <c r="A46" s="300"/>
      <c r="B46" s="505"/>
      <c r="C46" s="506"/>
      <c r="D46" s="36" t="s">
        <v>123</v>
      </c>
      <c r="E46" s="36" t="s">
        <v>280</v>
      </c>
      <c r="F46" s="36" t="s">
        <v>284</v>
      </c>
      <c r="G46" s="36" t="s">
        <v>294</v>
      </c>
      <c r="H46" s="104" t="s">
        <v>295</v>
      </c>
      <c r="I46" s="36" t="s">
        <v>296</v>
      </c>
      <c r="J46" s="36" t="s">
        <v>297</v>
      </c>
      <c r="K46" s="36" t="s">
        <v>298</v>
      </c>
      <c r="L46" s="34" t="s">
        <v>141</v>
      </c>
      <c r="M46" s="107" t="s">
        <v>142</v>
      </c>
      <c r="N46" s="34" t="s">
        <v>143</v>
      </c>
      <c r="O46" s="34" t="s">
        <v>144</v>
      </c>
      <c r="P46" s="34" t="s">
        <v>145</v>
      </c>
      <c r="Q46" s="34" t="s">
        <v>146</v>
      </c>
      <c r="R46" s="107" t="s">
        <v>147</v>
      </c>
      <c r="S46" s="34" t="s">
        <v>148</v>
      </c>
      <c r="T46" s="34" t="s">
        <v>149</v>
      </c>
      <c r="U46" s="34" t="s">
        <v>150</v>
      </c>
      <c r="V46" s="34" t="s">
        <v>151</v>
      </c>
      <c r="W46" s="107" t="s">
        <v>152</v>
      </c>
      <c r="X46" s="34" t="s">
        <v>153</v>
      </c>
      <c r="Y46" s="34" t="s">
        <v>154</v>
      </c>
      <c r="Z46" s="34" t="s">
        <v>155</v>
      </c>
      <c r="AA46" s="34" t="s">
        <v>156</v>
      </c>
      <c r="AB46" s="107" t="s">
        <v>157</v>
      </c>
      <c r="AC46" s="34" t="s">
        <v>289</v>
      </c>
      <c r="AD46" s="34" t="s">
        <v>290</v>
      </c>
      <c r="AE46" s="34" t="s">
        <v>291</v>
      </c>
      <c r="AF46" s="34" t="s">
        <v>292</v>
      </c>
      <c r="AG46" s="107" t="s">
        <v>293</v>
      </c>
      <c r="AH46" s="34" t="s">
        <v>322</v>
      </c>
      <c r="AI46" s="34" t="s">
        <v>323</v>
      </c>
      <c r="AJ46" s="34" t="s">
        <v>324</v>
      </c>
      <c r="AK46" s="34" t="s">
        <v>325</v>
      </c>
      <c r="AL46" s="107" t="s">
        <v>326</v>
      </c>
    </row>
    <row r="47" spans="1:38" ht="18" x14ac:dyDescent="0.4">
      <c r="A47" s="300"/>
      <c r="B47" s="497" t="s">
        <v>168</v>
      </c>
      <c r="C47" s="498"/>
      <c r="D47" s="36"/>
      <c r="E47" s="36"/>
      <c r="F47" s="36"/>
      <c r="G47" s="36"/>
      <c r="H47" s="104"/>
      <c r="I47" s="36"/>
      <c r="J47" s="36"/>
      <c r="K47" s="36"/>
      <c r="L47" s="34"/>
      <c r="M47" s="107"/>
      <c r="N47" s="34"/>
      <c r="O47" s="34"/>
      <c r="P47" s="34"/>
      <c r="Q47" s="34"/>
      <c r="R47" s="107"/>
      <c r="S47" s="34"/>
      <c r="T47" s="34"/>
      <c r="U47" s="34"/>
      <c r="V47" s="34"/>
      <c r="W47" s="107"/>
      <c r="X47" s="34"/>
      <c r="Y47" s="34"/>
      <c r="Z47" s="34"/>
      <c r="AA47" s="34"/>
      <c r="AB47" s="107"/>
      <c r="AC47" s="34"/>
      <c r="AD47" s="34"/>
      <c r="AE47" s="34"/>
      <c r="AF47" s="34"/>
      <c r="AG47" s="107"/>
      <c r="AH47" s="34"/>
      <c r="AI47" s="34"/>
      <c r="AJ47" s="34"/>
      <c r="AK47" s="34"/>
      <c r="AL47" s="107"/>
    </row>
    <row r="48" spans="1:38" s="20" customFormat="1" outlineLevel="1" x14ac:dyDescent="0.25">
      <c r="A48" s="315"/>
      <c r="B48" s="503" t="s">
        <v>170</v>
      </c>
      <c r="C48" s="504"/>
      <c r="D48" s="45">
        <v>9777</v>
      </c>
      <c r="E48" s="45">
        <v>9776</v>
      </c>
      <c r="F48" s="332">
        <v>9857</v>
      </c>
      <c r="G48" s="45">
        <v>9974</v>
      </c>
      <c r="H48" s="202"/>
      <c r="I48" s="45">
        <v>10020</v>
      </c>
      <c r="J48" s="45">
        <v>10051</v>
      </c>
      <c r="K48" s="45">
        <v>10017</v>
      </c>
      <c r="L48" s="45">
        <f>+K48+L49</f>
        <v>10079</v>
      </c>
      <c r="M48" s="202"/>
      <c r="N48" s="45">
        <f>+L48+N49</f>
        <v>10105.25</v>
      </c>
      <c r="O48" s="45">
        <f>+N48+O49</f>
        <v>10126.5625</v>
      </c>
      <c r="P48" s="45">
        <f t="shared" ref="P48" si="134">+O48+P49</f>
        <v>10145.453125</v>
      </c>
      <c r="Q48" s="45">
        <f t="shared" ref="Q48" si="135">+P48+Q49</f>
        <v>10177.56640625</v>
      </c>
      <c r="R48" s="202"/>
      <c r="S48" s="45">
        <f>+Q48+S49</f>
        <v>10202.2080078125</v>
      </c>
      <c r="T48" s="45">
        <f>+S48+T49</f>
        <v>10226.447509765625</v>
      </c>
      <c r="U48" s="45">
        <f t="shared" ref="U48" si="136">+T48+U49</f>
        <v>10251.418762207031</v>
      </c>
      <c r="V48" s="45">
        <f t="shared" ref="V48" si="137">+U48+V49</f>
        <v>10277.910171508789</v>
      </c>
      <c r="W48" s="202"/>
      <c r="X48" s="45">
        <f>+V48+X49</f>
        <v>10302.996112823486</v>
      </c>
      <c r="Y48" s="45">
        <f>+X48+Y49</f>
        <v>10328.193139076233</v>
      </c>
      <c r="Z48" s="45">
        <f t="shared" ref="Z48" si="138">+Y48+Z49</f>
        <v>10353.629546403885</v>
      </c>
      <c r="AA48" s="45">
        <f t="shared" ref="AA48" si="139">+Z48+AA49</f>
        <v>10379.182242453098</v>
      </c>
      <c r="AB48" s="202"/>
      <c r="AC48" s="45">
        <f>+AA48+AC49</f>
        <v>10429.182242453098</v>
      </c>
      <c r="AD48" s="45">
        <f>+AC48+AD49</f>
        <v>10479.182242453098</v>
      </c>
      <c r="AE48" s="45">
        <f t="shared" ref="AE48" si="140">+AD48+AE49</f>
        <v>10529.182242453098</v>
      </c>
      <c r="AF48" s="45">
        <f t="shared" ref="AF48" si="141">+AE48+AF49</f>
        <v>10579.182242453098</v>
      </c>
      <c r="AG48" s="202"/>
      <c r="AH48" s="45">
        <f>+AF48+AH49</f>
        <v>10629.182242453098</v>
      </c>
      <c r="AI48" s="45">
        <f>+AH48+AI49</f>
        <v>10679.182242453098</v>
      </c>
      <c r="AJ48" s="45">
        <f t="shared" ref="AJ48" si="142">+AI48+AJ49</f>
        <v>10729.182242453098</v>
      </c>
      <c r="AK48" s="45">
        <f t="shared" ref="AK48" si="143">+AJ48+AK49</f>
        <v>10779.182242453098</v>
      </c>
      <c r="AL48" s="202"/>
    </row>
    <row r="49" spans="1:38" outlineLevel="1" x14ac:dyDescent="0.25">
      <c r="A49" s="300"/>
      <c r="B49" s="51" t="s">
        <v>175</v>
      </c>
      <c r="C49" s="85"/>
      <c r="D49" s="302">
        <f>+D48-9690</f>
        <v>87</v>
      </c>
      <c r="E49" s="302">
        <f>E48-D48</f>
        <v>-1</v>
      </c>
      <c r="F49" s="302">
        <f t="shared" ref="F49:G49" si="144">F48-E48</f>
        <v>81</v>
      </c>
      <c r="G49" s="302">
        <f t="shared" si="144"/>
        <v>117</v>
      </c>
      <c r="H49" s="340">
        <f>+SUM(D49:G49)</f>
        <v>284</v>
      </c>
      <c r="I49" s="302">
        <f>I48-G48</f>
        <v>46</v>
      </c>
      <c r="J49" s="302">
        <f t="shared" ref="J49" si="145">J48-I48</f>
        <v>31</v>
      </c>
      <c r="K49" s="302">
        <f>K48-J48</f>
        <v>-34</v>
      </c>
      <c r="L49" s="71">
        <v>62</v>
      </c>
      <c r="M49" s="56">
        <f>+SUM(I49:L49)</f>
        <v>105</v>
      </c>
      <c r="N49" s="71">
        <f>AVERAGE(I49,J49,K49,L49)</f>
        <v>26.25</v>
      </c>
      <c r="O49" s="71">
        <f>AVERAGE(J49,K49,L49,N49)</f>
        <v>21.3125</v>
      </c>
      <c r="P49" s="71">
        <f>AVERAGE(K49,L49,N49,O49)</f>
        <v>18.890625</v>
      </c>
      <c r="Q49" s="71">
        <f>AVERAGE(L49,N49,O49,P49)</f>
        <v>32.11328125</v>
      </c>
      <c r="R49" s="56">
        <f>+SUM(N49:Q49)</f>
        <v>98.56640625</v>
      </c>
      <c r="S49" s="71">
        <f>AVERAGE(N49,O49,P49,Q49)</f>
        <v>24.6416015625</v>
      </c>
      <c r="T49" s="71">
        <f>AVERAGE(O49,P49,Q49,S49)</f>
        <v>24.239501953125</v>
      </c>
      <c r="U49" s="71">
        <f>AVERAGE(P49,Q49,S49,T49)</f>
        <v>24.97125244140625</v>
      </c>
      <c r="V49" s="71">
        <f>AVERAGE(Q49,S49,T49,U49)</f>
        <v>26.491409301757813</v>
      </c>
      <c r="W49" s="56">
        <f>+SUM(S49:V49)</f>
        <v>100.34376525878906</v>
      </c>
      <c r="X49" s="71">
        <f>AVERAGE(S49,T49,U49,V49)</f>
        <v>25.085941314697266</v>
      </c>
      <c r="Y49" s="71">
        <f>AVERAGE(T49,U49,V49,X49)</f>
        <v>25.197026252746582</v>
      </c>
      <c r="Z49" s="71">
        <f>AVERAGE(U49,V49,X49,Y49)</f>
        <v>25.436407327651978</v>
      </c>
      <c r="AA49" s="71">
        <f>AVERAGE(V49,X49,Y49,Z49)</f>
        <v>25.552696049213409</v>
      </c>
      <c r="AB49" s="56">
        <f>+SUM(X49:AA49)</f>
        <v>101.27207094430923</v>
      </c>
      <c r="AC49" s="71">
        <v>50</v>
      </c>
      <c r="AD49" s="71">
        <v>50</v>
      </c>
      <c r="AE49" s="71">
        <v>50</v>
      </c>
      <c r="AF49" s="71">
        <v>50</v>
      </c>
      <c r="AG49" s="56">
        <f>+SUM(AC49:AF49)</f>
        <v>200</v>
      </c>
      <c r="AH49" s="71">
        <f>AVERAGE(AC49,AD49,AE49,AF49)</f>
        <v>50</v>
      </c>
      <c r="AI49" s="71">
        <f>AVERAGE(AD49,AE49,AF49,AH49)</f>
        <v>50</v>
      </c>
      <c r="AJ49" s="71">
        <f>AVERAGE(AE49,AF49,AH49,AI49)</f>
        <v>50</v>
      </c>
      <c r="AK49" s="71">
        <f>AVERAGE(AF49,AH49,AI49,AJ49)</f>
        <v>50</v>
      </c>
      <c r="AL49" s="56">
        <f>+SUM(AH49:AK49)</f>
        <v>200</v>
      </c>
    </row>
    <row r="50" spans="1:38" s="210" customFormat="1" outlineLevel="1" x14ac:dyDescent="0.25">
      <c r="A50" s="319"/>
      <c r="B50" s="211" t="s">
        <v>176</v>
      </c>
      <c r="C50" s="212"/>
      <c r="D50" s="214">
        <v>9527</v>
      </c>
      <c r="E50" s="214">
        <v>9499</v>
      </c>
      <c r="F50" s="214">
        <v>9594</v>
      </c>
      <c r="G50" s="214">
        <v>9690</v>
      </c>
      <c r="H50" s="215"/>
      <c r="I50" s="214">
        <f>D48</f>
        <v>9777</v>
      </c>
      <c r="J50" s="214">
        <f>E48</f>
        <v>9776</v>
      </c>
      <c r="K50" s="214">
        <f>F48</f>
        <v>9857</v>
      </c>
      <c r="L50" s="214">
        <f>G48</f>
        <v>9974</v>
      </c>
      <c r="M50" s="380"/>
      <c r="N50" s="214">
        <f>I48</f>
        <v>10020</v>
      </c>
      <c r="O50" s="214">
        <f>J48</f>
        <v>10051</v>
      </c>
      <c r="P50" s="214">
        <f>K48</f>
        <v>10017</v>
      </c>
      <c r="Q50" s="214">
        <f>L48</f>
        <v>10079</v>
      </c>
      <c r="R50" s="215"/>
      <c r="S50" s="214">
        <f>N48</f>
        <v>10105.25</v>
      </c>
      <c r="T50" s="214">
        <f>O48</f>
        <v>10126.5625</v>
      </c>
      <c r="U50" s="214">
        <f>P48</f>
        <v>10145.453125</v>
      </c>
      <c r="V50" s="214">
        <f>Q48</f>
        <v>10177.56640625</v>
      </c>
      <c r="W50" s="215"/>
      <c r="X50" s="214">
        <f>+AVERAGE(X48,V48,U48,T48)</f>
        <v>10264.693139076233</v>
      </c>
      <c r="Y50" s="214">
        <f>+AVERAGE(Y48,X48,V48,U48)</f>
        <v>10290.129546403885</v>
      </c>
      <c r="Z50" s="214">
        <f>+AVERAGE(Z48,Y48,X48,V48)</f>
        <v>10315.682242453098</v>
      </c>
      <c r="AA50" s="214">
        <f>+AVERAGE(AA48,Z48,Y48,X48)</f>
        <v>10341.000260189176</v>
      </c>
      <c r="AB50" s="215"/>
      <c r="AC50" s="214">
        <f>+AVERAGE(AC48,AA48,Z48,Y48)</f>
        <v>10372.546792596579</v>
      </c>
      <c r="AD50" s="214">
        <f>+AVERAGE(AD48,AC48,AA48,Z48)</f>
        <v>10410.294068440795</v>
      </c>
      <c r="AE50" s="214">
        <f>+AVERAGE(AE48,AD48,AC48,AA48)</f>
        <v>10454.182242453098</v>
      </c>
      <c r="AF50" s="214">
        <f>+AVERAGE(AF48,AE48,AD48,AC48)</f>
        <v>10504.182242453098</v>
      </c>
      <c r="AG50" s="215"/>
      <c r="AH50" s="214">
        <f>+AVERAGE(AH48,AF48,AE48,AD48)</f>
        <v>10554.182242453098</v>
      </c>
      <c r="AI50" s="214">
        <f>+AVERAGE(AI48,AH48,AF48,AE48)</f>
        <v>10604.182242453098</v>
      </c>
      <c r="AJ50" s="214">
        <f>+AVERAGE(AJ48,AI48,AH48,AF48)</f>
        <v>10654.182242453098</v>
      </c>
      <c r="AK50" s="214">
        <f>+AVERAGE(AK48,AJ48,AI48,AH48)</f>
        <v>10704.182242453098</v>
      </c>
      <c r="AL50" s="215"/>
    </row>
    <row r="51" spans="1:38" s="210" customFormat="1" outlineLevel="1" x14ac:dyDescent="0.25">
      <c r="A51" s="319"/>
      <c r="B51" s="211" t="s">
        <v>177</v>
      </c>
      <c r="C51" s="212"/>
      <c r="D51" s="216">
        <v>0.42069471068107506</v>
      </c>
      <c r="E51" s="216">
        <v>0.39562181698744753</v>
      </c>
      <c r="F51" s="216">
        <v>0.42259741164000009</v>
      </c>
      <c r="G51" s="216">
        <v>0.41931398367073175</v>
      </c>
      <c r="H51" s="418"/>
      <c r="I51" s="216">
        <f>+D51*(1+I54)</f>
        <v>0.44593639332193957</v>
      </c>
      <c r="J51" s="216">
        <f>+E51*(1+J54)</f>
        <v>0.38375316247782409</v>
      </c>
      <c r="K51" s="216">
        <f t="shared" ref="K51" si="146">+F51*(1+K54)</f>
        <v>0.24933247286760007</v>
      </c>
      <c r="L51" s="216">
        <f>+G51*(1+L54)</f>
        <v>0.36647978807926657</v>
      </c>
      <c r="M51" s="419"/>
      <c r="N51" s="216">
        <f>+I51*(1+N54)</f>
        <v>0.46823321298803655</v>
      </c>
      <c r="O51" s="216">
        <f>+J51*(1+O54)</f>
        <v>0.41061588385127179</v>
      </c>
      <c r="P51" s="216">
        <f t="shared" ref="P51" si="147">+K51*(1+P54)</f>
        <v>0.27426572015436013</v>
      </c>
      <c r="Q51" s="216">
        <f t="shared" ref="Q51" si="148">+L51*(1+Q54)</f>
        <v>0.53139569271493647</v>
      </c>
      <c r="R51" s="215"/>
      <c r="S51" s="216">
        <f>+N51*(1+S54)</f>
        <v>0.53846819493624198</v>
      </c>
      <c r="T51" s="216">
        <f>+O51*(1+T54)</f>
        <v>0.43114667804383539</v>
      </c>
      <c r="U51" s="216">
        <f t="shared" ref="U51" si="149">+P51*(1+U54)</f>
        <v>0.28523634896053451</v>
      </c>
      <c r="V51" s="216">
        <f t="shared" ref="V51" si="150">+Q51*(1+V54)</f>
        <v>0.55486110484161022</v>
      </c>
      <c r="W51" s="215"/>
      <c r="X51" s="216">
        <f>+S51*(1+X54)</f>
        <v>0.56000692273369168</v>
      </c>
      <c r="Y51" s="216">
        <f>+T51*(1+Y54)</f>
        <v>0.4483925451655888</v>
      </c>
      <c r="Z51" s="216">
        <f t="shared" ref="Z51" si="151">+U51*(1+Z54)</f>
        <v>0.29664580291895593</v>
      </c>
      <c r="AA51" s="216">
        <f t="shared" ref="AA51" si="152">+V51*(1+AA54)</f>
        <v>0.57705554903527467</v>
      </c>
      <c r="AB51" s="215"/>
      <c r="AC51" s="216">
        <f>+X51*(1+AC54)</f>
        <v>0.58240719964303933</v>
      </c>
      <c r="AD51" s="216">
        <f>+Y51*(1+AD54)</f>
        <v>0.46632824697221237</v>
      </c>
      <c r="AE51" s="216">
        <f t="shared" ref="AE51" si="153">+Z51*(1+AE54)</f>
        <v>0.30851163503571416</v>
      </c>
      <c r="AF51" s="216">
        <f t="shared" ref="AF51" si="154">+AA51*(1+AF54)</f>
        <v>0.60013777099668564</v>
      </c>
      <c r="AG51" s="215"/>
      <c r="AH51" s="216">
        <f>+AC51*(1+AH54)</f>
        <v>0.60570348762876092</v>
      </c>
      <c r="AI51" s="216">
        <f>+AD51*(1+AI54)</f>
        <v>0.48498137685110088</v>
      </c>
      <c r="AJ51" s="216">
        <f t="shared" ref="AJ51" si="155">+AE51*(1+AJ54)</f>
        <v>0.32085210043714274</v>
      </c>
      <c r="AK51" s="216">
        <f t="shared" ref="AK51" si="156">+AF51*(1+AK54)</f>
        <v>0.6241432818365531</v>
      </c>
      <c r="AL51" s="215"/>
    </row>
    <row r="52" spans="1:38" outlineLevel="1" x14ac:dyDescent="0.25">
      <c r="A52" s="300"/>
      <c r="B52" s="51" t="s">
        <v>173</v>
      </c>
      <c r="C52" s="189"/>
      <c r="D52" s="334">
        <v>0.04</v>
      </c>
      <c r="E52" s="334">
        <v>0</v>
      </c>
      <c r="F52" s="334">
        <v>0.03</v>
      </c>
      <c r="G52" s="334">
        <v>0.03</v>
      </c>
      <c r="H52" s="370"/>
      <c r="I52" s="334">
        <v>0.02</v>
      </c>
      <c r="J52" s="334">
        <v>-7.0000000000000007E-2</v>
      </c>
      <c r="K52" s="334">
        <v>-0.53</v>
      </c>
      <c r="L52" s="64"/>
      <c r="M52" s="370"/>
      <c r="N52" s="64"/>
      <c r="O52" s="64"/>
      <c r="P52" s="64"/>
      <c r="Q52" s="64"/>
      <c r="R52" s="62"/>
      <c r="S52" s="64"/>
      <c r="T52" s="64"/>
      <c r="U52" s="64"/>
      <c r="V52" s="64"/>
      <c r="W52" s="62"/>
      <c r="X52" s="64"/>
      <c r="Y52" s="64"/>
      <c r="Z52" s="64"/>
      <c r="AA52" s="64"/>
      <c r="AB52" s="62"/>
      <c r="AC52" s="64"/>
      <c r="AD52" s="64"/>
      <c r="AE52" s="64"/>
      <c r="AF52" s="64"/>
      <c r="AG52" s="62"/>
      <c r="AH52" s="64"/>
      <c r="AI52" s="64"/>
      <c r="AJ52" s="64"/>
      <c r="AK52" s="64"/>
      <c r="AL52" s="62"/>
    </row>
    <row r="53" spans="1:38" outlineLevel="1" x14ac:dyDescent="0.25">
      <c r="A53" s="300"/>
      <c r="B53" s="51" t="s">
        <v>172</v>
      </c>
      <c r="C53" s="189"/>
      <c r="D53" s="443">
        <v>0</v>
      </c>
      <c r="E53" s="443">
        <v>0.04</v>
      </c>
      <c r="F53" s="443">
        <v>0.04</v>
      </c>
      <c r="G53" s="443">
        <v>0.03</v>
      </c>
      <c r="H53" s="420"/>
      <c r="I53" s="443">
        <v>0.03</v>
      </c>
      <c r="J53" s="443">
        <v>0.05</v>
      </c>
      <c r="K53" s="443">
        <v>0.27</v>
      </c>
      <c r="L53" s="204"/>
      <c r="M53" s="420"/>
      <c r="N53" s="204"/>
      <c r="O53" s="204"/>
      <c r="P53" s="204"/>
      <c r="Q53" s="204"/>
      <c r="R53" s="205"/>
      <c r="S53" s="204"/>
      <c r="T53" s="204"/>
      <c r="U53" s="204"/>
      <c r="V53" s="204"/>
      <c r="W53" s="205"/>
      <c r="X53" s="204"/>
      <c r="Y53" s="204"/>
      <c r="Z53" s="204"/>
      <c r="AA53" s="204"/>
      <c r="AB53" s="205"/>
      <c r="AC53" s="204"/>
      <c r="AD53" s="204"/>
      <c r="AE53" s="204"/>
      <c r="AF53" s="204"/>
      <c r="AG53" s="205"/>
      <c r="AH53" s="204"/>
      <c r="AI53" s="204"/>
      <c r="AJ53" s="204"/>
      <c r="AK53" s="204"/>
      <c r="AL53" s="205"/>
    </row>
    <row r="54" spans="1:38" s="20" customFormat="1" outlineLevel="1" x14ac:dyDescent="0.25">
      <c r="A54" s="315"/>
      <c r="B54" s="97" t="s">
        <v>174</v>
      </c>
      <c r="C54" s="87"/>
      <c r="D54" s="444">
        <v>0.04</v>
      </c>
      <c r="E54" s="444">
        <v>4.2999999999999997E-2</v>
      </c>
      <c r="F54" s="445">
        <v>7.0000000000000007E-2</v>
      </c>
      <c r="G54" s="444">
        <v>0.06</v>
      </c>
      <c r="H54" s="388"/>
      <c r="I54" s="444">
        <v>0.06</v>
      </c>
      <c r="J54" s="444">
        <v>-0.03</v>
      </c>
      <c r="K54" s="444">
        <v>-0.41</v>
      </c>
      <c r="L54" s="417">
        <v>-0.12600151115626387</v>
      </c>
      <c r="M54" s="421"/>
      <c r="N54" s="488">
        <v>0.05</v>
      </c>
      <c r="O54" s="484">
        <v>7.0000000000000007E-2</v>
      </c>
      <c r="P54" s="484">
        <v>0.1</v>
      </c>
      <c r="Q54" s="484">
        <v>0.45</v>
      </c>
      <c r="R54" s="206"/>
      <c r="S54" s="208">
        <v>0.15</v>
      </c>
      <c r="T54" s="208">
        <v>0.05</v>
      </c>
      <c r="U54" s="208">
        <v>0.04</v>
      </c>
      <c r="V54" s="208">
        <v>4.4158077395748827E-2</v>
      </c>
      <c r="W54" s="206"/>
      <c r="X54" s="208">
        <v>0.04</v>
      </c>
      <c r="Y54" s="208">
        <v>0.04</v>
      </c>
      <c r="Z54" s="208">
        <v>0.04</v>
      </c>
      <c r="AA54" s="208">
        <v>0.04</v>
      </c>
      <c r="AB54" s="206"/>
      <c r="AC54" s="208">
        <f>AVERAGE(AA54,Z54,Y54,X54)</f>
        <v>0.04</v>
      </c>
      <c r="AD54" s="208">
        <f>AVERAGE(AC54,AA54,Z54,Y54)</f>
        <v>0.04</v>
      </c>
      <c r="AE54" s="208">
        <f>AVERAGE(AD54,AC54,AA54,Z54)</f>
        <v>0.04</v>
      </c>
      <c r="AF54" s="208">
        <f>AVERAGE(AE54,AD54,AC54,AA54)</f>
        <v>0.04</v>
      </c>
      <c r="AG54" s="206"/>
      <c r="AH54" s="208">
        <v>0.04</v>
      </c>
      <c r="AI54" s="208">
        <v>0.04</v>
      </c>
      <c r="AJ54" s="208">
        <v>0.04</v>
      </c>
      <c r="AK54" s="208">
        <v>0.04</v>
      </c>
      <c r="AL54" s="206"/>
    </row>
    <row r="55" spans="1:38" ht="17.25" outlineLevel="1" x14ac:dyDescent="0.4">
      <c r="A55" s="300"/>
      <c r="B55" s="190" t="s">
        <v>205</v>
      </c>
      <c r="C55" s="189"/>
      <c r="D55" s="69">
        <v>84</v>
      </c>
      <c r="E55" s="69">
        <v>92</v>
      </c>
      <c r="F55" s="69">
        <v>128</v>
      </c>
      <c r="G55" s="69">
        <f>AVERAGE(D55:F55)</f>
        <v>101.33333333333333</v>
      </c>
      <c r="H55" s="18"/>
      <c r="I55" s="69">
        <v>111</v>
      </c>
      <c r="J55" s="69">
        <v>112</v>
      </c>
      <c r="K55" s="69">
        <v>111</v>
      </c>
      <c r="L55" s="69">
        <f>AVERAGE(K55,J55,I55)</f>
        <v>111.33333333333333</v>
      </c>
      <c r="M55" s="18"/>
      <c r="N55" s="69">
        <f>AVERAGE(L55,K55,J55,I55)</f>
        <v>111.33333333333333</v>
      </c>
      <c r="O55" s="69">
        <f>AVERAGE(N55,L55,K55,J55)</f>
        <v>111.41666666666666</v>
      </c>
      <c r="P55" s="69">
        <f>AVERAGE(O55,N55,L55,K55)</f>
        <v>111.27083333333333</v>
      </c>
      <c r="Q55" s="69">
        <f>AVERAGE(P55,O55,N55,L55)</f>
        <v>111.33854166666666</v>
      </c>
      <c r="R55" s="18"/>
      <c r="S55" s="69">
        <f>AVERAGE(Q55,P55,O55,N55)</f>
        <v>111.33984374999999</v>
      </c>
      <c r="T55" s="69">
        <f>AVERAGE(S55,Q55,P55,O55)</f>
        <v>111.34147135416666</v>
      </c>
      <c r="U55" s="69">
        <f>AVERAGE(T55,S55,Q55,P55)</f>
        <v>111.32267252604164</v>
      </c>
      <c r="V55" s="69">
        <f>AVERAGE(U55,T55,S55,Q55)</f>
        <v>111.33563232421875</v>
      </c>
      <c r="W55" s="18"/>
      <c r="X55" s="69">
        <f>AVERAGE(V55,U55,T55,S55)</f>
        <v>111.33490498860675</v>
      </c>
      <c r="Y55" s="69">
        <f>AVERAGE(X55,V55,U55,T55)</f>
        <v>111.33367029825845</v>
      </c>
      <c r="Z55" s="69">
        <f>AVERAGE(Y55,X55,V55,U55)</f>
        <v>111.3317200342814</v>
      </c>
      <c r="AA55" s="69">
        <f>AVERAGE(Z55,Y55,X55,V55)</f>
        <v>111.33398191134134</v>
      </c>
      <c r="AB55" s="18"/>
      <c r="AC55" s="69">
        <f>AVERAGE(AA55,Z55,Y55,X55)</f>
        <v>111.33356930812199</v>
      </c>
      <c r="AD55" s="69">
        <f>AVERAGE(AC55,AA55,Z55,Y55)</f>
        <v>111.33323538800079</v>
      </c>
      <c r="AE55" s="69">
        <f>AVERAGE(AD55,AC55,AA55,Z55)</f>
        <v>111.33312666043636</v>
      </c>
      <c r="AF55" s="69">
        <f>AVERAGE(AE55,AD55,AC55,AA55)</f>
        <v>111.33347831697512</v>
      </c>
      <c r="AG55" s="18"/>
      <c r="AH55" s="69">
        <f>AVERAGE(AF55,AE55,AD55,AC55)</f>
        <v>111.33335241838357</v>
      </c>
      <c r="AI55" s="69">
        <f>AVERAGE(AH55,AF55,AE55,AD55)</f>
        <v>111.33329819594896</v>
      </c>
      <c r="AJ55" s="69">
        <f>AVERAGE(AI55,AH55,AF55,AE55)</f>
        <v>111.33331389793599</v>
      </c>
      <c r="AK55" s="69">
        <f>AVERAGE(AJ55,AI55,AH55,AF55)</f>
        <v>111.33336070731092</v>
      </c>
      <c r="AL55" s="18"/>
    </row>
    <row r="56" spans="1:38" s="20" customFormat="1" outlineLevel="1" x14ac:dyDescent="0.25">
      <c r="A56" s="315"/>
      <c r="B56" s="501" t="s">
        <v>185</v>
      </c>
      <c r="C56" s="502"/>
      <c r="D56" s="195">
        <v>4092.2</v>
      </c>
      <c r="E56" s="195">
        <v>3849.6</v>
      </c>
      <c r="F56" s="195">
        <v>4182.2</v>
      </c>
      <c r="G56" s="195">
        <v>4164.2</v>
      </c>
      <c r="H56" s="272">
        <f>SUM(D56:G56)</f>
        <v>16288.2</v>
      </c>
      <c r="I56" s="195">
        <v>4471</v>
      </c>
      <c r="J56" s="195">
        <v>3863.6</v>
      </c>
      <c r="K56" s="305">
        <v>2568.9</v>
      </c>
      <c r="L56" s="195">
        <f t="shared" ref="L56" si="157">+L50*L51+L55</f>
        <v>3766.6027396359382</v>
      </c>
      <c r="M56" s="272">
        <f>SUM(I56:L56)</f>
        <v>14670.102739635939</v>
      </c>
      <c r="N56" s="195">
        <f>+N50*N51+N55</f>
        <v>4803.0301274734593</v>
      </c>
      <c r="O56" s="195">
        <f>+O50*O51+O55</f>
        <v>4238.5169152558001</v>
      </c>
      <c r="P56" s="195">
        <f t="shared" ref="P56" si="158">+P50*P51+P55</f>
        <v>2858.5905521195587</v>
      </c>
      <c r="Q56" s="195">
        <f t="shared" ref="Q56" si="159">+Q50*Q51+Q55</f>
        <v>5467.2757285405114</v>
      </c>
      <c r="R56" s="272">
        <f>SUM(N56:Q56)</f>
        <v>17367.41332338933</v>
      </c>
      <c r="S56" s="195">
        <f>+S50*S51+S55</f>
        <v>5552.6955706294593</v>
      </c>
      <c r="T56" s="195">
        <f>+T50*T51+T55</f>
        <v>4477.3752532324434</v>
      </c>
      <c r="U56" s="195">
        <f t="shared" ref="U56" si="160">+U50*U51+U55</f>
        <v>3005.1746804512868</v>
      </c>
      <c r="V56" s="195">
        <f t="shared" ref="V56" si="161">+V50*V51+V55</f>
        <v>5758.4713730949497</v>
      </c>
      <c r="W56" s="272">
        <f>SUM(S56:V56)</f>
        <v>18793.716877408136</v>
      </c>
      <c r="X56" s="195">
        <f>+X50*X51+X55</f>
        <v>5859.6341226083259</v>
      </c>
      <c r="Y56" s="195">
        <f>+Y50*Y51+Y55</f>
        <v>4725.3510476939227</v>
      </c>
      <c r="Z56" s="195">
        <f t="shared" ref="Z56" si="162">+Z50*Z51+Z55</f>
        <v>3171.4355615035965</v>
      </c>
      <c r="AA56" s="195">
        <f t="shared" ref="AA56" si="163">+AA50*AA51+AA55</f>
        <v>6078.6655646287245</v>
      </c>
      <c r="AB56" s="272">
        <f>SUM(X56:AA56)</f>
        <v>19835.086296434569</v>
      </c>
      <c r="AC56" s="195">
        <f>+AC50*AC51+AC55</f>
        <v>6152.3794999506845</v>
      </c>
      <c r="AD56" s="195">
        <f>+AD50*AD51+AD55</f>
        <v>4965.9474187892174</v>
      </c>
      <c r="AE56" s="195">
        <f t="shared" ref="AE56:AF56" si="164">+AE50*AE51+AE55</f>
        <v>3336.5699832409705</v>
      </c>
      <c r="AF56" s="195">
        <f t="shared" si="164"/>
        <v>6415.2899954457444</v>
      </c>
      <c r="AG56" s="272">
        <f>SUM(AC56:AF56)</f>
        <v>20870.186897426618</v>
      </c>
      <c r="AH56" s="195">
        <f>+AH50*AH51+AH55</f>
        <v>6504.038345741762</v>
      </c>
      <c r="AI56" s="195">
        <f>+AI50*AI51+AI55</f>
        <v>5254.1642025208475</v>
      </c>
      <c r="AJ56" s="195">
        <f t="shared" ref="AJ56:AK56" si="165">+AJ50*AJ51+AJ55</f>
        <v>3529.7500648291202</v>
      </c>
      <c r="AK56" s="195">
        <f t="shared" si="165"/>
        <v>6792.2767948885421</v>
      </c>
      <c r="AL56" s="272">
        <f>SUM(AH56:AK56)</f>
        <v>22080.22940798027</v>
      </c>
    </row>
    <row r="57" spans="1:38" s="20" customFormat="1" outlineLevel="1" x14ac:dyDescent="0.25">
      <c r="A57" s="315"/>
      <c r="B57" s="217" t="s">
        <v>180</v>
      </c>
      <c r="C57" s="87"/>
      <c r="D57" s="221">
        <f>+D56/D48</f>
        <v>0.41855374859363809</v>
      </c>
      <c r="E57" s="221">
        <f t="shared" ref="E57" si="166">+E56/E48</f>
        <v>0.39378068739770866</v>
      </c>
      <c r="F57" s="221">
        <f t="shared" ref="F57" si="167">+F56/F48</f>
        <v>0.42428730851171753</v>
      </c>
      <c r="G57" s="221">
        <f t="shared" ref="G57" si="168">+G56/G48</f>
        <v>0.4175055143372769</v>
      </c>
      <c r="H57" s="207"/>
      <c r="I57" s="221">
        <f t="shared" ref="I57:J57" si="169">+I56/I48</f>
        <v>0.44620758483033934</v>
      </c>
      <c r="J57" s="221">
        <f t="shared" si="169"/>
        <v>0.38439956223261368</v>
      </c>
      <c r="K57" s="221">
        <f t="shared" ref="K57" si="170">+K56/K48</f>
        <v>0.25645402815214136</v>
      </c>
      <c r="L57" s="221">
        <f t="shared" ref="L57" si="171">+L56/L48</f>
        <v>0.3737079809143703</v>
      </c>
      <c r="M57" s="207"/>
      <c r="N57" s="221">
        <f t="shared" ref="N57" si="172">+N56/N48</f>
        <v>0.47530047524538821</v>
      </c>
      <c r="O57" s="221">
        <f t="shared" ref="O57" si="173">+O56/O48</f>
        <v>0.41855436287050024</v>
      </c>
      <c r="P57" s="221">
        <f t="shared" ref="P57" si="174">+P56/P48</f>
        <v>0.2817607569518546</v>
      </c>
      <c r="Q57" s="221">
        <f t="shared" ref="Q57" si="175">+Q56/Q48</f>
        <v>0.53718890256349305</v>
      </c>
      <c r="R57" s="207"/>
      <c r="S57" s="221">
        <f t="shared" ref="S57" si="176">+S56/S48</f>
        <v>0.54426410110217283</v>
      </c>
      <c r="T57" s="221">
        <f t="shared" ref="T57" si="177">+T56/T48</f>
        <v>0.43782312958207892</v>
      </c>
      <c r="U57" s="221">
        <f t="shared" ref="U57" si="178">+U56/U48</f>
        <v>0.29314719749135504</v>
      </c>
      <c r="V57" s="221">
        <f t="shared" ref="V57" si="179">+V56/V48</f>
        <v>0.56027648393521723</v>
      </c>
      <c r="W57" s="207"/>
      <c r="X57" s="221">
        <f t="shared" ref="X57" si="180">+X56/X48</f>
        <v>0.56873108156521679</v>
      </c>
      <c r="Y57" s="221">
        <f t="shared" ref="Y57" si="181">+Y56/Y48</f>
        <v>0.45751962459104095</v>
      </c>
      <c r="Z57" s="221">
        <f t="shared" ref="Z57" si="182">+Z56/Z48</f>
        <v>0.30631147727369945</v>
      </c>
      <c r="AA57" s="221">
        <f t="shared" ref="AA57" si="183">+AA56/AA48</f>
        <v>0.5856593922944785</v>
      </c>
      <c r="AB57" s="207"/>
      <c r="AC57" s="221">
        <f t="shared" ref="AC57:AF57" si="184">+AC56/AC48</f>
        <v>0.58991964632728033</v>
      </c>
      <c r="AD57" s="221">
        <f t="shared" si="184"/>
        <v>0.47388692207978306</v>
      </c>
      <c r="AE57" s="221">
        <f t="shared" si="184"/>
        <v>0.31688785571476757</v>
      </c>
      <c r="AF57" s="221">
        <f t="shared" si="184"/>
        <v>0.60640698386893166</v>
      </c>
      <c r="AG57" s="207"/>
      <c r="AH57" s="221">
        <f t="shared" ref="AH57:AK57" si="185">+AH56/AH48</f>
        <v>0.61190392613314548</v>
      </c>
      <c r="AI57" s="221">
        <f t="shared" si="185"/>
        <v>0.49200061233470643</v>
      </c>
      <c r="AJ57" s="221">
        <f t="shared" si="185"/>
        <v>0.32898593621260791</v>
      </c>
      <c r="AK57" s="221">
        <f t="shared" si="185"/>
        <v>0.63012913615446708</v>
      </c>
      <c r="AL57" s="207"/>
    </row>
    <row r="58" spans="1:38" s="210" customFormat="1" outlineLevel="1" x14ac:dyDescent="0.25">
      <c r="A58" s="319"/>
      <c r="B58" s="217" t="s">
        <v>178</v>
      </c>
      <c r="C58" s="218"/>
      <c r="D58" s="213">
        <f>ROUND((+D56-D55-(D50*D51)),0)</f>
        <v>0</v>
      </c>
      <c r="E58" s="219">
        <f>ROUND((+E56-E55-(E50*E51)),0)</f>
        <v>0</v>
      </c>
      <c r="F58" s="322">
        <f>ROUND((+F56-F55-(F50*F51)),0)</f>
        <v>0</v>
      </c>
      <c r="G58" s="219">
        <f>ROUND((+G56-G55-(G50*G51)),0)</f>
        <v>0</v>
      </c>
      <c r="H58" s="220"/>
      <c r="I58" s="219">
        <f>ROUND((+I56-I55-(I50*I51)),0)</f>
        <v>0</v>
      </c>
      <c r="J58" s="219">
        <f>ROUND((+J56-J55-(J50*J51)),0)</f>
        <v>0</v>
      </c>
      <c r="K58" s="219">
        <f>ROUND((+K56-K55-(K50*K51)),0)</f>
        <v>0</v>
      </c>
      <c r="L58" s="219">
        <f>ROUND((+L56-L55-(L50*L51)),0)</f>
        <v>0</v>
      </c>
      <c r="M58" s="220"/>
      <c r="N58" s="219">
        <f>ROUND((+N56-N55-(N50*N51)),0)</f>
        <v>0</v>
      </c>
      <c r="O58" s="219">
        <f>ROUND((+O56-O55-(O50*O51)),0)</f>
        <v>0</v>
      </c>
      <c r="P58" s="219">
        <f>ROUND((+P56-P55-(P50*P51)),0)</f>
        <v>0</v>
      </c>
      <c r="Q58" s="219">
        <f>ROUND((+Q56-Q55-(Q50*Q51)),0)</f>
        <v>0</v>
      </c>
      <c r="R58" s="220"/>
      <c r="S58" s="219">
        <f>ROUND((+S56-S55-(S50*S51)),0)</f>
        <v>0</v>
      </c>
      <c r="T58" s="219">
        <f>ROUND((+T56-T55-(T50*T51)),0)</f>
        <v>0</v>
      </c>
      <c r="U58" s="219">
        <f>ROUND((+U56-U55-(U50*U51)),0)</f>
        <v>0</v>
      </c>
      <c r="V58" s="219">
        <f>ROUND((+V56-V55-(V50*V51)),0)</f>
        <v>0</v>
      </c>
      <c r="W58" s="220"/>
      <c r="X58" s="219">
        <f>ROUND((+X56-X55-(X50*X51)),0)</f>
        <v>0</v>
      </c>
      <c r="Y58" s="219">
        <f>ROUND((+Y56-Y55-(Y50*Y51)),0)</f>
        <v>0</v>
      </c>
      <c r="Z58" s="219">
        <f>ROUND((+Z56-Z55-(Z50*Z51)),0)</f>
        <v>0</v>
      </c>
      <c r="AA58" s="219">
        <f>ROUND((+AA56-AA55-(AA50*AA51)),0)</f>
        <v>0</v>
      </c>
      <c r="AB58" s="220"/>
      <c r="AC58" s="219">
        <f>ROUND((+AC56-AC55-(AC50*AC51)),0)</f>
        <v>0</v>
      </c>
      <c r="AD58" s="219">
        <f>ROUND((+AD56-AD55-(AD50*AD51)),0)</f>
        <v>0</v>
      </c>
      <c r="AE58" s="219">
        <f>ROUND((+AE56-AE55-(AE50*AE51)),0)</f>
        <v>0</v>
      </c>
      <c r="AF58" s="219">
        <f>ROUND((+AF56-AF55-(AF50*AF51)),0)</f>
        <v>0</v>
      </c>
      <c r="AG58" s="220"/>
      <c r="AH58" s="219">
        <f>ROUND((+AH56-AH55-(AH50*AH51)),0)</f>
        <v>0</v>
      </c>
      <c r="AI58" s="219">
        <f>ROUND((+AI56-AI55-(AI50*AI51)),0)</f>
        <v>0</v>
      </c>
      <c r="AJ58" s="219">
        <f>ROUND((+AJ56-AJ55-(AJ50*AJ51)),0)</f>
        <v>0</v>
      </c>
      <c r="AK58" s="219">
        <f>ROUND((+AK56-AK55-(AK50*AK51)),0)</f>
        <v>0</v>
      </c>
      <c r="AL58" s="220"/>
    </row>
    <row r="59" spans="1:38" s="20" customFormat="1" outlineLevel="1" x14ac:dyDescent="0.25">
      <c r="A59" s="315"/>
      <c r="B59" s="547" t="s">
        <v>171</v>
      </c>
      <c r="C59" s="548"/>
      <c r="D59" s="222">
        <v>7876</v>
      </c>
      <c r="E59" s="222">
        <v>7943</v>
      </c>
      <c r="F59" s="333">
        <v>7996</v>
      </c>
      <c r="G59" s="222">
        <v>8093</v>
      </c>
      <c r="H59" s="223"/>
      <c r="I59" s="222">
        <v>8183</v>
      </c>
      <c r="J59" s="222">
        <v>8220</v>
      </c>
      <c r="K59" s="222">
        <v>8218</v>
      </c>
      <c r="L59" s="222">
        <f t="shared" ref="L59" si="186">+K59+L60</f>
        <v>8248</v>
      </c>
      <c r="M59" s="223"/>
      <c r="N59" s="222">
        <f>+L59+N60</f>
        <v>8278</v>
      </c>
      <c r="O59" s="222">
        <f>+N59+O60</f>
        <v>8308</v>
      </c>
      <c r="P59" s="222">
        <f t="shared" ref="P59" si="187">+O59+P60</f>
        <v>8338</v>
      </c>
      <c r="Q59" s="222">
        <f t="shared" ref="Q59" si="188">+P59+Q60</f>
        <v>8383</v>
      </c>
      <c r="R59" s="223"/>
      <c r="S59" s="222">
        <f>+Q59+S60</f>
        <v>8416.75</v>
      </c>
      <c r="T59" s="222">
        <f>+S59+T60</f>
        <v>8451.4375</v>
      </c>
      <c r="U59" s="222">
        <f t="shared" ref="U59" si="189">+T59+U60</f>
        <v>8487.296875</v>
      </c>
      <c r="V59" s="222">
        <f t="shared" ref="V59" si="190">+U59+V60</f>
        <v>8524.62109375</v>
      </c>
      <c r="W59" s="223"/>
      <c r="X59" s="222">
        <f>+V59+X60</f>
        <v>8560.0263671875</v>
      </c>
      <c r="Y59" s="222">
        <f>+X59+Y60</f>
        <v>8595.845458984375</v>
      </c>
      <c r="Z59" s="222">
        <f t="shared" ref="Z59" si="191">+Y59+Z60</f>
        <v>8631.9474487304688</v>
      </c>
      <c r="AA59" s="222">
        <f t="shared" ref="AA59" si="192">+Z59+AA60</f>
        <v>8668.1100921630859</v>
      </c>
      <c r="AB59" s="223"/>
      <c r="AC59" s="222">
        <f>+AA59+AC60</f>
        <v>8743.1100921630859</v>
      </c>
      <c r="AD59" s="222">
        <f>+AC59+AD60</f>
        <v>8818.1100921630859</v>
      </c>
      <c r="AE59" s="222">
        <f t="shared" ref="AE59" si="193">+AD59+AE60</f>
        <v>8893.1100921630859</v>
      </c>
      <c r="AF59" s="222">
        <f t="shared" ref="AF59" si="194">+AE59+AF60</f>
        <v>8968.1100921630859</v>
      </c>
      <c r="AG59" s="223"/>
      <c r="AH59" s="222">
        <f>+AF59+AH60</f>
        <v>9043.1100921630859</v>
      </c>
      <c r="AI59" s="222">
        <f>+AH59+AI60</f>
        <v>9118.1100921630859</v>
      </c>
      <c r="AJ59" s="222">
        <f t="shared" ref="AJ59" si="195">+AI59+AJ60</f>
        <v>9193.1100921630859</v>
      </c>
      <c r="AK59" s="222">
        <f t="shared" ref="AK59" si="196">+AJ59+AK60</f>
        <v>9268.1100921630859</v>
      </c>
      <c r="AL59" s="223"/>
    </row>
    <row r="60" spans="1:38" outlineLevel="1" x14ac:dyDescent="0.25">
      <c r="A60" s="300"/>
      <c r="B60" s="51" t="s">
        <v>179</v>
      </c>
      <c r="C60" s="85"/>
      <c r="D60" s="38">
        <f>+D59-7770</f>
        <v>106</v>
      </c>
      <c r="E60" s="302">
        <f>E59-D59</f>
        <v>67</v>
      </c>
      <c r="F60" s="302">
        <f t="shared" ref="F60:G60" si="197">F59-E59</f>
        <v>53</v>
      </c>
      <c r="G60" s="302">
        <f t="shared" si="197"/>
        <v>97</v>
      </c>
      <c r="H60" s="56">
        <f>+SUM(D60:G60)</f>
        <v>323</v>
      </c>
      <c r="I60" s="302">
        <f>I59-G59</f>
        <v>90</v>
      </c>
      <c r="J60" s="302">
        <f t="shared" ref="J60:K60" si="198">J59-I59</f>
        <v>37</v>
      </c>
      <c r="K60" s="302">
        <f t="shared" si="198"/>
        <v>-2</v>
      </c>
      <c r="L60" s="485">
        <v>30</v>
      </c>
      <c r="M60" s="56">
        <f>+SUM(I60:L60)</f>
        <v>155</v>
      </c>
      <c r="N60" s="485">
        <v>30</v>
      </c>
      <c r="O60" s="485">
        <v>30</v>
      </c>
      <c r="P60" s="485">
        <v>30</v>
      </c>
      <c r="Q60" s="485">
        <v>45</v>
      </c>
      <c r="R60" s="56">
        <f>+SUM(N60:Q60)</f>
        <v>135</v>
      </c>
      <c r="S60" s="71">
        <f>AVERAGE(N60,O60,P60,Q60)</f>
        <v>33.75</v>
      </c>
      <c r="T60" s="71">
        <f>AVERAGE(O60,P60,Q60,S60)</f>
        <v>34.6875</v>
      </c>
      <c r="U60" s="71">
        <f>AVERAGE(P60,Q60,S60,T60)</f>
        <v>35.859375</v>
      </c>
      <c r="V60" s="71">
        <f>AVERAGE(Q60,S60,T60,U60)</f>
        <v>37.32421875</v>
      </c>
      <c r="W60" s="56">
        <f>+SUM(S60:V60)</f>
        <v>141.62109375</v>
      </c>
      <c r="X60" s="71">
        <f>AVERAGE(S60,T60,U60,V60)</f>
        <v>35.4052734375</v>
      </c>
      <c r="Y60" s="71">
        <f>AVERAGE(T60,U60,V60,X60)</f>
        <v>35.819091796875</v>
      </c>
      <c r="Z60" s="71">
        <f>AVERAGE(U60,V60,X60,Y60)</f>
        <v>36.10198974609375</v>
      </c>
      <c r="AA60" s="71">
        <f>AVERAGE(V60,X60,Y60,Z60)</f>
        <v>36.162643432617188</v>
      </c>
      <c r="AB60" s="56">
        <f>+SUM(X60:AA60)</f>
        <v>143.48899841308594</v>
      </c>
      <c r="AC60" s="71">
        <v>75</v>
      </c>
      <c r="AD60" s="71">
        <v>75</v>
      </c>
      <c r="AE60" s="71">
        <v>75</v>
      </c>
      <c r="AF60" s="71">
        <v>75</v>
      </c>
      <c r="AG60" s="56">
        <f>+SUM(AC60:AF60)</f>
        <v>300</v>
      </c>
      <c r="AH60" s="71">
        <f>AVERAGE(AC60,AD60,AE60,AF60)</f>
        <v>75</v>
      </c>
      <c r="AI60" s="71">
        <f>AVERAGE(AD60,AE60,AF60,AH60)</f>
        <v>75</v>
      </c>
      <c r="AJ60" s="71">
        <f>AVERAGE(AE60,AF60,AH60,AI60)</f>
        <v>75</v>
      </c>
      <c r="AK60" s="71">
        <f>AVERAGE(AF60,AH60,AI60,AJ60)</f>
        <v>75</v>
      </c>
      <c r="AL60" s="56">
        <f>+SUM(AH60:AK60)</f>
        <v>300</v>
      </c>
    </row>
    <row r="61" spans="1:38" outlineLevel="1" x14ac:dyDescent="0.25">
      <c r="A61" s="300"/>
      <c r="B61" s="51" t="s">
        <v>182</v>
      </c>
      <c r="C61" s="85"/>
      <c r="D61" s="38">
        <f>AVERAGE(D59,7770)</f>
        <v>7823</v>
      </c>
      <c r="E61" s="38">
        <f>AVERAGE(E59,D59)</f>
        <v>7909.5</v>
      </c>
      <c r="F61" s="38">
        <f t="shared" ref="F61:G61" si="199">AVERAGE(F59,E59)</f>
        <v>7969.5</v>
      </c>
      <c r="G61" s="38">
        <f t="shared" si="199"/>
        <v>8044.5</v>
      </c>
      <c r="H61" s="56"/>
      <c r="I61" s="38">
        <f>AVERAGE(I59,G59)</f>
        <v>8138</v>
      </c>
      <c r="J61" s="38">
        <f>AVERAGE(J59,I59)</f>
        <v>8201.5</v>
      </c>
      <c r="K61" s="38">
        <f t="shared" ref="K61:L61" si="200">AVERAGE(K59,J59)</f>
        <v>8219</v>
      </c>
      <c r="L61" s="38">
        <f t="shared" si="200"/>
        <v>8233</v>
      </c>
      <c r="M61" s="18"/>
      <c r="N61" s="38">
        <f>AVERAGE(N59,L59)</f>
        <v>8263</v>
      </c>
      <c r="O61" s="38">
        <f>AVERAGE(O59,N59)</f>
        <v>8293</v>
      </c>
      <c r="P61" s="38">
        <f t="shared" ref="P61:Q61" si="201">AVERAGE(P59,O59)</f>
        <v>8323</v>
      </c>
      <c r="Q61" s="38">
        <f t="shared" si="201"/>
        <v>8360.5</v>
      </c>
      <c r="R61" s="18"/>
      <c r="S61" s="38">
        <f>AVERAGE(S59,Q59)</f>
        <v>8399.875</v>
      </c>
      <c r="T61" s="38">
        <f>AVERAGE(T59,S59)</f>
        <v>8434.09375</v>
      </c>
      <c r="U61" s="38">
        <f t="shared" ref="U61:V61" si="202">AVERAGE(U59,T59)</f>
        <v>8469.3671875</v>
      </c>
      <c r="V61" s="38">
        <f t="shared" si="202"/>
        <v>8505.958984375</v>
      </c>
      <c r="W61" s="18"/>
      <c r="X61" s="38">
        <f>AVERAGE(X59,V59)</f>
        <v>8542.32373046875</v>
      </c>
      <c r="Y61" s="38">
        <f>AVERAGE(Y59,X59)</f>
        <v>8577.9359130859375</v>
      </c>
      <c r="Z61" s="38">
        <f t="shared" ref="Z61:AA61" si="203">AVERAGE(Z59,Y59)</f>
        <v>8613.8964538574219</v>
      </c>
      <c r="AA61" s="38">
        <f t="shared" si="203"/>
        <v>8650.0287704467773</v>
      </c>
      <c r="AB61" s="18"/>
      <c r="AC61" s="38">
        <f>AVERAGE(AC59,AA59)</f>
        <v>8705.6100921630859</v>
      </c>
      <c r="AD61" s="38">
        <f>AVERAGE(AD59,AC59)</f>
        <v>8780.6100921630859</v>
      </c>
      <c r="AE61" s="38">
        <f t="shared" ref="AE61" si="204">AVERAGE(AE59,AD59)</f>
        <v>8855.6100921630859</v>
      </c>
      <c r="AF61" s="38">
        <f t="shared" ref="AF61" si="205">AVERAGE(AF59,AE59)</f>
        <v>8930.6100921630859</v>
      </c>
      <c r="AG61" s="18"/>
      <c r="AH61" s="38">
        <f>AVERAGE(AH59,AF59)</f>
        <v>9005.6100921630859</v>
      </c>
      <c r="AI61" s="38">
        <f>AVERAGE(AI59,AH59)</f>
        <v>9080.6100921630859</v>
      </c>
      <c r="AJ61" s="38">
        <f t="shared" ref="AJ61" si="206">AVERAGE(AJ59,AI59)</f>
        <v>9155.6100921630859</v>
      </c>
      <c r="AK61" s="38">
        <f t="shared" ref="AK61" si="207">AVERAGE(AK59,AJ59)</f>
        <v>9230.6100921630859</v>
      </c>
      <c r="AL61" s="18"/>
    </row>
    <row r="62" spans="1:38" outlineLevel="1" x14ac:dyDescent="0.25">
      <c r="A62" s="300"/>
      <c r="B62" s="51" t="s">
        <v>181</v>
      </c>
      <c r="C62" s="85"/>
      <c r="D62" s="127">
        <f>+D63/D61</f>
        <v>6.5780391154288645E-2</v>
      </c>
      <c r="E62" s="127">
        <f>+E63/E61</f>
        <v>5.8549845122953414E-2</v>
      </c>
      <c r="F62" s="127">
        <f>+F63/F61</f>
        <v>6.2274923144488362E-2</v>
      </c>
      <c r="G62" s="326">
        <f t="shared" ref="G62:K62" si="208">+G63/G61</f>
        <v>6.016533034992852E-2</v>
      </c>
      <c r="H62" s="369"/>
      <c r="I62" s="326">
        <f t="shared" si="208"/>
        <v>6.6023593020398133E-2</v>
      </c>
      <c r="J62" s="326">
        <f t="shared" si="208"/>
        <v>5.6599402548314331E-2</v>
      </c>
      <c r="K62" s="326">
        <f t="shared" si="208"/>
        <v>2.8653120817617714E-2</v>
      </c>
      <c r="L62" s="209">
        <v>5.5E-2</v>
      </c>
      <c r="M62" s="18"/>
      <c r="N62" s="209">
        <v>6.5000000000000002E-2</v>
      </c>
      <c r="O62" s="209">
        <v>0.06</v>
      </c>
      <c r="P62" s="209">
        <v>6.5000000000000002E-2</v>
      </c>
      <c r="Q62" s="209">
        <v>6.5000000000000002E-2</v>
      </c>
      <c r="R62" s="18"/>
      <c r="S62" s="209">
        <v>6.5000000000000002E-2</v>
      </c>
      <c r="T62" s="209">
        <f>+O62*(1+2%)</f>
        <v>6.1199999999999997E-2</v>
      </c>
      <c r="U62" s="209">
        <f>+P62*(1+2%)</f>
        <v>6.6299999999999998E-2</v>
      </c>
      <c r="V62" s="209">
        <f>+Q62*(1+2%)</f>
        <v>6.6299999999999998E-2</v>
      </c>
      <c r="W62" s="18"/>
      <c r="X62" s="209">
        <f>+S62*(1+2%)</f>
        <v>6.6299999999999998E-2</v>
      </c>
      <c r="Y62" s="209">
        <f>+T62*(1+2%)</f>
        <v>6.2424E-2</v>
      </c>
      <c r="Z62" s="209">
        <f>+U62*(1+2%)</f>
        <v>6.7626000000000006E-2</v>
      </c>
      <c r="AA62" s="209">
        <f>+V62*(1+2%)</f>
        <v>6.7626000000000006E-2</v>
      </c>
      <c r="AB62" s="18"/>
      <c r="AC62" s="209">
        <f>+X62*(1+5%)</f>
        <v>6.9614999999999996E-2</v>
      </c>
      <c r="AD62" s="209">
        <f>+Y62*(1+5%)</f>
        <v>6.5545199999999998E-2</v>
      </c>
      <c r="AE62" s="209">
        <f>+Z62*(1+5%)</f>
        <v>7.1007300000000009E-2</v>
      </c>
      <c r="AF62" s="209">
        <f>+AA62*(1+5%)</f>
        <v>7.1007300000000009E-2</v>
      </c>
      <c r="AG62" s="18"/>
      <c r="AH62" s="209">
        <f>+AC62*(1+5%)</f>
        <v>7.3095750000000001E-2</v>
      </c>
      <c r="AI62" s="209">
        <f>+AD62*(1+5%)</f>
        <v>6.8822460000000002E-2</v>
      </c>
      <c r="AJ62" s="209">
        <f>+AE62*(1+5%)</f>
        <v>7.4557665000000009E-2</v>
      </c>
      <c r="AK62" s="209">
        <f>+AF62*(1+5%)</f>
        <v>7.4557665000000009E-2</v>
      </c>
      <c r="AL62" s="18"/>
    </row>
    <row r="63" spans="1:38" s="20" customFormat="1" outlineLevel="1" x14ac:dyDescent="0.25">
      <c r="A63" s="315"/>
      <c r="B63" s="557" t="s">
        <v>184</v>
      </c>
      <c r="C63" s="558"/>
      <c r="D63" s="327">
        <v>514.6</v>
      </c>
      <c r="E63" s="327">
        <v>463.1</v>
      </c>
      <c r="F63" s="327">
        <v>496.3</v>
      </c>
      <c r="G63" s="327">
        <v>484</v>
      </c>
      <c r="H63" s="446"/>
      <c r="I63" s="327">
        <v>537.29999999999995</v>
      </c>
      <c r="J63" s="327">
        <v>464.2</v>
      </c>
      <c r="K63" s="327">
        <v>235.5</v>
      </c>
      <c r="L63" s="227">
        <f t="shared" ref="L63" si="209">+L61*L62</f>
        <v>452.815</v>
      </c>
      <c r="M63" s="228"/>
      <c r="N63" s="227">
        <f>+N61*N62</f>
        <v>537.09500000000003</v>
      </c>
      <c r="O63" s="227">
        <f>+O61*O62</f>
        <v>497.58</v>
      </c>
      <c r="P63" s="227">
        <f t="shared" ref="P63" si="210">+P61*P62</f>
        <v>540.995</v>
      </c>
      <c r="Q63" s="227">
        <f t="shared" ref="Q63" si="211">+Q61*Q62</f>
        <v>543.4325</v>
      </c>
      <c r="R63" s="228"/>
      <c r="S63" s="227">
        <f>+S61*S62</f>
        <v>545.99187500000005</v>
      </c>
      <c r="T63" s="227">
        <f>+T61*T62</f>
        <v>516.1665375</v>
      </c>
      <c r="U63" s="227">
        <f t="shared" ref="U63" si="212">+U61*U62</f>
        <v>561.51904453124996</v>
      </c>
      <c r="V63" s="227">
        <f t="shared" ref="V63" si="213">+V61*V62</f>
        <v>563.94508066406252</v>
      </c>
      <c r="W63" s="228"/>
      <c r="X63" s="227">
        <f>+X61*X62</f>
        <v>566.35606333007809</v>
      </c>
      <c r="Y63" s="227">
        <f>+Y61*Y62</f>
        <v>535.46907143847659</v>
      </c>
      <c r="Z63" s="227">
        <f t="shared" ref="Z63" si="214">+Z61*Z62</f>
        <v>582.52336158856201</v>
      </c>
      <c r="AA63" s="227">
        <f t="shared" ref="AA63" si="215">+AA61*AA62</f>
        <v>584.96684563023382</v>
      </c>
      <c r="AB63" s="228"/>
      <c r="AC63" s="227">
        <f>+AC61*AC62</f>
        <v>606.04104656593324</v>
      </c>
      <c r="AD63" s="227">
        <f>+AD61*AD62</f>
        <v>575.52684461284787</v>
      </c>
      <c r="AE63" s="227">
        <f t="shared" ref="AE63:AF63" si="216">+AE61*AE62</f>
        <v>628.81296249725199</v>
      </c>
      <c r="AF63" s="227">
        <f t="shared" si="216"/>
        <v>634.13850999725196</v>
      </c>
      <c r="AG63" s="228"/>
      <c r="AH63" s="227">
        <f>+AH61*AH62</f>
        <v>658.2718238942299</v>
      </c>
      <c r="AI63" s="227">
        <f>+AI61*AI62</f>
        <v>624.94992484349029</v>
      </c>
      <c r="AJ63" s="227">
        <f t="shared" ref="AJ63:AK63" si="217">+AJ61*AJ62</f>
        <v>682.62091012211454</v>
      </c>
      <c r="AK63" s="227">
        <f t="shared" si="217"/>
        <v>688.21273499711458</v>
      </c>
      <c r="AL63" s="228"/>
    </row>
    <row r="64" spans="1:38" s="20" customFormat="1" outlineLevel="1" x14ac:dyDescent="0.25">
      <c r="A64" s="315"/>
      <c r="B64" s="501" t="s">
        <v>183</v>
      </c>
      <c r="C64" s="502"/>
      <c r="D64" s="305">
        <v>5.7</v>
      </c>
      <c r="E64" s="305">
        <v>1.4</v>
      </c>
      <c r="F64" s="305">
        <v>2.6</v>
      </c>
      <c r="G64" s="305">
        <v>3.2</v>
      </c>
      <c r="H64" s="447"/>
      <c r="I64" s="305">
        <v>2.6</v>
      </c>
      <c r="J64" s="305">
        <v>2.2000000000000002</v>
      </c>
      <c r="K64" s="305">
        <v>1.1000000000000001</v>
      </c>
      <c r="L64" s="195">
        <f t="shared" ref="L64" si="218">+G64*(1+L65)</f>
        <v>2.4000000000000004</v>
      </c>
      <c r="M64" s="202"/>
      <c r="N64" s="195">
        <f>+I64*(1+N65)</f>
        <v>3.25</v>
      </c>
      <c r="O64" s="195">
        <f>+J64*(1+O65)</f>
        <v>2.75</v>
      </c>
      <c r="P64" s="195">
        <f>+K64*(1+P65)</f>
        <v>1.375</v>
      </c>
      <c r="Q64" s="195">
        <f t="shared" ref="Q64" si="219">+L64*(1+Q65)</f>
        <v>3.0000000000000004</v>
      </c>
      <c r="R64" s="202"/>
      <c r="S64" s="195">
        <f>+N64*(1+S65)</f>
        <v>3.4125000000000001</v>
      </c>
      <c r="T64" s="195">
        <f>+O64*(1+T65)</f>
        <v>2.8875000000000002</v>
      </c>
      <c r="U64" s="195">
        <f>+P64*(1+U65)</f>
        <v>1.4437500000000001</v>
      </c>
      <c r="V64" s="195">
        <f t="shared" ref="V64" si="220">+Q64*(1+V65)</f>
        <v>3.1500000000000008</v>
      </c>
      <c r="W64" s="202"/>
      <c r="X64" s="195">
        <f>+S64*(1+X65)</f>
        <v>3.7537500000000006</v>
      </c>
      <c r="Y64" s="195">
        <f>+T64*(1+Y65)</f>
        <v>3.1762500000000005</v>
      </c>
      <c r="Z64" s="195">
        <f>+U64*(1+Z65)</f>
        <v>1.5881250000000002</v>
      </c>
      <c r="AA64" s="195">
        <f t="shared" ref="AA64" si="221">+V64*(1+AA65)</f>
        <v>3.4650000000000012</v>
      </c>
      <c r="AB64" s="202"/>
      <c r="AC64" s="195">
        <f>+X64*(1+AC65)</f>
        <v>4.129125000000001</v>
      </c>
      <c r="AD64" s="195">
        <f>+Y64*(1+AD65)</f>
        <v>3.493875000000001</v>
      </c>
      <c r="AE64" s="195">
        <f>+Z64*(1+AE65)</f>
        <v>1.7469375000000005</v>
      </c>
      <c r="AF64" s="195">
        <f t="shared" ref="AF64" si="222">+AA64*(1+AF65)</f>
        <v>3.8115000000000014</v>
      </c>
      <c r="AG64" s="202"/>
      <c r="AH64" s="195">
        <f>+AC64*(1+AH65)</f>
        <v>4.5420375000000019</v>
      </c>
      <c r="AI64" s="195">
        <f>+AD64*(1+AI65)</f>
        <v>3.8432625000000011</v>
      </c>
      <c r="AJ64" s="195">
        <f>+AE64*(1+AJ65)</f>
        <v>1.9216312500000006</v>
      </c>
      <c r="AK64" s="195">
        <f t="shared" ref="AK64" si="223">+AF64*(1+AK65)</f>
        <v>4.1926500000000022</v>
      </c>
      <c r="AL64" s="202"/>
    </row>
    <row r="65" spans="1:38" outlineLevel="1" x14ac:dyDescent="0.25">
      <c r="A65" s="300"/>
      <c r="B65" s="224" t="s">
        <v>186</v>
      </c>
      <c r="C65" s="225"/>
      <c r="D65" s="338"/>
      <c r="E65" s="338"/>
      <c r="F65" s="338"/>
      <c r="G65" s="338"/>
      <c r="H65" s="448"/>
      <c r="I65" s="338">
        <f>I64/D64-1</f>
        <v>-0.54385964912280704</v>
      </c>
      <c r="J65" s="338">
        <f t="shared" ref="J65" si="224">J64/E64-1</f>
        <v>0.57142857142857162</v>
      </c>
      <c r="K65" s="338">
        <f>K64/F64-1</f>
        <v>-0.57692307692307687</v>
      </c>
      <c r="L65" s="226">
        <v>-0.25</v>
      </c>
      <c r="M65" s="203"/>
      <c r="N65" s="226">
        <v>0.25</v>
      </c>
      <c r="O65" s="226">
        <v>0.25</v>
      </c>
      <c r="P65" s="226">
        <v>0.25</v>
      </c>
      <c r="Q65" s="226">
        <v>0.25</v>
      </c>
      <c r="R65" s="203"/>
      <c r="S65" s="226">
        <v>0.05</v>
      </c>
      <c r="T65" s="226">
        <v>0.05</v>
      </c>
      <c r="U65" s="226">
        <v>0.05</v>
      </c>
      <c r="V65" s="226">
        <v>0.05</v>
      </c>
      <c r="W65" s="203"/>
      <c r="X65" s="226">
        <v>0.1</v>
      </c>
      <c r="Y65" s="226">
        <v>0.1</v>
      </c>
      <c r="Z65" s="226">
        <v>0.1</v>
      </c>
      <c r="AA65" s="226">
        <v>0.1</v>
      </c>
      <c r="AB65" s="203"/>
      <c r="AC65" s="226">
        <v>0.1</v>
      </c>
      <c r="AD65" s="226">
        <v>0.1</v>
      </c>
      <c r="AE65" s="226">
        <v>0.1</v>
      </c>
      <c r="AF65" s="226">
        <v>0.1</v>
      </c>
      <c r="AG65" s="203"/>
      <c r="AH65" s="226">
        <v>0.1</v>
      </c>
      <c r="AI65" s="226">
        <v>0.1</v>
      </c>
      <c r="AJ65" s="226">
        <v>0.1</v>
      </c>
      <c r="AK65" s="226">
        <v>0.1</v>
      </c>
      <c r="AL65" s="203"/>
    </row>
    <row r="66" spans="1:38" outlineLevel="1" x14ac:dyDescent="0.25">
      <c r="A66" s="300"/>
      <c r="B66" s="51" t="s">
        <v>188</v>
      </c>
      <c r="C66" s="189"/>
      <c r="D66" s="302">
        <f t="shared" ref="D66:G66" si="225">+D59+D48</f>
        <v>17653</v>
      </c>
      <c r="E66" s="302">
        <f>+E59+E48</f>
        <v>17719</v>
      </c>
      <c r="F66" s="302">
        <f t="shared" si="225"/>
        <v>17853</v>
      </c>
      <c r="G66" s="302">
        <f t="shared" si="225"/>
        <v>18067</v>
      </c>
      <c r="H66" s="340"/>
      <c r="I66" s="302">
        <f>+I59+I48</f>
        <v>18203</v>
      </c>
      <c r="J66" s="302">
        <f t="shared" ref="J66:L66" si="226">+J59+J48</f>
        <v>18271</v>
      </c>
      <c r="K66" s="302">
        <f t="shared" si="226"/>
        <v>18235</v>
      </c>
      <c r="L66" s="38">
        <f t="shared" si="226"/>
        <v>18327</v>
      </c>
      <c r="M66" s="18"/>
      <c r="N66" s="38">
        <f>+N59+N48</f>
        <v>18383.25</v>
      </c>
      <c r="O66" s="38">
        <f t="shared" ref="O66:Q66" si="227">+O59+O48</f>
        <v>18434.5625</v>
      </c>
      <c r="P66" s="38">
        <f t="shared" si="227"/>
        <v>18483.453125</v>
      </c>
      <c r="Q66" s="38">
        <f t="shared" si="227"/>
        <v>18560.56640625</v>
      </c>
      <c r="R66" s="18"/>
      <c r="S66" s="38">
        <f>+S59+S48</f>
        <v>18618.9580078125</v>
      </c>
      <c r="T66" s="38">
        <f t="shared" ref="T66:V66" si="228">+T59+T48</f>
        <v>18677.885009765625</v>
      </c>
      <c r="U66" s="38">
        <f t="shared" si="228"/>
        <v>18738.715637207031</v>
      </c>
      <c r="V66" s="38">
        <f t="shared" si="228"/>
        <v>18802.531265258789</v>
      </c>
      <c r="W66" s="18"/>
      <c r="X66" s="38">
        <f>+X59+X48</f>
        <v>18863.022480010986</v>
      </c>
      <c r="Y66" s="38">
        <f t="shared" ref="Y66:AA66" si="229">+Y59+Y48</f>
        <v>18924.038598060608</v>
      </c>
      <c r="Z66" s="38">
        <f t="shared" si="229"/>
        <v>18985.576995134354</v>
      </c>
      <c r="AA66" s="38">
        <f t="shared" si="229"/>
        <v>19047.292334616184</v>
      </c>
      <c r="AB66" s="18"/>
      <c r="AC66" s="38">
        <f>+AC59+AC48</f>
        <v>19172.292334616184</v>
      </c>
      <c r="AD66" s="38">
        <f t="shared" ref="AD66:AF66" si="230">+AD59+AD48</f>
        <v>19297.292334616184</v>
      </c>
      <c r="AE66" s="38">
        <f t="shared" si="230"/>
        <v>19422.292334616184</v>
      </c>
      <c r="AF66" s="38">
        <f t="shared" si="230"/>
        <v>19547.292334616184</v>
      </c>
      <c r="AG66" s="18"/>
      <c r="AH66" s="38">
        <f>+AH59+AH48</f>
        <v>19672.292334616184</v>
      </c>
      <c r="AI66" s="38">
        <f t="shared" ref="AI66:AK66" si="231">+AI59+AI48</f>
        <v>19797.292334616184</v>
      </c>
      <c r="AJ66" s="38">
        <f t="shared" si="231"/>
        <v>19922.292334616184</v>
      </c>
      <c r="AK66" s="38">
        <f t="shared" si="231"/>
        <v>20047.292334616184</v>
      </c>
      <c r="AL66" s="18"/>
    </row>
    <row r="67" spans="1:38" outlineLevel="1" x14ac:dyDescent="0.25">
      <c r="A67" s="300"/>
      <c r="B67" s="51" t="s">
        <v>189</v>
      </c>
      <c r="C67" s="189"/>
      <c r="D67" s="302">
        <f t="shared" ref="D67:G67" si="232">+D60+D49</f>
        <v>193</v>
      </c>
      <c r="E67" s="302">
        <f>+E60+E49</f>
        <v>66</v>
      </c>
      <c r="F67" s="302">
        <f t="shared" si="232"/>
        <v>134</v>
      </c>
      <c r="G67" s="302">
        <f t="shared" si="232"/>
        <v>214</v>
      </c>
      <c r="H67" s="340">
        <f>+H60+H49</f>
        <v>607</v>
      </c>
      <c r="I67" s="302">
        <f>+I60+I49</f>
        <v>136</v>
      </c>
      <c r="J67" s="302">
        <f t="shared" ref="J67:L67" si="233">+J60+J49</f>
        <v>68</v>
      </c>
      <c r="K67" s="302">
        <f t="shared" si="233"/>
        <v>-36</v>
      </c>
      <c r="L67" s="38">
        <f t="shared" si="233"/>
        <v>92</v>
      </c>
      <c r="M67" s="422">
        <f>+M60+M49</f>
        <v>260</v>
      </c>
      <c r="N67" s="38">
        <f>+N60+N49</f>
        <v>56.25</v>
      </c>
      <c r="O67" s="38">
        <f t="shared" ref="O67:Q67" si="234">+O60+O49</f>
        <v>51.3125</v>
      </c>
      <c r="P67" s="38">
        <f t="shared" si="234"/>
        <v>48.890625</v>
      </c>
      <c r="Q67" s="38">
        <f t="shared" si="234"/>
        <v>77.11328125</v>
      </c>
      <c r="R67" s="56">
        <f>+R60+R49</f>
        <v>233.56640625</v>
      </c>
      <c r="S67" s="38">
        <f>+S60+S49</f>
        <v>58.3916015625</v>
      </c>
      <c r="T67" s="38">
        <f t="shared" ref="T67:V67" si="235">+T60+T49</f>
        <v>58.927001953125</v>
      </c>
      <c r="U67" s="38">
        <f t="shared" si="235"/>
        <v>60.83062744140625</v>
      </c>
      <c r="V67" s="38">
        <f t="shared" si="235"/>
        <v>63.815628051757813</v>
      </c>
      <c r="W67" s="56">
        <f>+W60+W49</f>
        <v>241.96485900878906</v>
      </c>
      <c r="X67" s="38">
        <f>+X60+X49</f>
        <v>60.491214752197266</v>
      </c>
      <c r="Y67" s="38">
        <f t="shared" ref="Y67:AA67" si="236">+Y60+Y49</f>
        <v>61.016118049621582</v>
      </c>
      <c r="Z67" s="38">
        <f t="shared" si="236"/>
        <v>61.538397073745728</v>
      </c>
      <c r="AA67" s="38">
        <f t="shared" si="236"/>
        <v>61.715339481830597</v>
      </c>
      <c r="AB67" s="56">
        <f>+AB60+AB49</f>
        <v>244.76106935739517</v>
      </c>
      <c r="AC67" s="38">
        <f>+AC60+AC49</f>
        <v>125</v>
      </c>
      <c r="AD67" s="38">
        <f t="shared" ref="AD67:AF67" si="237">+AD60+AD49</f>
        <v>125</v>
      </c>
      <c r="AE67" s="38">
        <f t="shared" si="237"/>
        <v>125</v>
      </c>
      <c r="AF67" s="38">
        <f t="shared" si="237"/>
        <v>125</v>
      </c>
      <c r="AG67" s="56">
        <f>+AG60+AG49</f>
        <v>500</v>
      </c>
      <c r="AH67" s="38">
        <f>+AH60+AH49</f>
        <v>125</v>
      </c>
      <c r="AI67" s="38">
        <f t="shared" ref="AI67:AK67" si="238">+AI60+AI49</f>
        <v>125</v>
      </c>
      <c r="AJ67" s="38">
        <f t="shared" si="238"/>
        <v>125</v>
      </c>
      <c r="AK67" s="38">
        <f t="shared" si="238"/>
        <v>125</v>
      </c>
      <c r="AL67" s="56">
        <f>+AL60+AL49</f>
        <v>500</v>
      </c>
    </row>
    <row r="68" spans="1:38" outlineLevel="1" x14ac:dyDescent="0.25">
      <c r="A68" s="300"/>
      <c r="B68" s="555" t="s">
        <v>187</v>
      </c>
      <c r="C68" s="556"/>
      <c r="D68" s="327">
        <f t="shared" ref="D68:G68" si="239">+D64+D63+D56</f>
        <v>4612.5</v>
      </c>
      <c r="E68" s="327">
        <f t="shared" si="239"/>
        <v>4314.1000000000004</v>
      </c>
      <c r="F68" s="327">
        <f t="shared" si="239"/>
        <v>4681.0999999999995</v>
      </c>
      <c r="G68" s="327">
        <f t="shared" si="239"/>
        <v>4651.3999999999996</v>
      </c>
      <c r="H68" s="386">
        <f>SUM(D68:G68)</f>
        <v>18259.099999999999</v>
      </c>
      <c r="I68" s="327">
        <f>+I64+I63+I56</f>
        <v>5010.8999999999996</v>
      </c>
      <c r="J68" s="327">
        <f t="shared" ref="J68:L68" si="240">+J64+J63+J56</f>
        <v>4330</v>
      </c>
      <c r="K68" s="327">
        <f t="shared" si="240"/>
        <v>2805.5</v>
      </c>
      <c r="L68" s="227">
        <f t="shared" si="240"/>
        <v>4221.8177396359379</v>
      </c>
      <c r="M68" s="272">
        <f>SUM(I68:L68)</f>
        <v>16368.217739635937</v>
      </c>
      <c r="N68" s="227">
        <f>+N64+N63+N56</f>
        <v>5343.3751274734595</v>
      </c>
      <c r="O68" s="227">
        <f t="shared" ref="O68:Q68" si="241">+O64+O63+O56</f>
        <v>4738.8469152558</v>
      </c>
      <c r="P68" s="227">
        <f t="shared" si="241"/>
        <v>3400.9605521195585</v>
      </c>
      <c r="Q68" s="227">
        <f t="shared" si="241"/>
        <v>6013.7082285405113</v>
      </c>
      <c r="R68" s="272">
        <f>SUM(N68:Q68)</f>
        <v>19496.890823389331</v>
      </c>
      <c r="S68" s="227">
        <f>+S64+S63+S56</f>
        <v>6102.0999456294594</v>
      </c>
      <c r="T68" s="227">
        <f t="shared" ref="T68:V68" si="242">+T64+T63+T56</f>
        <v>4996.4292907324434</v>
      </c>
      <c r="U68" s="227">
        <f t="shared" si="242"/>
        <v>3568.1374749825368</v>
      </c>
      <c r="V68" s="227">
        <f t="shared" si="242"/>
        <v>6325.5664537590119</v>
      </c>
      <c r="W68" s="272">
        <f>SUM(S68:V68)</f>
        <v>20992.233165103451</v>
      </c>
      <c r="X68" s="227">
        <f>+X64+X63+X56</f>
        <v>6429.7439359384043</v>
      </c>
      <c r="Y68" s="227">
        <f t="shared" ref="Y68:AA68" si="243">+Y64+Y63+Y56</f>
        <v>5263.9963691323992</v>
      </c>
      <c r="Z68" s="227">
        <f t="shared" si="243"/>
        <v>3755.5470480921585</v>
      </c>
      <c r="AA68" s="227">
        <f t="shared" si="243"/>
        <v>6667.097410258958</v>
      </c>
      <c r="AB68" s="272">
        <f>SUM(X68:AA68)</f>
        <v>22116.38476342192</v>
      </c>
      <c r="AC68" s="227">
        <f>+AC64+AC63+AC56</f>
        <v>6762.5496715166173</v>
      </c>
      <c r="AD68" s="227">
        <f t="shared" ref="AD68:AF68" si="244">+AD64+AD63+AD56</f>
        <v>5544.9681384020651</v>
      </c>
      <c r="AE68" s="227">
        <f t="shared" si="244"/>
        <v>3967.1298832382226</v>
      </c>
      <c r="AF68" s="227">
        <f t="shared" si="244"/>
        <v>7053.2400054429963</v>
      </c>
      <c r="AG68" s="272">
        <f>SUM(AC68:AF68)</f>
        <v>23327.887698599901</v>
      </c>
      <c r="AH68" s="227">
        <f>+AH64+AH63+AH56</f>
        <v>7166.8522071359921</v>
      </c>
      <c r="AI68" s="227">
        <f t="shared" ref="AI68:AK68" si="245">+AI64+AI63+AI56</f>
        <v>5882.9573898643375</v>
      </c>
      <c r="AJ68" s="227">
        <f t="shared" si="245"/>
        <v>4214.2926062012348</v>
      </c>
      <c r="AK68" s="227">
        <f t="shared" si="245"/>
        <v>7484.6821798856563</v>
      </c>
      <c r="AL68" s="272">
        <f>SUM(AH68:AK68)</f>
        <v>24748.784383087223</v>
      </c>
    </row>
    <row r="69" spans="1:38" outlineLevel="1" x14ac:dyDescent="0.25">
      <c r="A69" s="300"/>
      <c r="B69" s="549" t="s">
        <v>299</v>
      </c>
      <c r="C69" s="550"/>
      <c r="D69" s="307">
        <v>1351.3</v>
      </c>
      <c r="E69" s="307">
        <v>1220.5</v>
      </c>
      <c r="F69" s="307">
        <v>1324</v>
      </c>
      <c r="G69" s="307">
        <v>1278.9000000000001</v>
      </c>
      <c r="H69" s="383"/>
      <c r="I69" s="307">
        <v>1388.4</v>
      </c>
      <c r="J69" s="307">
        <v>1248.2</v>
      </c>
      <c r="K69" s="307">
        <v>805.6</v>
      </c>
      <c r="L69" s="193">
        <f>+(L68*L79)*(K69/K78)</f>
        <v>1115.2613054685851</v>
      </c>
      <c r="M69" s="240"/>
      <c r="N69" s="193">
        <f>+(N68*N79)*(L69/L78)</f>
        <v>1354.5069234400937</v>
      </c>
      <c r="O69" s="193">
        <f>+(O68*O79)*(N69/N78)</f>
        <v>1138.0390074648283</v>
      </c>
      <c r="P69" s="193">
        <f>+(P68*P79)*(O69/O78)</f>
        <v>816.74420811127914</v>
      </c>
      <c r="Q69" s="193">
        <f>+(Q68*Q79)*(P69/P78)</f>
        <v>1223.9121784516362</v>
      </c>
      <c r="R69" s="240"/>
      <c r="S69" s="193">
        <f>+(S68*S79)*(Q69/Q78)</f>
        <v>1245.6117925515234</v>
      </c>
      <c r="T69" s="193">
        <f>+(T68*T79)*(S69/S78)</f>
        <v>1033.2452265164764</v>
      </c>
      <c r="U69" s="193">
        <f>+(U68*U79)*(T69/T78)</f>
        <v>737.8791531021152</v>
      </c>
      <c r="V69" s="193">
        <f>+(V68*V79)*(U69/U78)</f>
        <v>1275.6717059567427</v>
      </c>
      <c r="W69" s="240"/>
      <c r="X69" s="193">
        <f>+(X68*X79)*(V69/V78)</f>
        <v>1312.4932303719195</v>
      </c>
      <c r="Y69" s="193">
        <f>+(Y68*Y79)*(X69/X78)</f>
        <v>1088.5772227167436</v>
      </c>
      <c r="Z69" s="193">
        <f>+(Z68*Z79)*(Y69/Y78)</f>
        <v>776.63483952365186</v>
      </c>
      <c r="AA69" s="193">
        <f>+(AA68*AA79)*(Z69/Z78)</f>
        <v>1344.5479688337882</v>
      </c>
      <c r="AB69" s="240"/>
      <c r="AC69" s="193">
        <f>+(AC68*AC79)*(AA69/AA78)</f>
        <v>1380.4283269056821</v>
      </c>
      <c r="AD69" s="193">
        <f>+(AD68*AD79)*(AC69/AC78)</f>
        <v>1146.6812651220375</v>
      </c>
      <c r="AE69" s="193">
        <f>+(AE68*AE79)*(AD69/AD78)</f>
        <v>820.38947742736286</v>
      </c>
      <c r="AF69" s="193">
        <f>+(AF68*AF79)*(AE69/AE78)</f>
        <v>1422.4210236411182</v>
      </c>
      <c r="AG69" s="240"/>
      <c r="AH69" s="193">
        <f>+(AH68*AH79)*(AF69/AF78)</f>
        <v>1462.9579495951098</v>
      </c>
      <c r="AI69" s="193">
        <f>+(AI68*AI79)*(AH69/AH78)</f>
        <v>1216.576336255142</v>
      </c>
      <c r="AJ69" s="193">
        <f>+(AJ68*AJ79)*(AI69/AI78)</f>
        <v>871.50191969649154</v>
      </c>
      <c r="AK69" s="193">
        <f>+(AK68*AK79)*(AJ69/AJ78)</f>
        <v>1509.4296067800858</v>
      </c>
      <c r="AL69" s="240"/>
    </row>
    <row r="70" spans="1:38" outlineLevel="1" x14ac:dyDescent="0.25">
      <c r="A70" s="300"/>
      <c r="B70" s="51" t="s">
        <v>158</v>
      </c>
      <c r="C70" s="40"/>
      <c r="D70" s="193">
        <v>1983.1</v>
      </c>
      <c r="E70" s="193">
        <v>1935.7</v>
      </c>
      <c r="F70" s="193">
        <v>2034</v>
      </c>
      <c r="G70" s="193">
        <v>2112.1</v>
      </c>
      <c r="H70" s="194"/>
      <c r="I70" s="193">
        <v>2214.4</v>
      </c>
      <c r="J70" s="193">
        <v>2158.6</v>
      </c>
      <c r="K70" s="193">
        <v>2054.4</v>
      </c>
      <c r="L70" s="193">
        <f>+(L68*L79)*(68.0467689046405%-1.63083106791312%)</f>
        <v>2775.9202470811683</v>
      </c>
      <c r="M70" s="475"/>
      <c r="N70" s="193">
        <f>+(N68*N79)*(66.4159378367274%+1.86148189857905%)</f>
        <v>3465.9027306261687</v>
      </c>
      <c r="O70" s="193">
        <f>+(O68*O79)*(N70/N78)</f>
        <v>2912.0061590485407</v>
      </c>
      <c r="P70" s="193">
        <f>+(P68*P79)*(O70/O78)</f>
        <v>2089.8793000825785</v>
      </c>
      <c r="Q70" s="193">
        <f>+(Q68*Q79)*(P70/P78)</f>
        <v>3131.7378212941699</v>
      </c>
      <c r="R70" s="194"/>
      <c r="S70" s="193">
        <f>+(S68*S79)*(Q70/Q78)</f>
        <v>3187.2626402971778</v>
      </c>
      <c r="T70" s="193">
        <f>+(T68*T79)*(S70/S78)</f>
        <v>2643.8605739236682</v>
      </c>
      <c r="U70" s="193">
        <f>+(U68*U79)*(T70/T78)</f>
        <v>1888.0799554081073</v>
      </c>
      <c r="V70" s="193">
        <f>+(V68*V79)*(U70/U78)</f>
        <v>3264.1797340016037</v>
      </c>
      <c r="W70" s="194"/>
      <c r="X70" s="193">
        <f>+(X68*X79)*(V70/V78)</f>
        <v>3358.3983901102474</v>
      </c>
      <c r="Y70" s="193">
        <f>+(Y68*Y79)*(X70/X78)</f>
        <v>2785.4436942479583</v>
      </c>
      <c r="Z70" s="193">
        <f>+(Z68*Z79)*(Y70/Y78)</f>
        <v>1987.2477315716642</v>
      </c>
      <c r="AA70" s="193">
        <f>+(AA68*AA79)*(Z70/Z78)</f>
        <v>3440.4198280533897</v>
      </c>
      <c r="AB70" s="194"/>
      <c r="AC70" s="193">
        <f>+(AC68*AC79)*(AA70/AA78)</f>
        <v>3532.2302343829388</v>
      </c>
      <c r="AD70" s="193">
        <f>+(AD68*AD79)*(AC70/AC78)</f>
        <v>2934.1199067854823</v>
      </c>
      <c r="AE70" s="193">
        <f>+(AE68*AE79)*(AD70/AD78)</f>
        <v>2099.2067894130828</v>
      </c>
      <c r="AF70" s="193">
        <f>+(AF68*AF79)*(AE70/AE78)</f>
        <v>3639.6808496312278</v>
      </c>
      <c r="AG70" s="194"/>
      <c r="AH70" s="193">
        <f>+(AH68*AH79)*(AF70/AF78)</f>
        <v>3743.4064489056145</v>
      </c>
      <c r="AI70" s="193">
        <f>+(AI68*AI79)*(AH70/AH78)</f>
        <v>3112.966920193348</v>
      </c>
      <c r="AJ70" s="193">
        <f>+(AJ68*AJ79)*(AI70/AI78)</f>
        <v>2229.9929449977508</v>
      </c>
      <c r="AK70" s="193">
        <f>+(AK68*AK79)*(AJ70/AJ78)</f>
        <v>3862.3177964571396</v>
      </c>
      <c r="AL70" s="194"/>
    </row>
    <row r="71" spans="1:38" outlineLevel="1" x14ac:dyDescent="0.25">
      <c r="A71" s="300"/>
      <c r="B71" s="51" t="s">
        <v>159</v>
      </c>
      <c r="C71" s="40"/>
      <c r="D71" s="193">
        <v>44.5</v>
      </c>
      <c r="E71" s="193">
        <v>39.4</v>
      </c>
      <c r="F71" s="193">
        <v>41.7</v>
      </c>
      <c r="G71" s="193">
        <v>34.200000000000003</v>
      </c>
      <c r="H71" s="194"/>
      <c r="I71" s="193">
        <v>42.5</v>
      </c>
      <c r="J71" s="193">
        <v>41.8</v>
      </c>
      <c r="K71" s="193">
        <v>40.700000000000003</v>
      </c>
      <c r="L71" s="193">
        <f>+(L68*L79)*(K71/K78)</f>
        <v>56.344507364165111</v>
      </c>
      <c r="M71" s="194"/>
      <c r="N71" s="193">
        <f>+(N68*N79)*(L71/L78)</f>
        <v>68.431519096340381</v>
      </c>
      <c r="O71" s="193">
        <f>+(O68*O79)*(N71/N78)</f>
        <v>57.495267631353656</v>
      </c>
      <c r="P71" s="193">
        <f>+(P68*P79)*(O71/O78)</f>
        <v>41.263020444549475</v>
      </c>
      <c r="Q71" s="193">
        <f>+(Q68*Q79)*(P71/P78)</f>
        <v>61.833696205289961</v>
      </c>
      <c r="R71" s="194"/>
      <c r="S71" s="193">
        <f>+(S68*S79)*(Q71/Q78)</f>
        <v>62.929990015947112</v>
      </c>
      <c r="T71" s="193">
        <f>+(T68*T79)*(S71/S78)</f>
        <v>52.200944289002699</v>
      </c>
      <c r="U71" s="193">
        <f>+(U68*U79)*(T71/T78)</f>
        <v>37.278651354587979</v>
      </c>
      <c r="V71" s="193">
        <f>+(V68*V79)*(U71/U78)</f>
        <v>64.448657438479898</v>
      </c>
      <c r="W71" s="194"/>
      <c r="X71" s="193">
        <f>+(X68*X79)*(V71/V78)</f>
        <v>66.308930581103652</v>
      </c>
      <c r="Y71" s="193">
        <f>+(Y68*Y79)*(X71/X78)</f>
        <v>54.996391465456121</v>
      </c>
      <c r="Z71" s="193">
        <f>+(Z68*Z79)*(Y71/Y78)</f>
        <v>39.236640973948134</v>
      </c>
      <c r="AA71" s="193">
        <f>+(AA68*AA79)*(Z71/Z78)</f>
        <v>67.928379259601726</v>
      </c>
      <c r="AB71" s="194"/>
      <c r="AC71" s="193">
        <f>+(AC68*AC79)*(AA71/AA78)</f>
        <v>69.741103407474228</v>
      </c>
      <c r="AD71" s="193">
        <f>+(AD68*AD79)*(AC71/AC78)</f>
        <v>57.931886159963888</v>
      </c>
      <c r="AE71" s="193">
        <f>+(AE68*AE79)*(AD71/AD78)</f>
        <v>41.447184373502552</v>
      </c>
      <c r="AF71" s="193">
        <f>+(AF68*AF79)*(AE71/AE78)</f>
        <v>71.862631159624499</v>
      </c>
      <c r="AG71" s="194"/>
      <c r="AH71" s="193">
        <f>+(AH68*AH79)*(AF71/AF78)</f>
        <v>73.910611405810513</v>
      </c>
      <c r="AI71" s="193">
        <f>+(AI68*AI79)*(AH71/AH78)</f>
        <v>61.463079550129422</v>
      </c>
      <c r="AJ71" s="193">
        <f>+(AJ68*AJ79)*(AI71/AI78)</f>
        <v>44.029453986652427</v>
      </c>
      <c r="AK71" s="193">
        <f>+(AK68*AK79)*(AJ71/AJ78)</f>
        <v>76.258422288914446</v>
      </c>
      <c r="AL71" s="194"/>
    </row>
    <row r="72" spans="1:38" outlineLevel="1" x14ac:dyDescent="0.25">
      <c r="A72" s="300"/>
      <c r="B72" s="51" t="s">
        <v>160</v>
      </c>
      <c r="C72" s="40"/>
      <c r="D72" s="230">
        <v>166.9</v>
      </c>
      <c r="E72" s="230">
        <v>173</v>
      </c>
      <c r="F72" s="230">
        <v>175.6</v>
      </c>
      <c r="G72" s="230">
        <v>180.6</v>
      </c>
      <c r="H72" s="18"/>
      <c r="I72" s="230">
        <v>189.2</v>
      </c>
      <c r="J72" s="230">
        <v>191.5</v>
      </c>
      <c r="K72" s="230">
        <v>191.3</v>
      </c>
      <c r="L72" s="230">
        <f>(K72/(K72+K105+K119+K133))*L242</f>
        <v>195.27184941100538</v>
      </c>
      <c r="M72" s="476"/>
      <c r="N72" s="230">
        <f>(L72/(L72+L105+L119+L133))*N242</f>
        <v>195.53849564308169</v>
      </c>
      <c r="O72" s="230">
        <f>(N72/(N72+N105+N119+N133))*O242</f>
        <v>199.37912154974768</v>
      </c>
      <c r="P72" s="230">
        <f>(O72/(O72+O105+O119+O133))*P242</f>
        <v>200.36876034952792</v>
      </c>
      <c r="Q72" s="230">
        <f>(P72/(P72+P105+P119+P133))*Q242</f>
        <v>198.45111264599817</v>
      </c>
      <c r="R72" s="18"/>
      <c r="S72" s="230">
        <f>(Q72/(Q72+Q105+Q119+Q133))*S242</f>
        <v>202.89758160720112</v>
      </c>
      <c r="T72" s="230">
        <f>(S72/(S72+S105+S119+S133))*T242</f>
        <v>207.18417910914232</v>
      </c>
      <c r="U72" s="230">
        <f>(T72/(T72+T105+T119+T133))*U242</f>
        <v>207.86031313115168</v>
      </c>
      <c r="V72" s="230">
        <f>(U72/(U72+U105+U119+U133))*V242</f>
        <v>205.84242237287503</v>
      </c>
      <c r="W72" s="18"/>
      <c r="X72" s="230">
        <f>(V72/(V72+V105+V119+V133))*X242</f>
        <v>210.05883374301081</v>
      </c>
      <c r="Y72" s="230">
        <f>(X72/(X72+X105+X119+X133))*Y242</f>
        <v>211.9027917972048</v>
      </c>
      <c r="Z72" s="230">
        <f>(Y72/(Y72+Y105+Y119+Y133))*Z242</f>
        <v>210.81990295304786</v>
      </c>
      <c r="AA72" s="230">
        <f>(Z72/(Z72+Z105+Z119+Z133))*AA242</f>
        <v>207.46219789653969</v>
      </c>
      <c r="AB72" s="18"/>
      <c r="AC72" s="230">
        <f>(AA72/(AA72+AA105+AA119+AA133))*AC242</f>
        <v>209.61772888962005</v>
      </c>
      <c r="AD72" s="230">
        <f>(AC72/(AC72+AC105+AC119+AC133))*AD242</f>
        <v>212.29521048381034</v>
      </c>
      <c r="AE72" s="230">
        <f>(AD72/(AD72+AD105+AD119+AD133))*AE242</f>
        <v>211.85747183044901</v>
      </c>
      <c r="AF72" s="230">
        <f>(AE72/(AE72+AE105+AE119+AE133))*AF242</f>
        <v>208.99101545781824</v>
      </c>
      <c r="AG72" s="18"/>
      <c r="AH72" s="230">
        <f>(AF72/(AF72+AF105+AF119+AF133))*AH242</f>
        <v>211.93310677601383</v>
      </c>
      <c r="AI72" s="230">
        <f>(AH72/(AH72+AH105+AH119+AH133))*AI242</f>
        <v>215.43460436574483</v>
      </c>
      <c r="AJ72" s="230">
        <f>(AI72/(AI72+AI105+AI119+AI133))*AJ242</f>
        <v>215.58203135642182</v>
      </c>
      <c r="AK72" s="230">
        <f>(AJ72/(AJ72+AJ105+AJ119+AJ133))*AK242</f>
        <v>213.13111967690986</v>
      </c>
      <c r="AL72" s="18"/>
    </row>
    <row r="73" spans="1:38" outlineLevel="1" x14ac:dyDescent="0.25">
      <c r="A73" s="300"/>
      <c r="B73" s="51" t="s">
        <v>161</v>
      </c>
      <c r="C73" s="40"/>
      <c r="D73" s="193">
        <v>75.099999999999994</v>
      </c>
      <c r="E73" s="193">
        <v>70.900000000000006</v>
      </c>
      <c r="F73" s="193">
        <v>72</v>
      </c>
      <c r="G73" s="193">
        <v>106</v>
      </c>
      <c r="H73" s="194"/>
      <c r="I73" s="193">
        <v>72.400000000000006</v>
      </c>
      <c r="J73" s="193">
        <v>68.2</v>
      </c>
      <c r="K73" s="193">
        <v>62.2</v>
      </c>
      <c r="L73" s="193">
        <f>+(L68*L79)*(K73/K78)</f>
        <v>86.108804866119641</v>
      </c>
      <c r="M73" s="475"/>
      <c r="N73" s="193">
        <f>+(N68*N79)*(L73/L78)</f>
        <v>104.58084736590594</v>
      </c>
      <c r="O73" s="193">
        <f>+(O68*O79)*(N73/N78)</f>
        <v>87.867460606147347</v>
      </c>
      <c r="P73" s="193">
        <f t="shared" ref="P73:Q73" si="246">+(P68*P79)*(O73/O78)</f>
        <v>63.060439106903623</v>
      </c>
      <c r="Q73" s="193">
        <f t="shared" si="246"/>
        <v>94.49768805820726</v>
      </c>
      <c r="R73" s="194"/>
      <c r="S73" s="193">
        <f>+(S68*S79)*(Q73/Q78)</f>
        <v>96.173105134936364</v>
      </c>
      <c r="T73" s="193">
        <f>+(T68*T79)*(S73/S78)</f>
        <v>79.776381689827218</v>
      </c>
      <c r="U73" s="193">
        <f t="shared" ref="U73:V73" si="247">+(U68*U79)*(T73/T78)</f>
        <v>56.971305018559519</v>
      </c>
      <c r="V73" s="193">
        <f t="shared" si="247"/>
        <v>98.494017019003678</v>
      </c>
      <c r="W73" s="194"/>
      <c r="X73" s="193">
        <f>+(X68*X79)*(V73/V78)</f>
        <v>101.33698973328372</v>
      </c>
      <c r="Y73" s="193">
        <f>+(Y68*Y79)*(X73/X78)</f>
        <v>84.048539291188462</v>
      </c>
      <c r="Z73" s="193">
        <f t="shared" ref="Z73:AA73" si="248">+(Z68*Z79)*(Y73/Y78)</f>
        <v>59.963613478613617</v>
      </c>
      <c r="AA73" s="193">
        <f t="shared" si="248"/>
        <v>103.81192112892451</v>
      </c>
      <c r="AB73" s="194"/>
      <c r="AC73" s="193">
        <f>+(AC68*AC79)*(AA73/AA78)</f>
        <v>106.58222682911295</v>
      </c>
      <c r="AD73" s="193">
        <f>+(AD68*AD79)*(AC73/AC78)</f>
        <v>88.534725286234746</v>
      </c>
      <c r="AE73" s="193">
        <f t="shared" ref="AE73" si="249">+(AE68*AE79)*(AD73/AD78)</f>
        <v>63.341888649431418</v>
      </c>
      <c r="AF73" s="193">
        <f t="shared" ref="AF73" si="250">+(AF68*AF79)*(AE73/AE78)</f>
        <v>109.82446334468412</v>
      </c>
      <c r="AG73" s="194"/>
      <c r="AH73" s="193">
        <f>+(AH68*AH79)*(AF73/AF78)</f>
        <v>112.95430047767601</v>
      </c>
      <c r="AI73" s="193">
        <f>+(AI68*AI79)*(AH73/AH78)</f>
        <v>93.931291106094591</v>
      </c>
      <c r="AJ73" s="193">
        <f t="shared" ref="AJ73" si="251">+(AJ68*AJ79)*(AI73/AI78)</f>
        <v>67.288256461173972</v>
      </c>
      <c r="AK73" s="193">
        <f t="shared" ref="AK73" si="252">+(AK68*AK79)*(AJ73/AJ78)</f>
        <v>116.54235543907807</v>
      </c>
      <c r="AL73" s="194"/>
    </row>
    <row r="74" spans="1:38" ht="17.25" outlineLevel="1" x14ac:dyDescent="0.4">
      <c r="A74" s="300"/>
      <c r="B74" s="51" t="s">
        <v>169</v>
      </c>
      <c r="C74" s="40"/>
      <c r="D74" s="337">
        <v>22.9</v>
      </c>
      <c r="E74" s="337">
        <v>18.2</v>
      </c>
      <c r="F74" s="337">
        <v>15.1</v>
      </c>
      <c r="G74" s="337">
        <v>0.7</v>
      </c>
      <c r="H74" s="385"/>
      <c r="I74" s="337">
        <v>5.2</v>
      </c>
      <c r="J74" s="337">
        <v>0.5</v>
      </c>
      <c r="K74" s="337">
        <v>56.2</v>
      </c>
      <c r="L74" s="231">
        <f>+(L68*L79)*3.49231296649216%</f>
        <v>145.96469745954235</v>
      </c>
      <c r="M74" s="474"/>
      <c r="N74" s="231">
        <f>+(N68*N79)*(3.49231296649216%-1.86148189857905%)</f>
        <v>82.784350571279987</v>
      </c>
      <c r="O74" s="231">
        <f>+(O68*O79)*(N74/N78)</f>
        <v>69.554328979350245</v>
      </c>
      <c r="P74" s="231">
        <f t="shared" ref="P74" si="253">+(P68*P79)*(O74/O78)</f>
        <v>49.91752916229148</v>
      </c>
      <c r="Q74" s="231">
        <f>+(Q68*Q79)*(P74/P78)</f>
        <v>74.802699857798402</v>
      </c>
      <c r="R74" s="241"/>
      <c r="S74" s="231">
        <f>+(S68*S79)*(Q74/Q78)</f>
        <v>76.128930406952179</v>
      </c>
      <c r="T74" s="231">
        <f>+(T68*T79)*(S74/S78)</f>
        <v>63.149573898670909</v>
      </c>
      <c r="U74" s="231">
        <f t="shared" ref="U74" si="254">+(U68*U79)*(T74/T78)</f>
        <v>45.097478228095824</v>
      </c>
      <c r="V74" s="231">
        <f>+(V68*V79)*(U74/U78)</f>
        <v>77.96612323809687</v>
      </c>
      <c r="W74" s="241"/>
      <c r="X74" s="231">
        <f>+(X68*X79)*(V74/V78)</f>
        <v>80.216570196325165</v>
      </c>
      <c r="Y74" s="231">
        <f>+(Y68*Y79)*(X74/X78)</f>
        <v>66.531338356262651</v>
      </c>
      <c r="Z74" s="231">
        <f t="shared" ref="Z74" si="255">+(Z68*Z79)*(Y74/Y78)</f>
        <v>47.466136723544984</v>
      </c>
      <c r="AA74" s="231">
        <f>+(AA68*AA79)*(Z74/Z78)</f>
        <v>82.175682150923748</v>
      </c>
      <c r="AB74" s="241"/>
      <c r="AC74" s="231">
        <f>+(AC68*AC79)*(AA74/AA78)</f>
        <v>84.368607185003953</v>
      </c>
      <c r="AD74" s="231">
        <f>+(AD68*AD79)*(AC74/AC78)</f>
        <v>70.082523907881665</v>
      </c>
      <c r="AE74" s="231">
        <f t="shared" ref="AE74" si="256">+(AE68*AE79)*(AD74/AD78)</f>
        <v>50.14031964624337</v>
      </c>
      <c r="AF74" s="231">
        <f>+(AF68*AF79)*(AE74/AE78)</f>
        <v>86.935104312350333</v>
      </c>
      <c r="AG74" s="241"/>
      <c r="AH74" s="231">
        <f>+(AH68*AH79)*(AF74/AF78)</f>
        <v>89.412628074823502</v>
      </c>
      <c r="AI74" s="231">
        <f>+(AI68*AI79)*(AH74/AH78)</f>
        <v>74.354350040148304</v>
      </c>
      <c r="AJ74" s="231">
        <f t="shared" ref="AJ74" si="257">+(AJ68*AJ79)*(AI74/AI78)</f>
        <v>53.264194663888489</v>
      </c>
      <c r="AK74" s="231">
        <f>+(AK68*AK79)*(AJ74/AJ78)</f>
        <v>92.252868972417957</v>
      </c>
      <c r="AL74" s="241"/>
    </row>
    <row r="75" spans="1:38" outlineLevel="1" x14ac:dyDescent="0.25">
      <c r="A75" s="300"/>
      <c r="B75" s="191" t="s">
        <v>257</v>
      </c>
      <c r="C75" s="43"/>
      <c r="D75" s="305">
        <f t="shared" ref="D75" si="258">SUM(D69:D74)</f>
        <v>3643.7999999999997</v>
      </c>
      <c r="E75" s="305">
        <f t="shared" ref="E75" si="259">SUM(E69:E74)</f>
        <v>3457.7</v>
      </c>
      <c r="F75" s="305">
        <f t="shared" ref="F75" si="260">SUM(F69:F74)</f>
        <v>3662.3999999999996</v>
      </c>
      <c r="G75" s="305">
        <f t="shared" ref="G75" si="261">SUM(G69:G74)</f>
        <v>3712.4999999999995</v>
      </c>
      <c r="H75" s="384"/>
      <c r="I75" s="305">
        <f t="shared" ref="I75" si="262">SUM(I69:I74)</f>
        <v>3912.1</v>
      </c>
      <c r="J75" s="305">
        <f t="shared" ref="J75" si="263">SUM(J69:J74)</f>
        <v>3708.8</v>
      </c>
      <c r="K75" s="305">
        <f t="shared" ref="K75" si="264">SUM(K69:K74)</f>
        <v>3210.3999999999996</v>
      </c>
      <c r="L75" s="195">
        <f t="shared" ref="L75" si="265">SUM(L69:L74)</f>
        <v>4374.8714116505853</v>
      </c>
      <c r="M75" s="18"/>
      <c r="N75" s="195">
        <f t="shared" ref="N75" si="266">SUM(N69:N74)</f>
        <v>5271.7448667428707</v>
      </c>
      <c r="O75" s="195">
        <f t="shared" ref="O75" si="267">SUM(O69:O74)</f>
        <v>4464.3413452799678</v>
      </c>
      <c r="P75" s="195">
        <f t="shared" ref="P75" si="268">SUM(P69:P74)</f>
        <v>3261.2332572571299</v>
      </c>
      <c r="Q75" s="195">
        <f t="shared" ref="Q75" si="269">SUM(Q69:Q74)</f>
        <v>4785.2351965130993</v>
      </c>
      <c r="R75" s="18"/>
      <c r="S75" s="195">
        <f t="shared" ref="S75" si="270">SUM(S69:S74)</f>
        <v>4871.0040400137368</v>
      </c>
      <c r="T75" s="195">
        <f t="shared" ref="T75" si="271">SUM(T69:T74)</f>
        <v>4079.416879426788</v>
      </c>
      <c r="U75" s="195">
        <f t="shared" ref="U75" si="272">SUM(U69:U74)</f>
        <v>2973.1668562426175</v>
      </c>
      <c r="V75" s="195">
        <f t="shared" ref="V75" si="273">SUM(V69:V74)</f>
        <v>4986.6026600268024</v>
      </c>
      <c r="W75" s="18"/>
      <c r="X75" s="195">
        <f t="shared" ref="X75" si="274">SUM(X69:X74)</f>
        <v>5128.8129447358906</v>
      </c>
      <c r="Y75" s="195">
        <f t="shared" ref="Y75" si="275">SUM(Y69:Y74)</f>
        <v>4291.4999778748142</v>
      </c>
      <c r="Z75" s="195">
        <f t="shared" ref="Z75" si="276">SUM(Z69:Z74)</f>
        <v>3121.3688652244705</v>
      </c>
      <c r="AA75" s="195">
        <f t="shared" ref="AA75" si="277">SUM(AA69:AA74)</f>
        <v>5246.345977323168</v>
      </c>
      <c r="AB75" s="18"/>
      <c r="AC75" s="195">
        <f t="shared" ref="AC75:AF75" si="278">SUM(AC69:AC74)</f>
        <v>5382.9682275998321</v>
      </c>
      <c r="AD75" s="195">
        <f t="shared" si="278"/>
        <v>4509.64551774541</v>
      </c>
      <c r="AE75" s="195">
        <f t="shared" si="278"/>
        <v>3286.3831313400719</v>
      </c>
      <c r="AF75" s="195">
        <f t="shared" si="278"/>
        <v>5539.7150875468233</v>
      </c>
      <c r="AG75" s="18"/>
      <c r="AH75" s="195">
        <f t="shared" ref="AH75:AK75" si="279">SUM(AH69:AH74)</f>
        <v>5694.5750452350476</v>
      </c>
      <c r="AI75" s="195">
        <f t="shared" si="279"/>
        <v>4774.7265815106075</v>
      </c>
      <c r="AJ75" s="195">
        <f t="shared" si="279"/>
        <v>3481.6588011623789</v>
      </c>
      <c r="AK75" s="195">
        <f t="shared" si="279"/>
        <v>5869.9321696145462</v>
      </c>
      <c r="AL75" s="18"/>
    </row>
    <row r="76" spans="1:38" outlineLevel="1" x14ac:dyDescent="0.25">
      <c r="A76" s="300"/>
      <c r="B76" s="191" t="s">
        <v>258</v>
      </c>
      <c r="C76" s="166"/>
      <c r="D76" s="449">
        <f t="shared" ref="D76" si="280">+D68-D75</f>
        <v>968.70000000000027</v>
      </c>
      <c r="E76" s="449">
        <f t="shared" ref="E76" si="281">+E68-E75</f>
        <v>856.40000000000055</v>
      </c>
      <c r="F76" s="449">
        <f t="shared" ref="F76" si="282">+F68-F75</f>
        <v>1018.6999999999998</v>
      </c>
      <c r="G76" s="449">
        <f t="shared" ref="G76" si="283">+G68-G75</f>
        <v>938.90000000000009</v>
      </c>
      <c r="H76" s="386">
        <f>SUM(D76:G76)</f>
        <v>3782.7000000000007</v>
      </c>
      <c r="I76" s="449">
        <f t="shared" ref="I76" si="284">+I68-I75</f>
        <v>1098.7999999999997</v>
      </c>
      <c r="J76" s="449">
        <f t="shared" ref="J76" si="285">+J68-J75</f>
        <v>621.19999999999982</v>
      </c>
      <c r="K76" s="449">
        <f t="shared" ref="K76" si="286">+K68-K75</f>
        <v>-404.89999999999964</v>
      </c>
      <c r="L76" s="232">
        <f t="shared" ref="L76" si="287">+L68-L75</f>
        <v>-153.05367201464742</v>
      </c>
      <c r="M76" s="272">
        <f>SUM(I76:L76)</f>
        <v>1162.0463279853525</v>
      </c>
      <c r="N76" s="232">
        <f t="shared" ref="N76" si="288">+N68-N75</f>
        <v>71.630260730588816</v>
      </c>
      <c r="O76" s="232">
        <f t="shared" ref="O76" si="289">+O68-O75</f>
        <v>274.50556997583226</v>
      </c>
      <c r="P76" s="232">
        <f t="shared" ref="P76" si="290">+P68-P75</f>
        <v>139.72729486242861</v>
      </c>
      <c r="Q76" s="232">
        <f t="shared" ref="Q76" si="291">+Q68-Q75</f>
        <v>1228.473032027412</v>
      </c>
      <c r="R76" s="272">
        <f>SUM(N76:Q76)</f>
        <v>1714.3361575962617</v>
      </c>
      <c r="S76" s="232">
        <f t="shared" ref="S76" si="292">+S68-S75</f>
        <v>1231.0959056157226</v>
      </c>
      <c r="T76" s="232">
        <f t="shared" ref="T76" si="293">+T68-T75</f>
        <v>917.01241130565541</v>
      </c>
      <c r="U76" s="232">
        <f t="shared" ref="U76" si="294">+U68-U75</f>
        <v>594.97061873991925</v>
      </c>
      <c r="V76" s="232">
        <f t="shared" ref="V76" si="295">+V68-V75</f>
        <v>1338.9637937322095</v>
      </c>
      <c r="W76" s="272">
        <f>SUM(S76:V76)</f>
        <v>4082.0427293935068</v>
      </c>
      <c r="X76" s="232">
        <f t="shared" ref="X76" si="296">+X68-X75</f>
        <v>1300.9309912025137</v>
      </c>
      <c r="Y76" s="232">
        <f t="shared" ref="Y76" si="297">+Y68-Y75</f>
        <v>972.49639125758495</v>
      </c>
      <c r="Z76" s="232">
        <f t="shared" ref="Z76" si="298">+Z68-Z75</f>
        <v>634.17818286768807</v>
      </c>
      <c r="AA76" s="232">
        <f t="shared" ref="AA76" si="299">+AA68-AA75</f>
        <v>1420.75143293579</v>
      </c>
      <c r="AB76" s="272">
        <f>SUM(X76:AA76)</f>
        <v>4328.3569982635763</v>
      </c>
      <c r="AC76" s="232">
        <f t="shared" ref="AC76:AF76" si="300">+AC68-AC75</f>
        <v>1379.5814439167852</v>
      </c>
      <c r="AD76" s="232">
        <f t="shared" si="300"/>
        <v>1035.3226206566551</v>
      </c>
      <c r="AE76" s="232">
        <f t="shared" si="300"/>
        <v>680.74675189815071</v>
      </c>
      <c r="AF76" s="232">
        <f t="shared" si="300"/>
        <v>1513.5249178961731</v>
      </c>
      <c r="AG76" s="272">
        <f>SUM(AC76:AF76)</f>
        <v>4609.1757343677637</v>
      </c>
      <c r="AH76" s="232">
        <f t="shared" ref="AH76:AK76" si="301">+AH68-AH75</f>
        <v>1472.2771619009445</v>
      </c>
      <c r="AI76" s="232">
        <f t="shared" si="301"/>
        <v>1108.23080835373</v>
      </c>
      <c r="AJ76" s="232">
        <f t="shared" si="301"/>
        <v>732.63380503885583</v>
      </c>
      <c r="AK76" s="232">
        <f t="shared" si="301"/>
        <v>1614.7500102711101</v>
      </c>
      <c r="AL76" s="272">
        <f>SUM(AH76:AK76)</f>
        <v>4927.8917855646405</v>
      </c>
    </row>
    <row r="77" spans="1:38" outlineLevel="1" x14ac:dyDescent="0.25">
      <c r="A77" s="300"/>
      <c r="B77" s="191" t="s">
        <v>259</v>
      </c>
      <c r="C77" s="166"/>
      <c r="D77" s="450">
        <f t="shared" ref="D77" si="302">+D76/D68</f>
        <v>0.21001626016260169</v>
      </c>
      <c r="E77" s="450">
        <f t="shared" ref="E77" si="303">+E76/E68</f>
        <v>0.19851185647064287</v>
      </c>
      <c r="F77" s="450">
        <f t="shared" ref="F77" si="304">+F76/F68</f>
        <v>0.21761979022024736</v>
      </c>
      <c r="G77" s="450">
        <f t="shared" ref="G77" si="305">+G76/G68</f>
        <v>0.20185320548652022</v>
      </c>
      <c r="H77" s="387">
        <f>H76/H68</f>
        <v>0.20716793270205</v>
      </c>
      <c r="I77" s="450">
        <f t="shared" ref="I77" si="306">+I76/I68</f>
        <v>0.21928196531561192</v>
      </c>
      <c r="J77" s="450">
        <f t="shared" ref="J77" si="307">+J76/J68</f>
        <v>0.14346420323325632</v>
      </c>
      <c r="K77" s="450">
        <f t="shared" ref="K77" si="308">+K76/K68</f>
        <v>-0.14432364997326666</v>
      </c>
      <c r="L77" s="450">
        <f t="shared" ref="L77" si="309">+L76/L68</f>
        <v>-3.6253026884065766E-2</v>
      </c>
      <c r="M77" s="273">
        <f>M76/M68</f>
        <v>7.0994065845754004E-2</v>
      </c>
      <c r="N77" s="233">
        <f t="shared" ref="N77" si="310">+N76/N68</f>
        <v>1.3405433648537078E-2</v>
      </c>
      <c r="O77" s="233">
        <f t="shared" ref="O77" si="311">+O76/O68</f>
        <v>5.7926659139824657E-2</v>
      </c>
      <c r="P77" s="233">
        <f t="shared" ref="P77" si="312">+P76/P68</f>
        <v>4.1084656149671384E-2</v>
      </c>
      <c r="Q77" s="233">
        <f t="shared" ref="Q77" si="313">+Q76/Q68</f>
        <v>0.20427878861784332</v>
      </c>
      <c r="R77" s="273">
        <f>R76/R68</f>
        <v>8.7928694535216276E-2</v>
      </c>
      <c r="S77" s="233">
        <f t="shared" ref="S77" si="314">+S76/S68</f>
        <v>0.20174954795643379</v>
      </c>
      <c r="T77" s="233">
        <f t="shared" ref="T77" si="315">+T76/T68</f>
        <v>0.18353355125160342</v>
      </c>
      <c r="U77" s="233">
        <f t="shared" ref="U77" si="316">+U76/U68</f>
        <v>0.16674543032925915</v>
      </c>
      <c r="V77" s="233">
        <f t="shared" ref="V77" si="317">+V76/V68</f>
        <v>0.21167492326897</v>
      </c>
      <c r="W77" s="273">
        <f>W76/W68</f>
        <v>0.19445490612115113</v>
      </c>
      <c r="X77" s="233">
        <f t="shared" ref="X77" si="318">+X76/X68</f>
        <v>0.20233014007464456</v>
      </c>
      <c r="Y77" s="233">
        <f t="shared" ref="Y77" si="319">+Y76/Y68</f>
        <v>0.1847448826067237</v>
      </c>
      <c r="Z77" s="233">
        <f t="shared" ref="Z77" si="320">+Z76/Z68</f>
        <v>0.16886439571828946</v>
      </c>
      <c r="AA77" s="233">
        <f t="shared" ref="AA77" si="321">+AA76/AA68</f>
        <v>0.21309894628952278</v>
      </c>
      <c r="AB77" s="273">
        <f>AB76/AB68</f>
        <v>0.19570816137283906</v>
      </c>
      <c r="AC77" s="233">
        <f t="shared" ref="AC77:AF77" si="322">+AC76/AC68</f>
        <v>0.20400315131546984</v>
      </c>
      <c r="AD77" s="233">
        <f t="shared" si="322"/>
        <v>0.18671389894676865</v>
      </c>
      <c r="AE77" s="233">
        <f t="shared" si="322"/>
        <v>0.1715967896020793</v>
      </c>
      <c r="AF77" s="233">
        <f t="shared" si="322"/>
        <v>0.21458576721169045</v>
      </c>
      <c r="AG77" s="273">
        <f>AG76/AG68</f>
        <v>0.19758221549756511</v>
      </c>
      <c r="AH77" s="233">
        <f t="shared" ref="AH77:AK77" si="323">+AH76/AH68</f>
        <v>0.20542870417154785</v>
      </c>
      <c r="AI77" s="233">
        <f t="shared" si="323"/>
        <v>0.18837988020499433</v>
      </c>
      <c r="AJ77" s="233">
        <f t="shared" si="323"/>
        <v>0.1738450253693353</v>
      </c>
      <c r="AK77" s="233">
        <f t="shared" si="323"/>
        <v>0.21574062484718337</v>
      </c>
      <c r="AL77" s="273">
        <f>AL76/AL68</f>
        <v>0.1991165185847372</v>
      </c>
    </row>
    <row r="78" spans="1:38" s="234" customFormat="1" outlineLevel="1" x14ac:dyDescent="0.25">
      <c r="A78" s="316"/>
      <c r="B78" s="237" t="s">
        <v>190</v>
      </c>
      <c r="C78" s="235"/>
      <c r="D78" s="339">
        <f t="shared" ref="D78:G78" si="324">+D75-D72</f>
        <v>3476.8999999999996</v>
      </c>
      <c r="E78" s="339">
        <f t="shared" si="324"/>
        <v>3284.7</v>
      </c>
      <c r="F78" s="339">
        <f t="shared" si="324"/>
        <v>3486.7999999999997</v>
      </c>
      <c r="G78" s="339">
        <f t="shared" si="324"/>
        <v>3531.8999999999996</v>
      </c>
      <c r="H78" s="380"/>
      <c r="I78" s="339">
        <f t="shared" ref="I78" si="325">+I75-I72</f>
        <v>3722.9</v>
      </c>
      <c r="J78" s="339">
        <f t="shared" ref="J78:L78" si="326">+J75-J72</f>
        <v>3517.3</v>
      </c>
      <c r="K78" s="339">
        <f t="shared" si="326"/>
        <v>3019.0999999999995</v>
      </c>
      <c r="L78" s="213">
        <f t="shared" si="326"/>
        <v>4179.5995622395803</v>
      </c>
      <c r="M78" s="236"/>
      <c r="N78" s="213">
        <f>+N75-N72</f>
        <v>5076.2063710997891</v>
      </c>
      <c r="O78" s="213">
        <f t="shared" ref="O78:Q78" si="327">+O75-O72</f>
        <v>4264.9622237302201</v>
      </c>
      <c r="P78" s="213">
        <f t="shared" si="327"/>
        <v>3060.8644969076022</v>
      </c>
      <c r="Q78" s="213">
        <f t="shared" si="327"/>
        <v>4586.7840838671009</v>
      </c>
      <c r="R78" s="236"/>
      <c r="S78" s="213">
        <f t="shared" ref="S78:V78" si="328">+S75-S72</f>
        <v>4668.1064584065352</v>
      </c>
      <c r="T78" s="213">
        <f t="shared" si="328"/>
        <v>3872.2327003176456</v>
      </c>
      <c r="U78" s="213">
        <f t="shared" si="328"/>
        <v>2765.306543111466</v>
      </c>
      <c r="V78" s="213">
        <f t="shared" si="328"/>
        <v>4780.7602376539271</v>
      </c>
      <c r="W78" s="236"/>
      <c r="X78" s="213">
        <f t="shared" ref="X78:AA78" si="329">+X75-X72</f>
        <v>4918.7541109928798</v>
      </c>
      <c r="Y78" s="213">
        <f t="shared" si="329"/>
        <v>4079.5971860776094</v>
      </c>
      <c r="Z78" s="213">
        <f t="shared" si="329"/>
        <v>2910.5489622714226</v>
      </c>
      <c r="AA78" s="213">
        <f t="shared" si="329"/>
        <v>5038.8837794266283</v>
      </c>
      <c r="AB78" s="236"/>
      <c r="AC78" s="213">
        <f t="shared" ref="AC78:AF78" si="330">+AC75-AC72</f>
        <v>5173.3504987102124</v>
      </c>
      <c r="AD78" s="213">
        <f t="shared" si="330"/>
        <v>4297.3503072615995</v>
      </c>
      <c r="AE78" s="213">
        <f t="shared" si="330"/>
        <v>3074.525659509623</v>
      </c>
      <c r="AF78" s="213">
        <f t="shared" si="330"/>
        <v>5330.7240720890049</v>
      </c>
      <c r="AG78" s="236"/>
      <c r="AH78" s="213">
        <f t="shared" ref="AH78:AK78" si="331">+AH75-AH72</f>
        <v>5482.6419384590336</v>
      </c>
      <c r="AI78" s="213">
        <f t="shared" si="331"/>
        <v>4559.2919771448624</v>
      </c>
      <c r="AJ78" s="213">
        <f t="shared" si="331"/>
        <v>3266.0767698059572</v>
      </c>
      <c r="AK78" s="213">
        <f t="shared" si="331"/>
        <v>5656.801049937636</v>
      </c>
      <c r="AL78" s="236"/>
    </row>
    <row r="79" spans="1:38" s="234" customFormat="1" outlineLevel="1" x14ac:dyDescent="0.25">
      <c r="A79" s="316"/>
      <c r="B79" s="237" t="s">
        <v>191</v>
      </c>
      <c r="C79" s="235"/>
      <c r="D79" s="238">
        <f t="shared" ref="D79:K79" si="332">+D78/D68</f>
        <v>0.75379945799457981</v>
      </c>
      <c r="E79" s="238">
        <f t="shared" si="332"/>
        <v>0.76138707957627305</v>
      </c>
      <c r="F79" s="330">
        <f t="shared" si="332"/>
        <v>0.74486765931084575</v>
      </c>
      <c r="G79" s="330">
        <f t="shared" si="332"/>
        <v>0.7593197746914907</v>
      </c>
      <c r="H79" s="236"/>
      <c r="I79" s="330">
        <f t="shared" si="332"/>
        <v>0.74296034644475051</v>
      </c>
      <c r="J79" s="330">
        <f t="shared" si="332"/>
        <v>0.81230946882217092</v>
      </c>
      <c r="K79" s="330">
        <f t="shared" si="332"/>
        <v>1.076136161112101</v>
      </c>
      <c r="L79" s="489">
        <v>0.99</v>
      </c>
      <c r="M79" s="236"/>
      <c r="N79" s="489">
        <v>0.95</v>
      </c>
      <c r="O79" s="489">
        <v>0.9</v>
      </c>
      <c r="P79" s="489">
        <v>0.9</v>
      </c>
      <c r="Q79" s="239">
        <v>0.76272142071985516</v>
      </c>
      <c r="R79" s="236"/>
      <c r="S79" s="239">
        <v>0.76500000000000001</v>
      </c>
      <c r="T79" s="239">
        <v>0.77500000000000002</v>
      </c>
      <c r="U79" s="239">
        <v>0.77500000000000002</v>
      </c>
      <c r="V79" s="239">
        <v>0.75578373456387093</v>
      </c>
      <c r="W79" s="236"/>
      <c r="X79" s="239">
        <f>+S79</f>
        <v>0.76500000000000001</v>
      </c>
      <c r="Y79" s="239">
        <f>+T79</f>
        <v>0.77500000000000002</v>
      </c>
      <c r="Z79" s="239">
        <f>+U79</f>
        <v>0.77500000000000002</v>
      </c>
      <c r="AA79" s="239">
        <f>+V79</f>
        <v>0.75578373456387093</v>
      </c>
      <c r="AB79" s="236"/>
      <c r="AC79" s="239">
        <f>+X79</f>
        <v>0.76500000000000001</v>
      </c>
      <c r="AD79" s="239">
        <f>+Y79</f>
        <v>0.77500000000000002</v>
      </c>
      <c r="AE79" s="239">
        <f>+Z79</f>
        <v>0.77500000000000002</v>
      </c>
      <c r="AF79" s="239">
        <f>+AA79</f>
        <v>0.75578373456387093</v>
      </c>
      <c r="AG79" s="236"/>
      <c r="AH79" s="239">
        <f>+AC79</f>
        <v>0.76500000000000001</v>
      </c>
      <c r="AI79" s="239">
        <f>+AD79</f>
        <v>0.77500000000000002</v>
      </c>
      <c r="AJ79" s="239">
        <f>+AE79</f>
        <v>0.77500000000000002</v>
      </c>
      <c r="AK79" s="239">
        <f>+AF79</f>
        <v>0.75578373456387093</v>
      </c>
      <c r="AL79" s="236"/>
    </row>
    <row r="80" spans="1:38" ht="18" x14ac:dyDescent="0.4">
      <c r="A80" s="300"/>
      <c r="B80" s="511" t="s">
        <v>329</v>
      </c>
      <c r="C80" s="512"/>
      <c r="D80" s="36" t="s">
        <v>123</v>
      </c>
      <c r="E80" s="36" t="s">
        <v>280</v>
      </c>
      <c r="F80" s="36" t="s">
        <v>284</v>
      </c>
      <c r="G80" s="36" t="s">
        <v>294</v>
      </c>
      <c r="H80" s="104" t="s">
        <v>295</v>
      </c>
      <c r="I80" s="36" t="s">
        <v>296</v>
      </c>
      <c r="J80" s="36" t="s">
        <v>297</v>
      </c>
      <c r="K80" s="36" t="s">
        <v>298</v>
      </c>
      <c r="L80" s="34" t="s">
        <v>141</v>
      </c>
      <c r="M80" s="107" t="s">
        <v>142</v>
      </c>
      <c r="N80" s="34" t="s">
        <v>143</v>
      </c>
      <c r="O80" s="34" t="s">
        <v>144</v>
      </c>
      <c r="P80" s="34" t="s">
        <v>145</v>
      </c>
      <c r="Q80" s="34" t="s">
        <v>146</v>
      </c>
      <c r="R80" s="107" t="s">
        <v>147</v>
      </c>
      <c r="S80" s="34" t="s">
        <v>148</v>
      </c>
      <c r="T80" s="34" t="s">
        <v>149</v>
      </c>
      <c r="U80" s="34" t="s">
        <v>150</v>
      </c>
      <c r="V80" s="34" t="s">
        <v>151</v>
      </c>
      <c r="W80" s="107" t="s">
        <v>152</v>
      </c>
      <c r="X80" s="34" t="s">
        <v>153</v>
      </c>
      <c r="Y80" s="34" t="s">
        <v>154</v>
      </c>
      <c r="Z80" s="34" t="s">
        <v>155</v>
      </c>
      <c r="AA80" s="34" t="s">
        <v>156</v>
      </c>
      <c r="AB80" s="107" t="s">
        <v>157</v>
      </c>
      <c r="AC80" s="34" t="s">
        <v>289</v>
      </c>
      <c r="AD80" s="34" t="s">
        <v>290</v>
      </c>
      <c r="AE80" s="34" t="s">
        <v>291</v>
      </c>
      <c r="AF80" s="34" t="s">
        <v>292</v>
      </c>
      <c r="AG80" s="107" t="s">
        <v>293</v>
      </c>
      <c r="AH80" s="34" t="s">
        <v>322</v>
      </c>
      <c r="AI80" s="34" t="s">
        <v>323</v>
      </c>
      <c r="AJ80" s="34" t="s">
        <v>324</v>
      </c>
      <c r="AK80" s="34" t="s">
        <v>325</v>
      </c>
      <c r="AL80" s="107" t="s">
        <v>326</v>
      </c>
    </row>
    <row r="81" spans="1:38" s="20" customFormat="1" outlineLevel="1" x14ac:dyDescent="0.25">
      <c r="A81" s="315"/>
      <c r="B81" s="503" t="s">
        <v>330</v>
      </c>
      <c r="C81" s="504"/>
      <c r="D81" s="45">
        <v>5839</v>
      </c>
      <c r="E81" s="45">
        <v>5879</v>
      </c>
      <c r="F81" s="332">
        <v>5646</v>
      </c>
      <c r="G81" s="45">
        <v>5860</v>
      </c>
      <c r="H81" s="202"/>
      <c r="I81" s="45">
        <v>6059</v>
      </c>
      <c r="J81" s="45">
        <v>6137</v>
      </c>
      <c r="K81" s="45">
        <v>6254</v>
      </c>
      <c r="L81" s="45">
        <f t="shared" ref="L81" si="333">+K81+L82</f>
        <v>6429</v>
      </c>
      <c r="M81" s="202"/>
      <c r="N81" s="45">
        <f>+L81+N82</f>
        <v>6529</v>
      </c>
      <c r="O81" s="45">
        <f>+N81+O82</f>
        <v>6629</v>
      </c>
      <c r="P81" s="45">
        <f t="shared" ref="P81" si="334">+O81+P82</f>
        <v>6729</v>
      </c>
      <c r="Q81" s="45">
        <f t="shared" ref="Q81" si="335">+P81+Q82</f>
        <v>6829</v>
      </c>
      <c r="R81" s="202"/>
      <c r="S81" s="45">
        <f>+Q81+S82</f>
        <v>6904</v>
      </c>
      <c r="T81" s="45">
        <f>+S81+T82</f>
        <v>6979</v>
      </c>
      <c r="U81" s="45">
        <f t="shared" ref="U81" si="336">+T81+U82</f>
        <v>7054</v>
      </c>
      <c r="V81" s="45">
        <f t="shared" ref="V81" si="337">+U81+V82</f>
        <v>7129</v>
      </c>
      <c r="W81" s="202"/>
      <c r="X81" s="45">
        <f>+V81+X82</f>
        <v>7204</v>
      </c>
      <c r="Y81" s="45">
        <f>+X81+Y82</f>
        <v>7279</v>
      </c>
      <c r="Z81" s="45">
        <f t="shared" ref="Z81" si="338">+Y81+Z82</f>
        <v>7354</v>
      </c>
      <c r="AA81" s="45">
        <f t="shared" ref="AA81" si="339">+Z81+AA82</f>
        <v>7429</v>
      </c>
      <c r="AB81" s="202"/>
      <c r="AC81" s="45">
        <f>+AA81+AC82</f>
        <v>7529</v>
      </c>
      <c r="AD81" s="45">
        <f>+AC81+AD82</f>
        <v>7629</v>
      </c>
      <c r="AE81" s="45">
        <f t="shared" ref="AE81" si="340">+AD81+AE82</f>
        <v>7729</v>
      </c>
      <c r="AF81" s="45">
        <f t="shared" ref="AF81" si="341">+AE81+AF82</f>
        <v>7829</v>
      </c>
      <c r="AG81" s="202"/>
      <c r="AH81" s="45">
        <f>+AF81+AH82</f>
        <v>7929</v>
      </c>
      <c r="AI81" s="45">
        <f>+AH81+AI82</f>
        <v>8029</v>
      </c>
      <c r="AJ81" s="45">
        <f t="shared" ref="AJ81" si="342">+AI81+AJ82</f>
        <v>8129</v>
      </c>
      <c r="AK81" s="45">
        <f t="shared" ref="AK81" si="343">+AJ81+AK82</f>
        <v>8229</v>
      </c>
      <c r="AL81" s="202"/>
    </row>
    <row r="82" spans="1:38" outlineLevel="1" x14ac:dyDescent="0.25">
      <c r="A82" s="300"/>
      <c r="B82" s="51" t="s">
        <v>175</v>
      </c>
      <c r="C82" s="85"/>
      <c r="D82" s="38">
        <f>+D81-5651</f>
        <v>188</v>
      </c>
      <c r="E82" s="302">
        <f>+E81-D81</f>
        <v>40</v>
      </c>
      <c r="F82" s="302">
        <f t="shared" ref="F82:G82" si="344">+F81-E81</f>
        <v>-233</v>
      </c>
      <c r="G82" s="302">
        <f t="shared" si="344"/>
        <v>214</v>
      </c>
      <c r="H82" s="340">
        <f>+SUM(D82:G82)</f>
        <v>209</v>
      </c>
      <c r="I82" s="302">
        <f>+I81-G81</f>
        <v>199</v>
      </c>
      <c r="J82" s="302">
        <f t="shared" ref="J82:K82" si="345">+J81-I81</f>
        <v>78</v>
      </c>
      <c r="K82" s="302">
        <f t="shared" si="345"/>
        <v>117</v>
      </c>
      <c r="L82" s="71">
        <v>175</v>
      </c>
      <c r="M82" s="56">
        <f>+SUM(I82:L82)</f>
        <v>569</v>
      </c>
      <c r="N82" s="71">
        <v>100</v>
      </c>
      <c r="O82" s="71">
        <v>100</v>
      </c>
      <c r="P82" s="71">
        <v>100</v>
      </c>
      <c r="Q82" s="71">
        <v>100</v>
      </c>
      <c r="R82" s="56">
        <f>+SUM(N82:Q82)</f>
        <v>400</v>
      </c>
      <c r="S82" s="71">
        <v>75</v>
      </c>
      <c r="T82" s="71">
        <v>75</v>
      </c>
      <c r="U82" s="71">
        <v>75</v>
      </c>
      <c r="V82" s="71">
        <v>75</v>
      </c>
      <c r="W82" s="56">
        <f>+SUM(S82:V82)</f>
        <v>300</v>
      </c>
      <c r="X82" s="71">
        <v>75</v>
      </c>
      <c r="Y82" s="71">
        <v>75</v>
      </c>
      <c r="Z82" s="71">
        <v>75</v>
      </c>
      <c r="AA82" s="71">
        <v>75</v>
      </c>
      <c r="AB82" s="56">
        <f>+SUM(X82:AA82)</f>
        <v>300</v>
      </c>
      <c r="AC82" s="71">
        <v>100</v>
      </c>
      <c r="AD82" s="71">
        <v>100</v>
      </c>
      <c r="AE82" s="71">
        <v>100</v>
      </c>
      <c r="AF82" s="71">
        <v>100</v>
      </c>
      <c r="AG82" s="56">
        <f>+SUM(AC82:AF82)</f>
        <v>400</v>
      </c>
      <c r="AH82" s="71">
        <f>AVERAGE(AC82,AD82,AE82,AF82)</f>
        <v>100</v>
      </c>
      <c r="AI82" s="71">
        <f>AVERAGE(AD82,AE82,AF82,AH82)</f>
        <v>100</v>
      </c>
      <c r="AJ82" s="71">
        <f>AVERAGE(AE82,AF82,AH82,AI82)</f>
        <v>100</v>
      </c>
      <c r="AK82" s="71">
        <f>AVERAGE(AF82,AH82,AI82,AJ82)</f>
        <v>100</v>
      </c>
      <c r="AL82" s="56">
        <f>+SUM(AH82:AK82)</f>
        <v>400</v>
      </c>
    </row>
    <row r="83" spans="1:38" s="210" customFormat="1" outlineLevel="1" x14ac:dyDescent="0.25">
      <c r="A83" s="319"/>
      <c r="B83" s="211" t="s">
        <v>176</v>
      </c>
      <c r="C83" s="212"/>
      <c r="D83" s="339">
        <v>5186</v>
      </c>
      <c r="E83" s="339">
        <v>5313</v>
      </c>
      <c r="F83" s="339">
        <v>5476</v>
      </c>
      <c r="G83" s="339">
        <v>5651</v>
      </c>
      <c r="H83" s="380"/>
      <c r="I83" s="339">
        <f>D81</f>
        <v>5839</v>
      </c>
      <c r="J83" s="339">
        <f>E81</f>
        <v>5879</v>
      </c>
      <c r="K83" s="339">
        <f>F81</f>
        <v>5646</v>
      </c>
      <c r="L83" s="214">
        <f>G81</f>
        <v>5860</v>
      </c>
      <c r="M83" s="215"/>
      <c r="N83" s="214">
        <f>I81</f>
        <v>6059</v>
      </c>
      <c r="O83" s="214">
        <f>J81</f>
        <v>6137</v>
      </c>
      <c r="P83" s="214">
        <f>K81</f>
        <v>6254</v>
      </c>
      <c r="Q83" s="214">
        <f>L81</f>
        <v>6429</v>
      </c>
      <c r="R83" s="215"/>
      <c r="S83" s="214">
        <f>N81</f>
        <v>6529</v>
      </c>
      <c r="T83" s="214">
        <f>O81</f>
        <v>6629</v>
      </c>
      <c r="U83" s="214">
        <f>P81</f>
        <v>6729</v>
      </c>
      <c r="V83" s="214">
        <f>Q81</f>
        <v>6829</v>
      </c>
      <c r="W83" s="215"/>
      <c r="X83" s="214">
        <f>S81</f>
        <v>6904</v>
      </c>
      <c r="Y83" s="214">
        <f>T81</f>
        <v>6979</v>
      </c>
      <c r="Z83" s="214">
        <f>U81</f>
        <v>7054</v>
      </c>
      <c r="AA83" s="214">
        <f>V81</f>
        <v>7129</v>
      </c>
      <c r="AB83" s="215"/>
      <c r="AC83" s="214">
        <f>X81</f>
        <v>7204</v>
      </c>
      <c r="AD83" s="214">
        <f>Y81</f>
        <v>7279</v>
      </c>
      <c r="AE83" s="214">
        <f>Z81</f>
        <v>7354</v>
      </c>
      <c r="AF83" s="214">
        <f>AA81</f>
        <v>7429</v>
      </c>
      <c r="AG83" s="215"/>
      <c r="AH83" s="214">
        <f>AC81</f>
        <v>7529</v>
      </c>
      <c r="AI83" s="214">
        <f>AD81</f>
        <v>7629</v>
      </c>
      <c r="AJ83" s="214">
        <f>AE81</f>
        <v>7729</v>
      </c>
      <c r="AK83" s="214">
        <f>AF81</f>
        <v>7829</v>
      </c>
      <c r="AL83" s="215"/>
    </row>
    <row r="84" spans="1:38" s="210" customFormat="1" outlineLevel="1" x14ac:dyDescent="0.25">
      <c r="A84" s="319"/>
      <c r="B84" s="211" t="s">
        <v>177</v>
      </c>
      <c r="C84" s="212"/>
      <c r="D84" s="216">
        <v>0.17928494231648628</v>
      </c>
      <c r="E84" s="216">
        <v>0.15524456521739133</v>
      </c>
      <c r="F84" s="216">
        <v>0.16818750000000002</v>
      </c>
      <c r="G84" s="216">
        <f>AVERAGE(D84,E84,F84)</f>
        <v>0.16757233584462586</v>
      </c>
      <c r="H84" s="215"/>
      <c r="I84" s="216">
        <f>+D84*(1+I87)</f>
        <v>0.18107779173965116</v>
      </c>
      <c r="J84" s="216">
        <f>+E84*(1+J87)</f>
        <v>0.10711875000000001</v>
      </c>
      <c r="K84" s="216">
        <f t="shared" ref="K84" si="346">+F84*(1+K87)</f>
        <v>0.10595812500000001</v>
      </c>
      <c r="L84" s="216">
        <f t="shared" ref="L84" si="347">+G84*(1+L87)</f>
        <v>0.14913937890171702</v>
      </c>
      <c r="M84" s="215"/>
      <c r="N84" s="216">
        <f>+I84*(1+N87)</f>
        <v>0.18107779173965116</v>
      </c>
      <c r="O84" s="216">
        <f>+J84*(1+O87)</f>
        <v>0.11247468750000002</v>
      </c>
      <c r="P84" s="216">
        <f t="shared" ref="P84" si="348">+K84*(1+P87)</f>
        <v>0.11655393750000002</v>
      </c>
      <c r="Q84" s="216">
        <f t="shared" ref="Q84" si="349">+L84*(1+Q87)</f>
        <v>0.17896725468206043</v>
      </c>
      <c r="R84" s="215"/>
      <c r="S84" s="216">
        <f>+N84*(1+S87)</f>
        <v>0.20823946050059883</v>
      </c>
      <c r="T84" s="216">
        <f>+O84*(1+T87)</f>
        <v>0.11809842187500003</v>
      </c>
      <c r="U84" s="216">
        <f t="shared" ref="U84" si="350">+P84*(1+U87)</f>
        <v>0.12238163437500003</v>
      </c>
      <c r="V84" s="216">
        <f t="shared" ref="V84" si="351">+Q84*(1+V87)</f>
        <v>0.18791561741616344</v>
      </c>
      <c r="W84" s="215"/>
      <c r="X84" s="216">
        <f>+S84*(1+X87)</f>
        <v>0.21448664431561679</v>
      </c>
      <c r="Y84" s="216">
        <f>+T84*(1+Y87)</f>
        <v>0.12341285085937502</v>
      </c>
      <c r="Z84" s="216">
        <f t="shared" ref="Z84" si="352">+U84*(1+Z87)</f>
        <v>0.12773583087890628</v>
      </c>
      <c r="AA84" s="216">
        <f t="shared" ref="AA84" si="353">+V84*(1+AA87)</f>
        <v>0.19584330752590784</v>
      </c>
      <c r="AB84" s="215"/>
      <c r="AC84" s="216">
        <f>+X84*(1+AC87)</f>
        <v>0.22306611008824145</v>
      </c>
      <c r="AD84" s="216">
        <f>+Y84*(1+AD87)</f>
        <v>0.12834936489375001</v>
      </c>
      <c r="AE84" s="216">
        <f t="shared" ref="AE84" si="354">+Z84*(1+AE87)</f>
        <v>0.13284526411406253</v>
      </c>
      <c r="AF84" s="216">
        <f t="shared" ref="AF84" si="355">+AA84*(1+AF87)</f>
        <v>0.20367703982694416</v>
      </c>
      <c r="AG84" s="215"/>
      <c r="AH84" s="216">
        <f>+AC84*(1+AH87)</f>
        <v>0.23198875449177112</v>
      </c>
      <c r="AI84" s="216">
        <f>+AD84*(1+AI87)</f>
        <v>0.13348333948950003</v>
      </c>
      <c r="AJ84" s="216">
        <f t="shared" ref="AJ84" si="356">+AE84*(1+AJ87)</f>
        <v>0.13815907467862504</v>
      </c>
      <c r="AK84" s="216">
        <f t="shared" ref="AK84" si="357">+AF84*(1+AK87)</f>
        <v>0.21182412142002194</v>
      </c>
      <c r="AL84" s="215"/>
    </row>
    <row r="85" spans="1:38" outlineLevel="1" x14ac:dyDescent="0.25">
      <c r="A85" s="300"/>
      <c r="B85" s="51" t="s">
        <v>173</v>
      </c>
      <c r="C85" s="189"/>
      <c r="D85" s="334">
        <v>0.01</v>
      </c>
      <c r="E85" s="334">
        <v>0</v>
      </c>
      <c r="F85" s="334">
        <v>0.01</v>
      </c>
      <c r="G85" s="334">
        <v>0.01</v>
      </c>
      <c r="H85" s="370"/>
      <c r="I85" s="334">
        <v>-0.01</v>
      </c>
      <c r="J85" s="334">
        <v>-0.32</v>
      </c>
      <c r="K85" s="334">
        <v>-0.44</v>
      </c>
      <c r="L85" s="64"/>
      <c r="M85" s="62"/>
      <c r="N85" s="64"/>
      <c r="O85" s="64"/>
      <c r="P85" s="64"/>
      <c r="Q85" s="64"/>
      <c r="R85" s="62"/>
      <c r="S85" s="64"/>
      <c r="T85" s="64"/>
      <c r="U85" s="64"/>
      <c r="V85" s="64"/>
      <c r="W85" s="62"/>
      <c r="X85" s="64"/>
      <c r="Y85" s="64"/>
      <c r="Z85" s="64"/>
      <c r="AA85" s="64"/>
      <c r="AB85" s="62"/>
      <c r="AC85" s="64"/>
      <c r="AD85" s="64"/>
      <c r="AE85" s="64"/>
      <c r="AF85" s="64"/>
      <c r="AG85" s="62"/>
      <c r="AH85" s="64"/>
      <c r="AI85" s="64"/>
      <c r="AJ85" s="64"/>
      <c r="AK85" s="64"/>
      <c r="AL85" s="62"/>
    </row>
    <row r="86" spans="1:38" outlineLevel="1" x14ac:dyDescent="0.25">
      <c r="A86" s="300"/>
      <c r="B86" s="51" t="s">
        <v>172</v>
      </c>
      <c r="C86" s="189"/>
      <c r="D86" s="443">
        <v>0.01</v>
      </c>
      <c r="E86" s="443">
        <v>0.02</v>
      </c>
      <c r="F86" s="443">
        <v>0.03</v>
      </c>
      <c r="G86" s="443">
        <v>0.03</v>
      </c>
      <c r="H86" s="420"/>
      <c r="I86" s="443">
        <v>0.02</v>
      </c>
      <c r="J86" s="443">
        <v>0.01</v>
      </c>
      <c r="K86" s="443">
        <v>0.13</v>
      </c>
      <c r="L86" s="204"/>
      <c r="M86" s="205"/>
      <c r="N86" s="204"/>
      <c r="O86" s="204"/>
      <c r="P86" s="204"/>
      <c r="Q86" s="204"/>
      <c r="R86" s="205"/>
      <c r="S86" s="204"/>
      <c r="T86" s="204"/>
      <c r="U86" s="204"/>
      <c r="V86" s="204"/>
      <c r="W86" s="205"/>
      <c r="X86" s="204"/>
      <c r="Y86" s="204"/>
      <c r="Z86" s="204"/>
      <c r="AA86" s="204"/>
      <c r="AB86" s="205"/>
      <c r="AC86" s="204"/>
      <c r="AD86" s="204"/>
      <c r="AE86" s="204"/>
      <c r="AF86" s="204"/>
      <c r="AG86" s="205"/>
      <c r="AH86" s="204"/>
      <c r="AI86" s="204"/>
      <c r="AJ86" s="204"/>
      <c r="AK86" s="204"/>
      <c r="AL86" s="205"/>
    </row>
    <row r="87" spans="1:38" s="20" customFormat="1" outlineLevel="1" x14ac:dyDescent="0.25">
      <c r="A87" s="315"/>
      <c r="B87" s="97" t="s">
        <v>174</v>
      </c>
      <c r="C87" s="87"/>
      <c r="D87" s="444">
        <v>0.02</v>
      </c>
      <c r="E87" s="444">
        <v>0.02</v>
      </c>
      <c r="F87" s="445">
        <v>0.05</v>
      </c>
      <c r="G87" s="444">
        <v>0.03</v>
      </c>
      <c r="H87" s="388"/>
      <c r="I87" s="444">
        <v>0.01</v>
      </c>
      <c r="J87" s="444">
        <v>-0.31</v>
      </c>
      <c r="K87" s="444">
        <v>-0.37</v>
      </c>
      <c r="L87" s="417">
        <v>-0.11</v>
      </c>
      <c r="M87" s="206"/>
      <c r="N87" s="484">
        <v>0</v>
      </c>
      <c r="O87" s="484">
        <v>0.05</v>
      </c>
      <c r="P87" s="484">
        <v>0.1</v>
      </c>
      <c r="Q87" s="484">
        <v>0.2</v>
      </c>
      <c r="R87" s="206"/>
      <c r="S87" s="484">
        <v>0.15</v>
      </c>
      <c r="T87" s="484">
        <v>0.05</v>
      </c>
      <c r="U87" s="484">
        <v>0.05</v>
      </c>
      <c r="V87" s="484">
        <v>0.05</v>
      </c>
      <c r="W87" s="206"/>
      <c r="X87" s="208">
        <v>0.03</v>
      </c>
      <c r="Y87" s="208">
        <f>AVERAGE(X87,V87,U87,T87)</f>
        <v>4.4999999999999998E-2</v>
      </c>
      <c r="Z87" s="208">
        <f>AVERAGE(Y87,X87,V87,U87)</f>
        <v>4.3749999999999997E-2</v>
      </c>
      <c r="AA87" s="208">
        <f>AVERAGE(Z87,Y87,X87,V87)</f>
        <v>4.2187500000000003E-2</v>
      </c>
      <c r="AB87" s="206"/>
      <c r="AC87" s="208">
        <v>0.04</v>
      </c>
      <c r="AD87" s="208">
        <v>0.04</v>
      </c>
      <c r="AE87" s="208">
        <v>0.04</v>
      </c>
      <c r="AF87" s="208">
        <v>0.04</v>
      </c>
      <c r="AG87" s="206"/>
      <c r="AH87" s="208">
        <v>0.04</v>
      </c>
      <c r="AI87" s="208">
        <v>0.04</v>
      </c>
      <c r="AJ87" s="208">
        <v>0.04</v>
      </c>
      <c r="AK87" s="208">
        <v>0.04</v>
      </c>
      <c r="AL87" s="206"/>
    </row>
    <row r="88" spans="1:38" ht="17.25" outlineLevel="1" x14ac:dyDescent="0.4">
      <c r="A88" s="300"/>
      <c r="B88" s="190" t="s">
        <v>206</v>
      </c>
      <c r="C88" s="189"/>
      <c r="D88" s="69">
        <v>348</v>
      </c>
      <c r="E88" s="69">
        <v>485</v>
      </c>
      <c r="F88" s="69">
        <v>432</v>
      </c>
      <c r="G88" s="69">
        <v>369</v>
      </c>
      <c r="H88" s="18"/>
      <c r="I88" s="69">
        <v>252</v>
      </c>
      <c r="J88" s="69">
        <v>272.5</v>
      </c>
      <c r="K88" s="69">
        <v>277.625</v>
      </c>
      <c r="L88" s="69">
        <f>AVERAGE(K88,J88,I88)</f>
        <v>267.375</v>
      </c>
      <c r="M88" s="18"/>
      <c r="N88" s="69">
        <f>AVERAGE(L88,K88,J88,I88)</f>
        <v>267.375</v>
      </c>
      <c r="O88" s="69">
        <f>AVERAGE(N88,L88,K88,J88)</f>
        <v>271.21875</v>
      </c>
      <c r="P88" s="69">
        <f>AVERAGE(O88,N88,L88,K88)</f>
        <v>270.8984375</v>
      </c>
      <c r="Q88" s="69">
        <f>AVERAGE(P88,O88,N88,L88)</f>
        <v>269.216796875</v>
      </c>
      <c r="R88" s="18"/>
      <c r="S88" s="69">
        <f>AVERAGE(Q88,P88,O88,N88)</f>
        <v>269.67724609375</v>
      </c>
      <c r="T88" s="69">
        <f>AVERAGE(S88,Q88,P88,O88)</f>
        <v>270.2528076171875</v>
      </c>
      <c r="U88" s="69">
        <f>AVERAGE(T88,S88,Q88,P88)</f>
        <v>270.01132202148438</v>
      </c>
      <c r="V88" s="69">
        <f>AVERAGE(U88,T88,S88,Q88)</f>
        <v>269.78954315185547</v>
      </c>
      <c r="W88" s="18"/>
      <c r="X88" s="69">
        <f>AVERAGE(V88,U88,T88,S88)</f>
        <v>269.93272972106934</v>
      </c>
      <c r="Y88" s="69">
        <f>AVERAGE(X88,V88,U88,T88)</f>
        <v>269.99660062789917</v>
      </c>
      <c r="Z88" s="69">
        <f>AVERAGE(Y88,X88,V88,U88)</f>
        <v>269.93254888057709</v>
      </c>
      <c r="AA88" s="69">
        <f>AVERAGE(Z88,Y88,X88,V88)</f>
        <v>269.91285559535027</v>
      </c>
      <c r="AB88" s="18"/>
      <c r="AC88" s="69">
        <f>AVERAGE(AA88,Z88,Y88,X88)</f>
        <v>269.94368370622396</v>
      </c>
      <c r="AD88" s="69">
        <f>AVERAGE(AC88,AA88,Z88,Y88)</f>
        <v>269.94642220251262</v>
      </c>
      <c r="AE88" s="69">
        <f>AVERAGE(AD88,AC88,AA88,Z88)</f>
        <v>269.93387759616598</v>
      </c>
      <c r="AF88" s="69">
        <f>AVERAGE(AE88,AD88,AC88,AA88)</f>
        <v>269.93420977506321</v>
      </c>
      <c r="AG88" s="18"/>
      <c r="AH88" s="69">
        <f>AVERAGE(AF88,AE88,AD88,AC88)</f>
        <v>269.93954831999145</v>
      </c>
      <c r="AI88" s="69">
        <f>AVERAGE(AH88,AF88,AE88,AD88)</f>
        <v>269.93851447343332</v>
      </c>
      <c r="AJ88" s="69">
        <f>AVERAGE(AI88,AH88,AF88,AE88)</f>
        <v>269.93653754116349</v>
      </c>
      <c r="AK88" s="69">
        <f>AVERAGE(AJ88,AI88,AH88,AF88)</f>
        <v>269.93720252741286</v>
      </c>
      <c r="AL88" s="18"/>
    </row>
    <row r="89" spans="1:38" s="20" customFormat="1" outlineLevel="1" x14ac:dyDescent="0.25">
      <c r="A89" s="315"/>
      <c r="B89" s="501" t="s">
        <v>331</v>
      </c>
      <c r="C89" s="502"/>
      <c r="D89" s="195">
        <v>1278.0999999999999</v>
      </c>
      <c r="E89" s="195">
        <v>1309.4000000000001</v>
      </c>
      <c r="F89" s="305">
        <v>1352.8</v>
      </c>
      <c r="G89" s="195">
        <v>1315.9</v>
      </c>
      <c r="H89" s="207"/>
      <c r="I89" s="195">
        <v>1309.7</v>
      </c>
      <c r="J89" s="195">
        <v>902.4</v>
      </c>
      <c r="K89" s="305">
        <v>875.5</v>
      </c>
      <c r="L89" s="195">
        <f t="shared" ref="L89" si="358">+L83*L84+L88</f>
        <v>1141.3317603640617</v>
      </c>
      <c r="M89" s="207"/>
      <c r="N89" s="195">
        <f>+N83*N84+N88</f>
        <v>1364.5253401505463</v>
      </c>
      <c r="O89" s="195">
        <f>+O83*O84+O88</f>
        <v>961.47590718750007</v>
      </c>
      <c r="P89" s="195">
        <f t="shared" ref="P89" si="359">+P83*P84+P88</f>
        <v>999.82676262500013</v>
      </c>
      <c r="Q89" s="195">
        <f t="shared" ref="Q89" si="360">+Q83*Q84+Q88</f>
        <v>1419.7972772259666</v>
      </c>
      <c r="R89" s="207"/>
      <c r="S89" s="195">
        <f>+S83*S84+S88</f>
        <v>1629.2726837021598</v>
      </c>
      <c r="T89" s="195">
        <f>+T83*T84+T88</f>
        <v>1053.1272462265626</v>
      </c>
      <c r="U89" s="195">
        <f t="shared" ref="U89" si="361">+U83*U84+U88</f>
        <v>1093.5173397308595</v>
      </c>
      <c r="V89" s="195">
        <f t="shared" ref="V89" si="362">+V83*V84+V88</f>
        <v>1553.0652944868357</v>
      </c>
      <c r="W89" s="207"/>
      <c r="X89" s="195">
        <f>+X83*X84+X88</f>
        <v>1750.7485220760877</v>
      </c>
      <c r="Y89" s="195">
        <f>+Y83*Y84+Y88</f>
        <v>1131.2948867754774</v>
      </c>
      <c r="Z89" s="195">
        <f t="shared" ref="Z89" si="363">+Z83*Z84+Z88</f>
        <v>1170.9810999003821</v>
      </c>
      <c r="AA89" s="195">
        <f t="shared" ref="AA89" si="364">+AA83*AA84+AA88</f>
        <v>1666.0797949475473</v>
      </c>
      <c r="AB89" s="207"/>
      <c r="AC89" s="195">
        <f>+AC83*AC84+AC88</f>
        <v>1876.9119407819153</v>
      </c>
      <c r="AD89" s="195">
        <f>+AD83*AD84+AD88</f>
        <v>1204.201449264119</v>
      </c>
      <c r="AE89" s="195">
        <f t="shared" ref="AE89:AF89" si="365">+AE83*AE84+AE88</f>
        <v>1246.8779498909817</v>
      </c>
      <c r="AF89" s="195">
        <f t="shared" si="365"/>
        <v>1783.0509386494314</v>
      </c>
      <c r="AG89" s="207"/>
      <c r="AH89" s="195">
        <f>+AH83*AH84+AH88</f>
        <v>2016.5828808885362</v>
      </c>
      <c r="AI89" s="195">
        <f>+AI83*AI84+AI88</f>
        <v>1288.2829114388292</v>
      </c>
      <c r="AJ89" s="195">
        <f t="shared" ref="AJ89:AK89" si="366">+AJ83*AJ84+AJ88</f>
        <v>1337.7680257322563</v>
      </c>
      <c r="AK89" s="195">
        <f t="shared" si="366"/>
        <v>1928.3082491247646</v>
      </c>
      <c r="AL89" s="207"/>
    </row>
    <row r="90" spans="1:38" s="20" customFormat="1" outlineLevel="1" x14ac:dyDescent="0.25">
      <c r="A90" s="315"/>
      <c r="B90" s="217" t="s">
        <v>180</v>
      </c>
      <c r="C90" s="87"/>
      <c r="D90" s="221">
        <f t="shared" ref="D90" si="367">+D89/D81</f>
        <v>0.21889022092824112</v>
      </c>
      <c r="E90" s="221">
        <f t="shared" ref="E90" si="368">+E89/E81</f>
        <v>0.22272495322333732</v>
      </c>
      <c r="F90" s="335">
        <f t="shared" ref="F90" si="369">+F89/F81</f>
        <v>0.23960325894438539</v>
      </c>
      <c r="G90" s="221">
        <f t="shared" ref="G90" si="370">+G89/G81</f>
        <v>0.22455631399317408</v>
      </c>
      <c r="H90" s="207"/>
      <c r="I90" s="221">
        <f t="shared" ref="I90" si="371">+I89/I81</f>
        <v>0.21615778181218023</v>
      </c>
      <c r="J90" s="221">
        <f t="shared" ref="J90" si="372">+J89/J81</f>
        <v>0.14704252892292652</v>
      </c>
      <c r="K90" s="221">
        <f t="shared" ref="K90" si="373">+K89/K81</f>
        <v>0.13999040614007036</v>
      </c>
      <c r="L90" s="221">
        <f t="shared" ref="L90" si="374">+L89/L81</f>
        <v>0.17752866081257765</v>
      </c>
      <c r="M90" s="207"/>
      <c r="N90" s="221">
        <f t="shared" ref="N90" si="375">+N89/N81</f>
        <v>0.2089945382371797</v>
      </c>
      <c r="O90" s="221">
        <f t="shared" ref="O90" si="376">+O89/O81</f>
        <v>0.14504086697654248</v>
      </c>
      <c r="P90" s="221">
        <f t="shared" ref="P90" si="377">+P89/P81</f>
        <v>0.14858474700921387</v>
      </c>
      <c r="Q90" s="221">
        <f t="shared" ref="Q90" si="378">+Q89/Q81</f>
        <v>0.20790705479952651</v>
      </c>
      <c r="R90" s="207"/>
      <c r="S90" s="221">
        <f t="shared" ref="S90" si="379">+S89/S81</f>
        <v>0.23598967029289686</v>
      </c>
      <c r="T90" s="221">
        <f t="shared" ref="T90" si="380">+T89/T81</f>
        <v>0.15089944780435058</v>
      </c>
      <c r="U90" s="221">
        <f t="shared" ref="U90" si="381">+U89/U81</f>
        <v>0.1550208874015962</v>
      </c>
      <c r="V90" s="221">
        <f t="shared" ref="V90" si="382">+V89/V81</f>
        <v>0.21785177366907499</v>
      </c>
      <c r="W90" s="207"/>
      <c r="X90" s="221">
        <f t="shared" ref="X90" si="383">+X89/X81</f>
        <v>0.2430245033420444</v>
      </c>
      <c r="Y90" s="221">
        <f t="shared" ref="Y90" si="384">+Y89/Y81</f>
        <v>0.15541899804581363</v>
      </c>
      <c r="Z90" s="221">
        <f t="shared" ref="Z90" si="385">+Z89/Z81</f>
        <v>0.15923050039439518</v>
      </c>
      <c r="AA90" s="221">
        <f t="shared" ref="AA90" si="386">+AA89/AA81</f>
        <v>0.22426703391405939</v>
      </c>
      <c r="AB90" s="207"/>
      <c r="AC90" s="221">
        <f t="shared" ref="AC90:AF90" si="387">+AC89/AC81</f>
        <v>0.24929100023667355</v>
      </c>
      <c r="AD90" s="221">
        <f t="shared" si="387"/>
        <v>0.15784525485176551</v>
      </c>
      <c r="AE90" s="221">
        <f t="shared" si="387"/>
        <v>0.16132461507193449</v>
      </c>
      <c r="AF90" s="221">
        <f t="shared" si="387"/>
        <v>0.22774951317530098</v>
      </c>
      <c r="AG90" s="207"/>
      <c r="AH90" s="221">
        <f t="shared" ref="AH90:AK90" si="388">+AH89/AH81</f>
        <v>0.25433003920904734</v>
      </c>
      <c r="AI90" s="221">
        <f t="shared" si="388"/>
        <v>0.16045371919776175</v>
      </c>
      <c r="AJ90" s="221">
        <f t="shared" si="388"/>
        <v>0.16456735462323241</v>
      </c>
      <c r="AK90" s="221">
        <f t="shared" si="388"/>
        <v>0.23433081165691635</v>
      </c>
      <c r="AL90" s="207"/>
    </row>
    <row r="91" spans="1:38" s="210" customFormat="1" outlineLevel="1" x14ac:dyDescent="0.25">
      <c r="A91" s="319"/>
      <c r="B91" s="217" t="s">
        <v>178</v>
      </c>
      <c r="C91" s="218"/>
      <c r="D91" s="213">
        <f>ROUND((+D89-D88-(D83*D84)),0)</f>
        <v>0</v>
      </c>
      <c r="E91" s="219">
        <f>ROUND((+E89-E88-(E83*E84)),0)</f>
        <v>0</v>
      </c>
      <c r="F91" s="322">
        <f>ROUND((+F89-F88-(F83*F84)),0)</f>
        <v>0</v>
      </c>
      <c r="G91" s="219">
        <f>ROUND((+G89-G88-(G83*G84)),0)</f>
        <v>0</v>
      </c>
      <c r="H91" s="220"/>
      <c r="I91" s="219">
        <f>ROUND((+I89-I88-(I83*I84)),0)</f>
        <v>0</v>
      </c>
      <c r="J91" s="219">
        <f>ROUND((+J89-J88-(J83*J84)),0)</f>
        <v>0</v>
      </c>
      <c r="K91" s="219">
        <f>ROUND((+K89-K88-(K83*K84)),0)</f>
        <v>0</v>
      </c>
      <c r="L91" s="219">
        <f>ROUND((+L89-L88-(L83*L84)),0)</f>
        <v>0</v>
      </c>
      <c r="M91" s="220"/>
      <c r="N91" s="219">
        <f>ROUND((+N89-N88-(N83*N84)),0)</f>
        <v>0</v>
      </c>
      <c r="O91" s="219">
        <f>ROUND((+O89-O88-(O83*O84)),0)</f>
        <v>0</v>
      </c>
      <c r="P91" s="219">
        <f>ROUND((+P89-P88-(P83*P84)),0)</f>
        <v>0</v>
      </c>
      <c r="Q91" s="219">
        <f>ROUND((+Q89-Q88-(Q83*Q84)),0)</f>
        <v>0</v>
      </c>
      <c r="R91" s="220"/>
      <c r="S91" s="219">
        <f>ROUND((+S89-S88-(S83*S84)),0)</f>
        <v>0</v>
      </c>
      <c r="T91" s="219">
        <f>ROUND((+T89-T88-(T83*T84)),0)</f>
        <v>0</v>
      </c>
      <c r="U91" s="219">
        <f>ROUND((+U89-U88-(U83*U84)),0)</f>
        <v>0</v>
      </c>
      <c r="V91" s="219">
        <f>ROUND((+V89-V88-(V83*V84)),0)</f>
        <v>0</v>
      </c>
      <c r="W91" s="220"/>
      <c r="X91" s="219">
        <f>ROUND((+X89-X88-(X83*X84)),0)</f>
        <v>0</v>
      </c>
      <c r="Y91" s="219">
        <f>ROUND((+Y89-Y88-(Y83*Y84)),0)</f>
        <v>0</v>
      </c>
      <c r="Z91" s="219">
        <f>ROUND((+Z89-Z88-(Z83*Z84)),0)</f>
        <v>0</v>
      </c>
      <c r="AA91" s="219">
        <f>ROUND((+AA89-AA88-(AA83*AA84)),0)</f>
        <v>0</v>
      </c>
      <c r="AB91" s="220"/>
      <c r="AC91" s="219">
        <f>ROUND((+AC89-AC88-(AC83*AC84)),0)</f>
        <v>0</v>
      </c>
      <c r="AD91" s="219">
        <f>ROUND((+AD89-AD88-(AD83*AD84)),0)</f>
        <v>0</v>
      </c>
      <c r="AE91" s="219">
        <f>ROUND((+AE89-AE88-(AE83*AE84)),0)</f>
        <v>0</v>
      </c>
      <c r="AF91" s="219">
        <f>ROUND((+AF89-AF88-(AF83*AF84)),0)</f>
        <v>0</v>
      </c>
      <c r="AG91" s="220"/>
      <c r="AH91" s="219">
        <f>ROUND((+AH89-AH88-(AH83*AH84)),0)</f>
        <v>0</v>
      </c>
      <c r="AI91" s="219">
        <f>ROUND((+AI89-AI88-(AI83*AI84)),0)</f>
        <v>0</v>
      </c>
      <c r="AJ91" s="219">
        <f>ROUND((+AJ89-AJ88-(AJ83*AJ84)),0)</f>
        <v>0</v>
      </c>
      <c r="AK91" s="219">
        <f>ROUND((+AK89-AK88-(AK83*AK84)),0)</f>
        <v>0</v>
      </c>
      <c r="AL91" s="220"/>
    </row>
    <row r="92" spans="1:38" s="20" customFormat="1" outlineLevel="1" x14ac:dyDescent="0.25">
      <c r="A92" s="315"/>
      <c r="B92" s="547" t="s">
        <v>332</v>
      </c>
      <c r="C92" s="548"/>
      <c r="D92" s="222">
        <v>6373</v>
      </c>
      <c r="E92" s="222">
        <v>6586</v>
      </c>
      <c r="F92" s="333">
        <v>7127</v>
      </c>
      <c r="G92" s="222">
        <v>7329</v>
      </c>
      <c r="H92" s="223"/>
      <c r="I92" s="222">
        <v>7533</v>
      </c>
      <c r="J92" s="222">
        <v>7642</v>
      </c>
      <c r="K92" s="222">
        <v>7691</v>
      </c>
      <c r="L92" s="222">
        <f t="shared" ref="L92" si="389">+K92+L93</f>
        <v>7791</v>
      </c>
      <c r="M92" s="223"/>
      <c r="N92" s="222">
        <f>+L92+N93</f>
        <v>7891</v>
      </c>
      <c r="O92" s="222">
        <f>+N92+O93</f>
        <v>7991</v>
      </c>
      <c r="P92" s="222">
        <f t="shared" ref="P92" si="390">+O92+P93</f>
        <v>8091</v>
      </c>
      <c r="Q92" s="222">
        <f t="shared" ref="Q92" si="391">+P92+Q93</f>
        <v>8191</v>
      </c>
      <c r="R92" s="223"/>
      <c r="S92" s="222">
        <f>+Q92+S93</f>
        <v>8266</v>
      </c>
      <c r="T92" s="222">
        <f>+S92+T93</f>
        <v>8341</v>
      </c>
      <c r="U92" s="222">
        <f t="shared" ref="U92" si="392">+T92+U93</f>
        <v>8416</v>
      </c>
      <c r="V92" s="222">
        <f t="shared" ref="V92" si="393">+U92+V93</f>
        <v>8491</v>
      </c>
      <c r="W92" s="223"/>
      <c r="X92" s="222">
        <f>+V92+X93</f>
        <v>8591</v>
      </c>
      <c r="Y92" s="222">
        <f>+X92+Y93</f>
        <v>8691</v>
      </c>
      <c r="Z92" s="222">
        <f t="shared" ref="Z92" si="394">+Y92+Z93</f>
        <v>8791</v>
      </c>
      <c r="AA92" s="222">
        <f t="shared" ref="AA92" si="395">+Z92+AA93</f>
        <v>8891</v>
      </c>
      <c r="AB92" s="223"/>
      <c r="AC92" s="222">
        <f>+AA92+AC93</f>
        <v>8991</v>
      </c>
      <c r="AD92" s="222">
        <f>+AC92+AD93</f>
        <v>9091</v>
      </c>
      <c r="AE92" s="222">
        <f t="shared" ref="AE92" si="396">+AD92+AE93</f>
        <v>9191</v>
      </c>
      <c r="AF92" s="222">
        <f t="shared" ref="AF92" si="397">+AE92+AF93</f>
        <v>9291</v>
      </c>
      <c r="AG92" s="223"/>
      <c r="AH92" s="222">
        <f>+AF92+AH93</f>
        <v>9391</v>
      </c>
      <c r="AI92" s="222">
        <f>+AH92+AI93</f>
        <v>9491</v>
      </c>
      <c r="AJ92" s="222">
        <f t="shared" ref="AJ92" si="398">+AI92+AJ93</f>
        <v>9591</v>
      </c>
      <c r="AK92" s="222">
        <f t="shared" ref="AK92" si="399">+AJ92+AK93</f>
        <v>9691</v>
      </c>
      <c r="AL92" s="223"/>
    </row>
    <row r="93" spans="1:38" outlineLevel="1" x14ac:dyDescent="0.25">
      <c r="A93" s="300"/>
      <c r="B93" s="51" t="s">
        <v>179</v>
      </c>
      <c r="C93" s="85"/>
      <c r="D93" s="38">
        <f>+D92-6201</f>
        <v>172</v>
      </c>
      <c r="E93" s="38">
        <f>+E92-D92</f>
        <v>213</v>
      </c>
      <c r="F93" s="302">
        <f t="shared" ref="F93:G93" si="400">+F92-E92</f>
        <v>541</v>
      </c>
      <c r="G93" s="302">
        <f t="shared" si="400"/>
        <v>202</v>
      </c>
      <c r="H93" s="340">
        <f>+SUM(D93:G93)</f>
        <v>1128</v>
      </c>
      <c r="I93" s="302">
        <f>+I92-G92</f>
        <v>204</v>
      </c>
      <c r="J93" s="302">
        <f t="shared" ref="J93:K93" si="401">+J92-I92</f>
        <v>109</v>
      </c>
      <c r="K93" s="302">
        <f t="shared" si="401"/>
        <v>49</v>
      </c>
      <c r="L93" s="485">
        <v>100</v>
      </c>
      <c r="M93" s="422">
        <f>+SUM(I93:L93)</f>
        <v>462</v>
      </c>
      <c r="N93" s="71">
        <v>100</v>
      </c>
      <c r="O93" s="71">
        <v>100</v>
      </c>
      <c r="P93" s="71">
        <v>100</v>
      </c>
      <c r="Q93" s="71">
        <v>100</v>
      </c>
      <c r="R93" s="56">
        <f>+SUM(N93:Q93)</f>
        <v>400</v>
      </c>
      <c r="S93" s="71">
        <v>75</v>
      </c>
      <c r="T93" s="71">
        <v>75</v>
      </c>
      <c r="U93" s="71">
        <v>75</v>
      </c>
      <c r="V93" s="71">
        <v>75</v>
      </c>
      <c r="W93" s="56">
        <f>+SUM(S93:V93)</f>
        <v>300</v>
      </c>
      <c r="X93" s="71">
        <v>100</v>
      </c>
      <c r="Y93" s="71">
        <v>100</v>
      </c>
      <c r="Z93" s="71">
        <v>100</v>
      </c>
      <c r="AA93" s="71">
        <v>100</v>
      </c>
      <c r="AB93" s="56">
        <f>+SUM(X93:AA93)</f>
        <v>400</v>
      </c>
      <c r="AC93" s="71">
        <f>AVERAGE(X93,Y93,Z93,AA93)</f>
        <v>100</v>
      </c>
      <c r="AD93" s="71">
        <f>AVERAGE(Y93,Z93,AA93,AC93)</f>
        <v>100</v>
      </c>
      <c r="AE93" s="71">
        <f>AVERAGE(Z93,AA93,AC93,AD93)</f>
        <v>100</v>
      </c>
      <c r="AF93" s="71">
        <f>AVERAGE(AA93,AC93,AD93,AE93)</f>
        <v>100</v>
      </c>
      <c r="AG93" s="56">
        <f>+SUM(AC93:AF93)</f>
        <v>400</v>
      </c>
      <c r="AH93" s="71">
        <f>AVERAGE(AC93,AD93,AE93,AF93)</f>
        <v>100</v>
      </c>
      <c r="AI93" s="71">
        <f>AVERAGE(AD93,AE93,AF93,AH93)</f>
        <v>100</v>
      </c>
      <c r="AJ93" s="71">
        <f>AVERAGE(AE93,AF93,AH93,AI93)</f>
        <v>100</v>
      </c>
      <c r="AK93" s="71">
        <f>AVERAGE(AF93,AH93,AI93,AJ93)</f>
        <v>100</v>
      </c>
      <c r="AL93" s="56">
        <f>+SUM(AH93:AK93)</f>
        <v>400</v>
      </c>
    </row>
    <row r="94" spans="1:38" outlineLevel="1" x14ac:dyDescent="0.25">
      <c r="A94" s="300"/>
      <c r="B94" s="51" t="s">
        <v>182</v>
      </c>
      <c r="C94" s="85"/>
      <c r="D94" s="38">
        <f>AVERAGE(D92,6201)</f>
        <v>6287</v>
      </c>
      <c r="E94" s="38">
        <f>AVERAGE(E92,D92)</f>
        <v>6479.5</v>
      </c>
      <c r="F94" s="38">
        <f t="shared" ref="F94:G94" si="402">AVERAGE(F92,E92)</f>
        <v>6856.5</v>
      </c>
      <c r="G94" s="38">
        <f t="shared" si="402"/>
        <v>7228</v>
      </c>
      <c r="H94" s="56"/>
      <c r="I94" s="38">
        <f>AVERAGE(I92,G92)</f>
        <v>7431</v>
      </c>
      <c r="J94" s="38">
        <f>AVERAGE(J92,I92)</f>
        <v>7587.5</v>
      </c>
      <c r="K94" s="38">
        <f t="shared" ref="K94:L94" si="403">AVERAGE(K92,J92)</f>
        <v>7666.5</v>
      </c>
      <c r="L94" s="38">
        <f t="shared" si="403"/>
        <v>7741</v>
      </c>
      <c r="M94" s="18"/>
      <c r="N94" s="38">
        <f>AVERAGE(N92,L92)</f>
        <v>7841</v>
      </c>
      <c r="O94" s="38">
        <f>AVERAGE(O92,N92)</f>
        <v>7941</v>
      </c>
      <c r="P94" s="38">
        <f t="shared" ref="P94:Q94" si="404">AVERAGE(P92,O92)</f>
        <v>8041</v>
      </c>
      <c r="Q94" s="38">
        <f t="shared" si="404"/>
        <v>8141</v>
      </c>
      <c r="R94" s="18"/>
      <c r="S94" s="38">
        <f>AVERAGE(S92,Q92)</f>
        <v>8228.5</v>
      </c>
      <c r="T94" s="38">
        <f>AVERAGE(T92,S92)</f>
        <v>8303.5</v>
      </c>
      <c r="U94" s="38">
        <f t="shared" ref="U94:V94" si="405">AVERAGE(U92,T92)</f>
        <v>8378.5</v>
      </c>
      <c r="V94" s="38">
        <f t="shared" si="405"/>
        <v>8453.5</v>
      </c>
      <c r="W94" s="18"/>
      <c r="X94" s="38">
        <f>AVERAGE(X92,V92)</f>
        <v>8541</v>
      </c>
      <c r="Y94" s="38">
        <f>AVERAGE(Y92,X92)</f>
        <v>8641</v>
      </c>
      <c r="Z94" s="38">
        <f t="shared" ref="Z94:AA94" si="406">AVERAGE(Z92,Y92)</f>
        <v>8741</v>
      </c>
      <c r="AA94" s="38">
        <f t="shared" si="406"/>
        <v>8841</v>
      </c>
      <c r="AB94" s="18"/>
      <c r="AC94" s="38">
        <f>AVERAGE(AC92,AA92)</f>
        <v>8941</v>
      </c>
      <c r="AD94" s="38">
        <f>AVERAGE(AD92,AC92)</f>
        <v>9041</v>
      </c>
      <c r="AE94" s="38">
        <f t="shared" ref="AE94" si="407">AVERAGE(AE92,AD92)</f>
        <v>9141</v>
      </c>
      <c r="AF94" s="38">
        <f t="shared" ref="AF94" si="408">AVERAGE(AF92,AE92)</f>
        <v>9241</v>
      </c>
      <c r="AG94" s="18"/>
      <c r="AH94" s="38">
        <f>AVERAGE(AH92,AF92)</f>
        <v>9341</v>
      </c>
      <c r="AI94" s="38">
        <f>AVERAGE(AI92,AH92)</f>
        <v>9441</v>
      </c>
      <c r="AJ94" s="38">
        <f t="shared" ref="AJ94" si="409">AVERAGE(AJ92,AI92)</f>
        <v>9541</v>
      </c>
      <c r="AK94" s="38">
        <f t="shared" ref="AK94" si="410">AVERAGE(AK92,AJ92)</f>
        <v>9641</v>
      </c>
      <c r="AL94" s="18"/>
    </row>
    <row r="95" spans="1:38" outlineLevel="1" x14ac:dyDescent="0.25">
      <c r="A95" s="300"/>
      <c r="B95" s="51" t="s">
        <v>181</v>
      </c>
      <c r="C95" s="85"/>
      <c r="D95" s="127">
        <f>+D96/D94</f>
        <v>3.5390488309209482E-2</v>
      </c>
      <c r="E95" s="326">
        <f>+E96/E94</f>
        <v>3.3197005941816495E-2</v>
      </c>
      <c r="F95" s="326">
        <f>+F96/F94</f>
        <v>3.335521038430686E-2</v>
      </c>
      <c r="G95" s="326">
        <f>+G96/G94</f>
        <v>3.468456004427227E-2</v>
      </c>
      <c r="H95" s="56"/>
      <c r="I95" s="326">
        <f t="shared" ref="I95:K95" si="411">+I96/I94</f>
        <v>3.4275333064190554E-2</v>
      </c>
      <c r="J95" s="326">
        <f t="shared" si="411"/>
        <v>2.97331136738056E-2</v>
      </c>
      <c r="K95" s="326">
        <f t="shared" si="411"/>
        <v>8.4784451835909474E-3</v>
      </c>
      <c r="L95" s="209">
        <v>2.5000000000000001E-2</v>
      </c>
      <c r="M95" s="18"/>
      <c r="N95" s="209">
        <v>3.2000000000000001E-2</v>
      </c>
      <c r="O95" s="209">
        <v>3.3000000000000002E-2</v>
      </c>
      <c r="P95" s="209">
        <v>3.4000000000000002E-2</v>
      </c>
      <c r="Q95" s="209">
        <v>3.5000000000000003E-2</v>
      </c>
      <c r="R95" s="18"/>
      <c r="S95" s="209">
        <v>3.5000000000000003E-2</v>
      </c>
      <c r="T95" s="209">
        <v>3.2000000000000001E-2</v>
      </c>
      <c r="U95" s="209">
        <v>3.2000000000000001E-2</v>
      </c>
      <c r="V95" s="209">
        <f>+Q95*(1+2%)</f>
        <v>3.5700000000000003E-2</v>
      </c>
      <c r="W95" s="18"/>
      <c r="X95" s="209">
        <f>+S95*(1+2%)</f>
        <v>3.5700000000000003E-2</v>
      </c>
      <c r="Y95" s="209">
        <f>+T95*(1+2%)</f>
        <v>3.2640000000000002E-2</v>
      </c>
      <c r="Z95" s="209">
        <f>+U95*(1+2%)</f>
        <v>3.2640000000000002E-2</v>
      </c>
      <c r="AA95" s="209">
        <f>+V95*(1+2%)</f>
        <v>3.6414000000000002E-2</v>
      </c>
      <c r="AB95" s="18"/>
      <c r="AC95" s="209">
        <f>+X95*(1+5%)</f>
        <v>3.7485000000000004E-2</v>
      </c>
      <c r="AD95" s="209">
        <f>+Y95*(1+5%)</f>
        <v>3.4272000000000004E-2</v>
      </c>
      <c r="AE95" s="209">
        <f>+Z95*(1+5%)</f>
        <v>3.4272000000000004E-2</v>
      </c>
      <c r="AF95" s="209">
        <f>+AA95*(1+5%)</f>
        <v>3.8234700000000003E-2</v>
      </c>
      <c r="AG95" s="18"/>
      <c r="AH95" s="209">
        <f>+AC95*(1+5%)</f>
        <v>3.9359250000000005E-2</v>
      </c>
      <c r="AI95" s="209">
        <f>+AD95*(1+5%)</f>
        <v>3.5985600000000006E-2</v>
      </c>
      <c r="AJ95" s="209">
        <f>+AE95*(1+5%)</f>
        <v>3.5985600000000006E-2</v>
      </c>
      <c r="AK95" s="209">
        <f>+AF95*(1+5%)</f>
        <v>4.0146435000000008E-2</v>
      </c>
      <c r="AL95" s="18"/>
    </row>
    <row r="96" spans="1:38" s="20" customFormat="1" outlineLevel="1" x14ac:dyDescent="0.25">
      <c r="A96" s="315"/>
      <c r="B96" s="557" t="s">
        <v>333</v>
      </c>
      <c r="C96" s="558"/>
      <c r="D96" s="327">
        <v>222.5</v>
      </c>
      <c r="E96" s="327">
        <v>215.1</v>
      </c>
      <c r="F96" s="327">
        <v>228.7</v>
      </c>
      <c r="G96" s="327">
        <v>250.7</v>
      </c>
      <c r="H96" s="446"/>
      <c r="I96" s="327">
        <v>254.7</v>
      </c>
      <c r="J96" s="327">
        <v>225.6</v>
      </c>
      <c r="K96" s="327">
        <v>65</v>
      </c>
      <c r="L96" s="227">
        <f t="shared" ref="L96" si="412">+L94*L95</f>
        <v>193.52500000000001</v>
      </c>
      <c r="M96" s="228"/>
      <c r="N96" s="227">
        <f>+N94*N95</f>
        <v>250.91200000000001</v>
      </c>
      <c r="O96" s="227">
        <f>+O94*O95</f>
        <v>262.053</v>
      </c>
      <c r="P96" s="227">
        <f t="shared" ref="P96" si="413">+P94*P95</f>
        <v>273.39400000000001</v>
      </c>
      <c r="Q96" s="227">
        <f t="shared" ref="Q96" si="414">+Q94*Q95</f>
        <v>284.935</v>
      </c>
      <c r="R96" s="228"/>
      <c r="S96" s="227">
        <f>+S94*S95</f>
        <v>287.9975</v>
      </c>
      <c r="T96" s="227">
        <f>+T94*T95</f>
        <v>265.71199999999999</v>
      </c>
      <c r="U96" s="227">
        <f t="shared" ref="U96" si="415">+U94*U95</f>
        <v>268.11200000000002</v>
      </c>
      <c r="V96" s="227">
        <f t="shared" ref="V96" si="416">+V94*V95</f>
        <v>301.78995000000003</v>
      </c>
      <c r="W96" s="228"/>
      <c r="X96" s="227">
        <f>+X94*X95</f>
        <v>304.91370000000001</v>
      </c>
      <c r="Y96" s="227">
        <f>+Y94*Y95</f>
        <v>282.04223999999999</v>
      </c>
      <c r="Z96" s="227">
        <f t="shared" ref="Z96" si="417">+Z94*Z95</f>
        <v>285.30624</v>
      </c>
      <c r="AA96" s="227">
        <f t="shared" ref="AA96" si="418">+AA94*AA95</f>
        <v>321.93617399999999</v>
      </c>
      <c r="AB96" s="228"/>
      <c r="AC96" s="227">
        <f>+AC94*AC95</f>
        <v>335.15338500000001</v>
      </c>
      <c r="AD96" s="227">
        <f>+AD94*AD95</f>
        <v>309.85315200000002</v>
      </c>
      <c r="AE96" s="227">
        <f t="shared" ref="AE96:AF96" si="419">+AE94*AE95</f>
        <v>313.28035200000005</v>
      </c>
      <c r="AF96" s="227">
        <f t="shared" si="419"/>
        <v>353.32686270000005</v>
      </c>
      <c r="AG96" s="228"/>
      <c r="AH96" s="227">
        <f>+AH94*AH95</f>
        <v>367.65475425000005</v>
      </c>
      <c r="AI96" s="227">
        <f>+AI94*AI95</f>
        <v>339.74004960000008</v>
      </c>
      <c r="AJ96" s="227">
        <f t="shared" ref="AJ96:AK96" si="420">+AJ94*AJ95</f>
        <v>343.33860960000004</v>
      </c>
      <c r="AK96" s="227">
        <f t="shared" si="420"/>
        <v>387.0517798350001</v>
      </c>
      <c r="AL96" s="228"/>
    </row>
    <row r="97" spans="1:38" s="20" customFormat="1" outlineLevel="1" x14ac:dyDescent="0.25">
      <c r="A97" s="315"/>
      <c r="B97" s="501" t="s">
        <v>334</v>
      </c>
      <c r="C97" s="502"/>
      <c r="D97" s="305">
        <v>3.4</v>
      </c>
      <c r="E97" s="305">
        <v>4.9000000000000004</v>
      </c>
      <c r="F97" s="305">
        <v>3.8</v>
      </c>
      <c r="G97" s="305">
        <v>5.5</v>
      </c>
      <c r="H97" s="447"/>
      <c r="I97" s="305">
        <v>6.7</v>
      </c>
      <c r="J97" s="305">
        <v>6.6</v>
      </c>
      <c r="K97" s="305">
        <v>9.1</v>
      </c>
      <c r="L97" s="195">
        <f t="shared" ref="L97" si="421">+G97*(1+L98)</f>
        <v>9.625</v>
      </c>
      <c r="M97" s="202"/>
      <c r="N97" s="195">
        <f>+I97*(1+N98)</f>
        <v>11.725</v>
      </c>
      <c r="O97" s="195">
        <f>+J97*(1+O98)</f>
        <v>11.549999999999999</v>
      </c>
      <c r="P97" s="195">
        <f>+K97*(1+P98)</f>
        <v>15.924999999999999</v>
      </c>
      <c r="Q97" s="195">
        <f t="shared" ref="Q97" si="422">+L97*(1+Q98)</f>
        <v>14.4375</v>
      </c>
      <c r="R97" s="202"/>
      <c r="S97" s="195">
        <f>+N97*(1+S98)</f>
        <v>17.587499999999999</v>
      </c>
      <c r="T97" s="195">
        <f>+O97*(1+T98)</f>
        <v>17.324999999999999</v>
      </c>
      <c r="U97" s="195">
        <f>+P97*(1+U98)</f>
        <v>19.90625</v>
      </c>
      <c r="V97" s="195">
        <f t="shared" ref="V97" si="423">+Q97*(1+V98)</f>
        <v>18.046875</v>
      </c>
      <c r="W97" s="202"/>
      <c r="X97" s="195">
        <f>+S97*(1+X98)</f>
        <v>21.984375</v>
      </c>
      <c r="Y97" s="195">
        <f>+T97*(1+Y98)</f>
        <v>21.65625</v>
      </c>
      <c r="Z97" s="195">
        <f>+U97*(1+Z98)</f>
        <v>24.8828125</v>
      </c>
      <c r="AA97" s="195">
        <f t="shared" ref="AA97" si="424">+V97*(1+AA98)</f>
        <v>22.55859375</v>
      </c>
      <c r="AB97" s="202"/>
      <c r="AC97" s="195">
        <f>+X97*(1+AC98)</f>
        <v>27.48046875</v>
      </c>
      <c r="AD97" s="195">
        <f>+Y97*(1+AD98)</f>
        <v>27.0703125</v>
      </c>
      <c r="AE97" s="195">
        <f>+Z97*(1+AE98)</f>
        <v>31.103515625</v>
      </c>
      <c r="AF97" s="195">
        <f t="shared" ref="AF97" si="425">+AA97*(1+AF98)</f>
        <v>28.1982421875</v>
      </c>
      <c r="AG97" s="202"/>
      <c r="AH97" s="195">
        <f>+AC97*(1+AH98)</f>
        <v>34.3505859375</v>
      </c>
      <c r="AI97" s="195">
        <f>+AD97*(1+AI98)</f>
        <v>33.837890625</v>
      </c>
      <c r="AJ97" s="195">
        <f>+AE97*(1+AJ98)</f>
        <v>38.87939453125</v>
      </c>
      <c r="AK97" s="195">
        <f t="shared" ref="AK97" si="426">+AF97*(1+AK98)</f>
        <v>35.247802734375</v>
      </c>
      <c r="AL97" s="202"/>
    </row>
    <row r="98" spans="1:38" outlineLevel="1" x14ac:dyDescent="0.25">
      <c r="A98" s="300"/>
      <c r="B98" s="224" t="s">
        <v>186</v>
      </c>
      <c r="C98" s="225"/>
      <c r="D98" s="338"/>
      <c r="E98" s="338"/>
      <c r="F98" s="338"/>
      <c r="G98" s="338"/>
      <c r="H98" s="448"/>
      <c r="I98" s="338">
        <f>I97/D97-1</f>
        <v>0.97058823529411775</v>
      </c>
      <c r="J98" s="338">
        <f t="shared" ref="J98:K98" si="427">J97/E97-1</f>
        <v>0.3469387755102038</v>
      </c>
      <c r="K98" s="338">
        <f t="shared" si="427"/>
        <v>1.3947368421052633</v>
      </c>
      <c r="L98" s="226">
        <v>0.75</v>
      </c>
      <c r="M98" s="203"/>
      <c r="N98" s="226">
        <v>0.75</v>
      </c>
      <c r="O98" s="226">
        <v>0.75</v>
      </c>
      <c r="P98" s="226">
        <v>0.75</v>
      </c>
      <c r="Q98" s="226">
        <v>0.5</v>
      </c>
      <c r="R98" s="203"/>
      <c r="S98" s="226">
        <v>0.5</v>
      </c>
      <c r="T98" s="226">
        <v>0.5</v>
      </c>
      <c r="U98" s="226">
        <v>0.25</v>
      </c>
      <c r="V98" s="226">
        <v>0.25</v>
      </c>
      <c r="W98" s="203"/>
      <c r="X98" s="226">
        <v>0.25</v>
      </c>
      <c r="Y98" s="226">
        <v>0.25</v>
      </c>
      <c r="Z98" s="226">
        <v>0.25</v>
      </c>
      <c r="AA98" s="226">
        <v>0.25</v>
      </c>
      <c r="AB98" s="203"/>
      <c r="AC98" s="226">
        <v>0.25</v>
      </c>
      <c r="AD98" s="226">
        <v>0.25</v>
      </c>
      <c r="AE98" s="226">
        <v>0.25</v>
      </c>
      <c r="AF98" s="226">
        <v>0.25</v>
      </c>
      <c r="AG98" s="203"/>
      <c r="AH98" s="226">
        <v>0.25</v>
      </c>
      <c r="AI98" s="226">
        <v>0.25</v>
      </c>
      <c r="AJ98" s="226">
        <v>0.25</v>
      </c>
      <c r="AK98" s="226">
        <v>0.25</v>
      </c>
      <c r="AL98" s="203"/>
    </row>
    <row r="99" spans="1:38" outlineLevel="1" x14ac:dyDescent="0.25">
      <c r="A99" s="300"/>
      <c r="B99" s="51" t="s">
        <v>335</v>
      </c>
      <c r="C99" s="189"/>
      <c r="D99" s="302">
        <f t="shared" ref="D99:G99" si="428">+D92+D81</f>
        <v>12212</v>
      </c>
      <c r="E99" s="302">
        <f t="shared" si="428"/>
        <v>12465</v>
      </c>
      <c r="F99" s="302">
        <f t="shared" si="428"/>
        <v>12773</v>
      </c>
      <c r="G99" s="302">
        <f t="shared" si="428"/>
        <v>13189</v>
      </c>
      <c r="H99" s="340"/>
      <c r="I99" s="302">
        <f>+I92+I81</f>
        <v>13592</v>
      </c>
      <c r="J99" s="302">
        <f t="shared" ref="J99:L99" si="429">+J92+J81</f>
        <v>13779</v>
      </c>
      <c r="K99" s="302">
        <f t="shared" si="429"/>
        <v>13945</v>
      </c>
      <c r="L99" s="38">
        <f t="shared" si="429"/>
        <v>14220</v>
      </c>
      <c r="M99" s="18"/>
      <c r="N99" s="38">
        <f>+N92+N81</f>
        <v>14420</v>
      </c>
      <c r="O99" s="38">
        <f t="shared" ref="O99:Q99" si="430">+O92+O81</f>
        <v>14620</v>
      </c>
      <c r="P99" s="38">
        <f t="shared" si="430"/>
        <v>14820</v>
      </c>
      <c r="Q99" s="38">
        <f t="shared" si="430"/>
        <v>15020</v>
      </c>
      <c r="R99" s="18"/>
      <c r="S99" s="38">
        <f>+S92+S81</f>
        <v>15170</v>
      </c>
      <c r="T99" s="38">
        <f t="shared" ref="T99:V99" si="431">+T92+T81</f>
        <v>15320</v>
      </c>
      <c r="U99" s="38">
        <f t="shared" si="431"/>
        <v>15470</v>
      </c>
      <c r="V99" s="38">
        <f t="shared" si="431"/>
        <v>15620</v>
      </c>
      <c r="W99" s="18"/>
      <c r="X99" s="38">
        <f>+X92+X81</f>
        <v>15795</v>
      </c>
      <c r="Y99" s="38">
        <f t="shared" ref="Y99:AA99" si="432">+Y92+Y81</f>
        <v>15970</v>
      </c>
      <c r="Z99" s="38">
        <f t="shared" si="432"/>
        <v>16145</v>
      </c>
      <c r="AA99" s="38">
        <f t="shared" si="432"/>
        <v>16320</v>
      </c>
      <c r="AB99" s="18"/>
      <c r="AC99" s="38">
        <f>+AC92+AC81</f>
        <v>16520</v>
      </c>
      <c r="AD99" s="38">
        <f t="shared" ref="AD99:AF99" si="433">+AD92+AD81</f>
        <v>16720</v>
      </c>
      <c r="AE99" s="38">
        <f t="shared" si="433"/>
        <v>16920</v>
      </c>
      <c r="AF99" s="38">
        <f t="shared" si="433"/>
        <v>17120</v>
      </c>
      <c r="AG99" s="18"/>
      <c r="AH99" s="38">
        <f>+AH92+AH81</f>
        <v>17320</v>
      </c>
      <c r="AI99" s="38">
        <f t="shared" ref="AI99:AK99" si="434">+AI92+AI81</f>
        <v>17520</v>
      </c>
      <c r="AJ99" s="38">
        <f t="shared" si="434"/>
        <v>17720</v>
      </c>
      <c r="AK99" s="38">
        <f t="shared" si="434"/>
        <v>17920</v>
      </c>
      <c r="AL99" s="18"/>
    </row>
    <row r="100" spans="1:38" outlineLevel="1" x14ac:dyDescent="0.25">
      <c r="A100" s="300"/>
      <c r="B100" s="51" t="s">
        <v>336</v>
      </c>
      <c r="C100" s="189"/>
      <c r="D100" s="302">
        <f t="shared" ref="D100:G100" si="435">+D93+D82</f>
        <v>360</v>
      </c>
      <c r="E100" s="302">
        <f t="shared" si="435"/>
        <v>253</v>
      </c>
      <c r="F100" s="302">
        <f t="shared" si="435"/>
        <v>308</v>
      </c>
      <c r="G100" s="302">
        <f t="shared" si="435"/>
        <v>416</v>
      </c>
      <c r="H100" s="340">
        <f>+H93+H82</f>
        <v>1337</v>
      </c>
      <c r="I100" s="302">
        <f>+I93+I82</f>
        <v>403</v>
      </c>
      <c r="J100" s="302">
        <f t="shared" ref="J100:L100" si="436">+J93+J82</f>
        <v>187</v>
      </c>
      <c r="K100" s="302">
        <f t="shared" si="436"/>
        <v>166</v>
      </c>
      <c r="L100" s="38">
        <f t="shared" si="436"/>
        <v>275</v>
      </c>
      <c r="M100" s="56">
        <f>+M93+M82</f>
        <v>1031</v>
      </c>
      <c r="N100" s="38">
        <f>+N93+N82</f>
        <v>200</v>
      </c>
      <c r="O100" s="38">
        <f t="shared" ref="O100:Q100" si="437">+O93+O82</f>
        <v>200</v>
      </c>
      <c r="P100" s="38">
        <f t="shared" si="437"/>
        <v>200</v>
      </c>
      <c r="Q100" s="38">
        <f t="shared" si="437"/>
        <v>200</v>
      </c>
      <c r="R100" s="56">
        <f>+R93+R82</f>
        <v>800</v>
      </c>
      <c r="S100" s="38">
        <f>+S93+S82</f>
        <v>150</v>
      </c>
      <c r="T100" s="38">
        <f t="shared" ref="T100:V100" si="438">+T93+T82</f>
        <v>150</v>
      </c>
      <c r="U100" s="38">
        <f t="shared" si="438"/>
        <v>150</v>
      </c>
      <c r="V100" s="38">
        <f t="shared" si="438"/>
        <v>150</v>
      </c>
      <c r="W100" s="56">
        <f>+W93+W82</f>
        <v>600</v>
      </c>
      <c r="X100" s="38">
        <f>+X93+X82</f>
        <v>175</v>
      </c>
      <c r="Y100" s="38">
        <f t="shared" ref="Y100:AA100" si="439">+Y93+Y82</f>
        <v>175</v>
      </c>
      <c r="Z100" s="38">
        <f t="shared" si="439"/>
        <v>175</v>
      </c>
      <c r="AA100" s="38">
        <f t="shared" si="439"/>
        <v>175</v>
      </c>
      <c r="AB100" s="56">
        <f>+AB93+AB82</f>
        <v>700</v>
      </c>
      <c r="AC100" s="38">
        <f>+AC93+AC82</f>
        <v>200</v>
      </c>
      <c r="AD100" s="38">
        <f t="shared" ref="AD100:AF100" si="440">+AD93+AD82</f>
        <v>200</v>
      </c>
      <c r="AE100" s="38">
        <f t="shared" si="440"/>
        <v>200</v>
      </c>
      <c r="AF100" s="38">
        <f t="shared" si="440"/>
        <v>200</v>
      </c>
      <c r="AG100" s="56">
        <f>+AG93+AG82</f>
        <v>800</v>
      </c>
      <c r="AH100" s="38">
        <f>+AH93+AH82</f>
        <v>200</v>
      </c>
      <c r="AI100" s="38">
        <f t="shared" ref="AI100:AK100" si="441">+AI93+AI82</f>
        <v>200</v>
      </c>
      <c r="AJ100" s="38">
        <f t="shared" si="441"/>
        <v>200</v>
      </c>
      <c r="AK100" s="38">
        <f t="shared" si="441"/>
        <v>200</v>
      </c>
      <c r="AL100" s="56">
        <f>+AL93+AL82</f>
        <v>800</v>
      </c>
    </row>
    <row r="101" spans="1:38" outlineLevel="1" x14ac:dyDescent="0.25">
      <c r="A101" s="300"/>
      <c r="B101" s="555" t="s">
        <v>337</v>
      </c>
      <c r="C101" s="556"/>
      <c r="D101" s="327">
        <f t="shared" ref="D101:G101" si="442">+D97+D96+D89</f>
        <v>1504</v>
      </c>
      <c r="E101" s="327">
        <f>+E97+E96+E89</f>
        <v>1529.4</v>
      </c>
      <c r="F101" s="327">
        <f t="shared" si="442"/>
        <v>1585.3</v>
      </c>
      <c r="G101" s="327">
        <f t="shared" si="442"/>
        <v>1572.1000000000001</v>
      </c>
      <c r="H101" s="382">
        <f>SUM(D101:G101)</f>
        <v>6190.8</v>
      </c>
      <c r="I101" s="327">
        <f>+I97+I96+I89</f>
        <v>1571.1</v>
      </c>
      <c r="J101" s="327">
        <f t="shared" ref="J101:L101" si="443">+J97+J96+J89</f>
        <v>1134.5999999999999</v>
      </c>
      <c r="K101" s="327">
        <f t="shared" si="443"/>
        <v>949.6</v>
      </c>
      <c r="L101" s="227">
        <f t="shared" si="443"/>
        <v>1344.4817603640618</v>
      </c>
      <c r="M101" s="229">
        <f>SUM(I101:L101)</f>
        <v>4999.7817603640615</v>
      </c>
      <c r="N101" s="227">
        <f>+N97+N96+N89</f>
        <v>1627.1623401505462</v>
      </c>
      <c r="O101" s="227">
        <f t="shared" ref="O101:Q101" si="444">+O97+O96+O89</f>
        <v>1235.0789071875001</v>
      </c>
      <c r="P101" s="227">
        <f t="shared" si="444"/>
        <v>1289.1457626250001</v>
      </c>
      <c r="Q101" s="227">
        <f t="shared" si="444"/>
        <v>1719.1697772259665</v>
      </c>
      <c r="R101" s="229">
        <f>SUM(N101:Q101)</f>
        <v>5870.5567871890134</v>
      </c>
      <c r="S101" s="227">
        <f>+S97+S96+S89</f>
        <v>1934.8576837021599</v>
      </c>
      <c r="T101" s="227">
        <f t="shared" ref="T101:V101" si="445">+T97+T96+T89</f>
        <v>1336.1642462265627</v>
      </c>
      <c r="U101" s="227">
        <f t="shared" si="445"/>
        <v>1381.5355897308596</v>
      </c>
      <c r="V101" s="227">
        <f t="shared" si="445"/>
        <v>1872.9021194868358</v>
      </c>
      <c r="W101" s="229">
        <f>SUM(S101:V101)</f>
        <v>6525.4596391464174</v>
      </c>
      <c r="X101" s="227">
        <f>+X97+X96+X89</f>
        <v>2077.6465970760878</v>
      </c>
      <c r="Y101" s="227">
        <f t="shared" ref="Y101:AA101" si="446">+Y97+Y96+Y89</f>
        <v>1434.9933767754774</v>
      </c>
      <c r="Z101" s="227">
        <f t="shared" si="446"/>
        <v>1481.170152400382</v>
      </c>
      <c r="AA101" s="227">
        <f t="shared" si="446"/>
        <v>2010.5745626975472</v>
      </c>
      <c r="AB101" s="229">
        <f>SUM(X101:AA101)</f>
        <v>7004.3846889494944</v>
      </c>
      <c r="AC101" s="227">
        <f>+AC97+AC96+AC89</f>
        <v>2239.5457945319154</v>
      </c>
      <c r="AD101" s="227">
        <f t="shared" ref="AD101:AF101" si="447">+AD97+AD96+AD89</f>
        <v>1541.1249137641189</v>
      </c>
      <c r="AE101" s="227">
        <f t="shared" si="447"/>
        <v>1591.2618175159816</v>
      </c>
      <c r="AF101" s="227">
        <f t="shared" si="447"/>
        <v>2164.5760435369316</v>
      </c>
      <c r="AG101" s="229">
        <f>SUM(AC101:AF101)</f>
        <v>7536.5085693489473</v>
      </c>
      <c r="AH101" s="227">
        <f>+AH97+AH96+AH89</f>
        <v>2418.5882210760365</v>
      </c>
      <c r="AI101" s="227">
        <f t="shared" ref="AI101:AK101" si="448">+AI97+AI96+AI89</f>
        <v>1661.8608516638292</v>
      </c>
      <c r="AJ101" s="227">
        <f t="shared" si="448"/>
        <v>1719.9860298635062</v>
      </c>
      <c r="AK101" s="227">
        <f t="shared" si="448"/>
        <v>2350.6078316941398</v>
      </c>
      <c r="AL101" s="229">
        <f>SUM(AH101:AK101)</f>
        <v>8151.0429342975112</v>
      </c>
    </row>
    <row r="102" spans="1:38" outlineLevel="1" x14ac:dyDescent="0.25">
      <c r="A102" s="300"/>
      <c r="B102" s="549" t="s">
        <v>299</v>
      </c>
      <c r="C102" s="550"/>
      <c r="D102" s="307">
        <v>462.7</v>
      </c>
      <c r="E102" s="307">
        <v>470.2</v>
      </c>
      <c r="F102" s="307">
        <v>476.1</v>
      </c>
      <c r="G102" s="307">
        <v>486.1</v>
      </c>
      <c r="H102" s="383"/>
      <c r="I102" s="307">
        <v>488.5</v>
      </c>
      <c r="J102" s="307">
        <v>387.7</v>
      </c>
      <c r="K102" s="307">
        <v>337.7</v>
      </c>
      <c r="L102" s="193">
        <f>+(L101*L113)*(K102/K112)</f>
        <v>451.82149403672071</v>
      </c>
      <c r="M102" s="240"/>
      <c r="N102" s="193">
        <f>+(N101*N113)*(L102/L112)</f>
        <v>534.93071935311582</v>
      </c>
      <c r="O102" s="193">
        <f>+(O101*O113)*(N102/N112)</f>
        <v>383.47563538522007</v>
      </c>
      <c r="P102" s="193">
        <f>+(P101*P113)*(O102/O112)</f>
        <v>400.26267759079855</v>
      </c>
      <c r="Q102" s="193">
        <f>+(Q101*Q113)*(P102/P112)</f>
        <v>482.9133957474545</v>
      </c>
      <c r="R102" s="240"/>
      <c r="S102" s="193">
        <f>+(S101*S113)*(Q102/Q112)</f>
        <v>551.27433535235389</v>
      </c>
      <c r="T102" s="193">
        <f>+(T101*T113)*(S102/S112)</f>
        <v>385.57696711850866</v>
      </c>
      <c r="U102" s="193">
        <f>+(U101*U113)*(T102/T112)</f>
        <v>388.57687167347285</v>
      </c>
      <c r="V102" s="193">
        <f>+(V101*V113)*(U102/U112)</f>
        <v>519.9395075938728</v>
      </c>
      <c r="W102" s="240"/>
      <c r="X102" s="193">
        <f>+(X101*X113)*(V102/V112)</f>
        <v>576.77896639564324</v>
      </c>
      <c r="Y102" s="193">
        <f>+(Y101*Y113)*(X102/X112)</f>
        <v>408.85437036551804</v>
      </c>
      <c r="Z102" s="193">
        <f>+(Z101*Z113)*(Y102/Y112)</f>
        <v>416.60053386535316</v>
      </c>
      <c r="AA102" s="193">
        <f>+(AA101*AA113)*(Z102/Z112)</f>
        <v>558.15898611730768</v>
      </c>
      <c r="AB102" s="240"/>
      <c r="AC102" s="193">
        <f>+(AC101*AC113)*(AA102/AA112)</f>
        <v>621.7240749142295</v>
      </c>
      <c r="AD102" s="193">
        <f>+(AD101*AD113)*(AC102/AC112)</f>
        <v>439.09307629524227</v>
      </c>
      <c r="AE102" s="193">
        <f>+(AE101*AE113)*(AD102/AD112)</f>
        <v>447.56540740601741</v>
      </c>
      <c r="AF102" s="193">
        <f>+(AF101*AF113)*(AE102/AE112)</f>
        <v>600.91159624212048</v>
      </c>
      <c r="AG102" s="240"/>
      <c r="AH102" s="193">
        <f>+(AH101*AH113)*(AF102/AF112)</f>
        <v>671.42834409476131</v>
      </c>
      <c r="AI102" s="193">
        <f>+(AI101*AI113)*(AH102/AH112)</f>
        <v>473.49282800796379</v>
      </c>
      <c r="AJ102" s="193">
        <f>+(AJ101*AJ113)*(AI102/AI112)</f>
        <v>483.77095441793148</v>
      </c>
      <c r="AK102" s="193">
        <f>+(AK101*AK113)*(AJ102/AJ112)</f>
        <v>652.55619385609998</v>
      </c>
      <c r="AL102" s="240"/>
    </row>
    <row r="103" spans="1:38" outlineLevel="1" x14ac:dyDescent="0.25">
      <c r="A103" s="300"/>
      <c r="B103" s="51" t="s">
        <v>158</v>
      </c>
      <c r="C103" s="40"/>
      <c r="D103" s="307">
        <v>603.70000000000005</v>
      </c>
      <c r="E103" s="307">
        <v>618.4</v>
      </c>
      <c r="F103" s="307">
        <v>609.20000000000005</v>
      </c>
      <c r="G103" s="307">
        <v>597.29999999999995</v>
      </c>
      <c r="H103" s="320"/>
      <c r="I103" s="307">
        <v>607.1</v>
      </c>
      <c r="J103" s="307">
        <v>562.79999999999995</v>
      </c>
      <c r="K103" s="307">
        <v>483.4</v>
      </c>
      <c r="L103" s="193">
        <f>+(L101*L113)*(K103/K112)</f>
        <v>646.75898791042573</v>
      </c>
      <c r="M103" s="194"/>
      <c r="N103" s="193">
        <f>+(N101*N113)*(L103/L112)</f>
        <v>765.72552483060747</v>
      </c>
      <c r="O103" s="193">
        <f>+(O101*O113)*(N103/N112)</f>
        <v>548.92544313063468</v>
      </c>
      <c r="P103" s="193">
        <f>+(P101*P113)*(O103/O112)</f>
        <v>572.95522163870874</v>
      </c>
      <c r="Q103" s="193">
        <f>+(Q101*Q113)*(P103/P112)</f>
        <v>691.26542938797581</v>
      </c>
      <c r="R103" s="194"/>
      <c r="S103" s="193">
        <f>+(S101*S113)*(Q103/Q112)</f>
        <v>789.12056176881197</v>
      </c>
      <c r="T103" s="193">
        <f>+(T101*T113)*(S103/S112)</f>
        <v>551.93339030230095</v>
      </c>
      <c r="U103" s="193">
        <f>+(U101*U113)*(T103/T112)</f>
        <v>556.22759777008218</v>
      </c>
      <c r="V103" s="193">
        <f>+(V101*V113)*(U103/U112)</f>
        <v>744.26638427858472</v>
      </c>
      <c r="W103" s="194"/>
      <c r="X103" s="193">
        <f>+(X101*X113)*(V103/V112)</f>
        <v>825.62911565192167</v>
      </c>
      <c r="Y103" s="193">
        <f>+(Y101*Y113)*(X103/X112)</f>
        <v>585.25378334229026</v>
      </c>
      <c r="Z103" s="193">
        <f>+(Z101*Z113)*(Y103/Y112)</f>
        <v>596.34201383035747</v>
      </c>
      <c r="AA103" s="193">
        <f>+(AA101*AA113)*(Z103/Z112)</f>
        <v>798.97558154902742</v>
      </c>
      <c r="AB103" s="194"/>
      <c r="AC103" s="193">
        <f>+(AC101*AC113)*(AA103/AA112)</f>
        <v>889.96570273479006</v>
      </c>
      <c r="AD103" s="193">
        <f>+(AD101*AD113)*(AC103/AC112)</f>
        <v>628.53891939923051</v>
      </c>
      <c r="AE103" s="193">
        <f>+(AE101*AE113)*(AD103/AD112)</f>
        <v>640.66662108400612</v>
      </c>
      <c r="AF103" s="193">
        <f>+(AF101*AF113)*(AE103/AE112)</f>
        <v>860.1737211236042</v>
      </c>
      <c r="AG103" s="194"/>
      <c r="AH103" s="193">
        <f>+(AH101*AH113)*(AF103/AF112)</f>
        <v>961.11478097544489</v>
      </c>
      <c r="AI103" s="193">
        <f>+(AI101*AI113)*(AH103/AH112)</f>
        <v>677.78037624829665</v>
      </c>
      <c r="AJ103" s="193">
        <f>+(AJ101*AJ113)*(AI103/AI112)</f>
        <v>692.49298005812295</v>
      </c>
      <c r="AK103" s="193">
        <f>+(AK101*AK113)*(AJ103/AJ112)</f>
        <v>934.10027867941608</v>
      </c>
      <c r="AL103" s="194"/>
    </row>
    <row r="104" spans="1:38" outlineLevel="1" x14ac:dyDescent="0.25">
      <c r="A104" s="300"/>
      <c r="B104" s="51" t="s">
        <v>159</v>
      </c>
      <c r="C104" s="40"/>
      <c r="D104" s="307">
        <v>31.3</v>
      </c>
      <c r="E104" s="307">
        <v>26.3</v>
      </c>
      <c r="F104" s="307">
        <v>26.7</v>
      </c>
      <c r="G104" s="307">
        <v>31.9</v>
      </c>
      <c r="H104" s="320"/>
      <c r="I104" s="307">
        <v>35.9</v>
      </c>
      <c r="J104" s="307">
        <v>31.8</v>
      </c>
      <c r="K104" s="307">
        <v>37.5</v>
      </c>
      <c r="L104" s="193">
        <f>+(L101*L113)*(K104/K112)</f>
        <v>50.172656281838989</v>
      </c>
      <c r="M104" s="194"/>
      <c r="N104" s="193">
        <f>+(N101*N113)*(L104/L112)</f>
        <v>59.401545678832818</v>
      </c>
      <c r="O104" s="193">
        <f>+(O101*O113)*(N104/N112)</f>
        <v>42.583169460899477</v>
      </c>
      <c r="P104" s="193">
        <f>+(P101*P113)*(O104/O112)</f>
        <v>44.44729170759534</v>
      </c>
      <c r="Q104" s="193">
        <f>+(Q101*Q113)*(P104/P112)</f>
        <v>53.625266036510347</v>
      </c>
      <c r="R104" s="194"/>
      <c r="S104" s="193">
        <f>+(S101*S113)*(Q104/Q112)</f>
        <v>61.216427526542113</v>
      </c>
      <c r="T104" s="193">
        <f>+(T101*T113)*(S104/S112)</f>
        <v>42.816512487249263</v>
      </c>
      <c r="U104" s="193">
        <f>+(U101*U113)*(T104/T112)</f>
        <v>43.149637807981151</v>
      </c>
      <c r="V104" s="193">
        <f>+(V101*V113)*(U104/U112)</f>
        <v>57.736841974445461</v>
      </c>
      <c r="W104" s="194"/>
      <c r="X104" s="193">
        <f>+(X101*X113)*(V104/V112)</f>
        <v>64.048597097532209</v>
      </c>
      <c r="Y104" s="193">
        <f>+(Y101*Y113)*(X104/X112)</f>
        <v>45.401358864989426</v>
      </c>
      <c r="Z104" s="193">
        <f>+(Z101*Z113)*(Y104/Y112)</f>
        <v>46.261533964911891</v>
      </c>
      <c r="AA104" s="193">
        <f>+(AA101*AA113)*(Z104/Z112)</f>
        <v>61.980935680778927</v>
      </c>
      <c r="AB104" s="194"/>
      <c r="AC104" s="193">
        <f>+(AC101*AC113)*(AA104/AA112)</f>
        <v>69.039540447982276</v>
      </c>
      <c r="AD104" s="193">
        <f>+(AD101*AD113)*(AC104/AC112)</f>
        <v>48.759225232666836</v>
      </c>
      <c r="AE104" s="193">
        <f>+(AE101*AE113)*(AD104/AD112)</f>
        <v>49.700037837505647</v>
      </c>
      <c r="AF104" s="193">
        <f>+(AF101*AF113)*(AE104/AE112)</f>
        <v>66.728412375124449</v>
      </c>
      <c r="AG104" s="194"/>
      <c r="AH104" s="193">
        <f>+(AH101*AH113)*(AF104/AF112)</f>
        <v>74.558966252749656</v>
      </c>
      <c r="AI104" s="193">
        <f>+(AI101*AI113)*(AH104/AH112)</f>
        <v>52.579156204615487</v>
      </c>
      <c r="AJ104" s="193">
        <f>+(AJ101*AJ113)*(AI104/AI112)</f>
        <v>53.720493901902387</v>
      </c>
      <c r="AK104" s="193">
        <f>+(AK101*AK113)*(AJ104/AJ112)</f>
        <v>72.463302545465666</v>
      </c>
      <c r="AL104" s="194"/>
    </row>
    <row r="105" spans="1:38" outlineLevel="1" x14ac:dyDescent="0.25">
      <c r="A105" s="300"/>
      <c r="B105" s="51" t="s">
        <v>160</v>
      </c>
      <c r="C105" s="40"/>
      <c r="D105" s="336">
        <v>127</v>
      </c>
      <c r="E105" s="336">
        <v>130.4</v>
      </c>
      <c r="F105" s="336">
        <v>127.7</v>
      </c>
      <c r="G105" s="336">
        <v>126.5</v>
      </c>
      <c r="H105" s="384"/>
      <c r="I105" s="336">
        <v>126.6</v>
      </c>
      <c r="J105" s="336">
        <v>130</v>
      </c>
      <c r="K105" s="336">
        <v>128.5</v>
      </c>
      <c r="L105" s="230">
        <f>(K105/(K72+K105+K119+K133))*L242</f>
        <v>131.16796993891367</v>
      </c>
      <c r="M105" s="18"/>
      <c r="N105" s="230">
        <f>(L105/(L72+L105+L119+L133))*N242</f>
        <v>131.34708149574487</v>
      </c>
      <c r="O105" s="230">
        <f>(N105/(N72+N105+N119+N133))*O242</f>
        <v>133.92690600701815</v>
      </c>
      <c r="P105" s="230">
        <f>(O105/(O72+O105+O119+O133))*P242</f>
        <v>134.59166599537025</v>
      </c>
      <c r="Q105" s="230">
        <f>(P105/(P72+P105+P119+P133))*Q242</f>
        <v>133.30354404082988</v>
      </c>
      <c r="R105" s="18"/>
      <c r="S105" s="230">
        <f>(Q105/(Q72+Q105+Q119+Q133))*S242</f>
        <v>136.29032533468549</v>
      </c>
      <c r="T105" s="230">
        <f>(S105/(S72+S105+S119+S133))*T242</f>
        <v>139.16971780201138</v>
      </c>
      <c r="U105" s="230">
        <f>(T105/(T72+T105+T119+T133))*U242</f>
        <v>139.6238904200365</v>
      </c>
      <c r="V105" s="230">
        <f>(U105/(U72+U105+U119+U133))*V242</f>
        <v>138.2684332196259</v>
      </c>
      <c r="W105" s="18"/>
      <c r="X105" s="230">
        <f>(V105/(V72+V105+V119+V133))*X242</f>
        <v>141.10068027170354</v>
      </c>
      <c r="Y105" s="230">
        <f>(X105/(X72+X105+X119+X133))*Y242</f>
        <v>142.33930342885944</v>
      </c>
      <c r="Z105" s="230">
        <f>(Y105/(Y72+Y105+Y119+Y133))*Z242</f>
        <v>141.61190553824696</v>
      </c>
      <c r="AA105" s="230">
        <f>(Z105/(Z72+Z105+Z119+Z133))*AA242</f>
        <v>139.3564685295627</v>
      </c>
      <c r="AB105" s="18"/>
      <c r="AC105" s="230">
        <f>(AA105/(AA72+AA105+AA119+AA133))*AC242</f>
        <v>140.80438140259369</v>
      </c>
      <c r="AD105" s="230">
        <f>(AC105/(AC72+AC105+AC119+AC133))*AD242</f>
        <v>142.60289883517837</v>
      </c>
      <c r="AE105" s="230">
        <f>(AD105/(AD72+AD105+AD119+AD133))*AE242</f>
        <v>142.3088611093188</v>
      </c>
      <c r="AF105" s="230">
        <f>(AE105/(AE72+AE105+AE119+AE133))*AF242</f>
        <v>140.38340557412246</v>
      </c>
      <c r="AG105" s="18"/>
      <c r="AH105" s="230">
        <f>(AF105/(AF72+AF105+AF119+AF133))*AH242</f>
        <v>142.35966660072015</v>
      </c>
      <c r="AI105" s="230">
        <f>(AH105/(AH72+AH105+AH119+AH133))*AI242</f>
        <v>144.71169190276112</v>
      </c>
      <c r="AJ105" s="230">
        <f>(AI105/(AI72+AI105+AI119+AI133))*AJ242</f>
        <v>144.81072153319494</v>
      </c>
      <c r="AK105" s="230">
        <f>(AJ105/(AJ72+AJ105+AJ119+AJ133))*AK242</f>
        <v>143.16439560106065</v>
      </c>
      <c r="AL105" s="18"/>
    </row>
    <row r="106" spans="1:38" outlineLevel="1" x14ac:dyDescent="0.25">
      <c r="A106" s="300"/>
      <c r="B106" s="51" t="s">
        <v>161</v>
      </c>
      <c r="C106" s="40"/>
      <c r="D106" s="307">
        <v>69.3</v>
      </c>
      <c r="E106" s="307">
        <v>80.2</v>
      </c>
      <c r="F106" s="307">
        <v>86</v>
      </c>
      <c r="G106" s="307">
        <v>82.4</v>
      </c>
      <c r="H106" s="320"/>
      <c r="I106" s="307">
        <v>67.2</v>
      </c>
      <c r="J106" s="307">
        <v>63.7</v>
      </c>
      <c r="K106" s="307">
        <v>66.099999999999994</v>
      </c>
      <c r="L106" s="193">
        <f t="shared" ref="L106" si="449">+(L101*L113)*(K106/K112)</f>
        <v>88.437668806121522</v>
      </c>
      <c r="M106" s="194"/>
      <c r="N106" s="193">
        <f>+(N101*N113)*(L106/L112)</f>
        <v>104.70512451655597</v>
      </c>
      <c r="O106" s="193">
        <f>+(O101*O113)*(N106/N112)</f>
        <v>75.059933369745465</v>
      </c>
      <c r="P106" s="193">
        <f t="shared" ref="P106:Q106" si="450">+(P101*P113)*(O106/O112)</f>
        <v>78.345759516588032</v>
      </c>
      <c r="Q106" s="193">
        <f t="shared" si="450"/>
        <v>94.523468933688875</v>
      </c>
      <c r="R106" s="194"/>
      <c r="S106" s="193">
        <f>+(S101*S113)*(Q106/Q112)</f>
        <v>107.90415625345153</v>
      </c>
      <c r="T106" s="193">
        <f>+(T101*T113)*(S106/S112)</f>
        <v>75.471239344191332</v>
      </c>
      <c r="U106" s="193">
        <f t="shared" ref="U106:V106" si="451">+(U101*U113)*(T106/T112)</f>
        <v>76.058428242868075</v>
      </c>
      <c r="V106" s="193">
        <f t="shared" si="451"/>
        <v>101.77080678695583</v>
      </c>
      <c r="W106" s="194"/>
      <c r="X106" s="193">
        <f>+(X101*X113)*(V106/V112)</f>
        <v>112.89632715058339</v>
      </c>
      <c r="Y106" s="193">
        <f>+(Y101*Y113)*(X106/X112)</f>
        <v>80.027461892687995</v>
      </c>
      <c r="Z106" s="193">
        <f t="shared" ref="Z106:AA106" si="452">+(Z101*Z113)*(Y106/Y112)</f>
        <v>81.543663868817987</v>
      </c>
      <c r="AA106" s="193">
        <f t="shared" si="452"/>
        <v>109.2517292933196</v>
      </c>
      <c r="AB106" s="194"/>
      <c r="AC106" s="193">
        <f>+(AC101*AC113)*(AA106/AA112)</f>
        <v>121.69369662964336</v>
      </c>
      <c r="AD106" s="193">
        <f>+(AD101*AD113)*(AC106/AC112)</f>
        <v>85.946261010114014</v>
      </c>
      <c r="AE106" s="193">
        <f t="shared" ref="AE106" si="453">+(AE101*AE113)*(AD106/AD112)</f>
        <v>87.60460002824324</v>
      </c>
      <c r="AF106" s="193">
        <f t="shared" ref="AF106" si="454">+(AF101*AF113)*(AE106/AE112)</f>
        <v>117.61994821321927</v>
      </c>
      <c r="AG106" s="194"/>
      <c r="AH106" s="193">
        <f>+(AH101*AH113)*(AF106/AF112)</f>
        <v>131.42260451484663</v>
      </c>
      <c r="AI106" s="193">
        <f>+(AI101*AI113)*(AH106/AH112)</f>
        <v>92.679526003335482</v>
      </c>
      <c r="AJ106" s="193">
        <f t="shared" ref="AJ106" si="455">+(AJ101*AJ113)*(AI106/AI112)</f>
        <v>94.691323917753195</v>
      </c>
      <c r="AK106" s="193">
        <f t="shared" ref="AK106" si="456">+(AK101*AK113)*(AJ106/AJ112)</f>
        <v>127.72864795347405</v>
      </c>
      <c r="AL106" s="194"/>
    </row>
    <row r="107" spans="1:38" ht="17.25" outlineLevel="1" x14ac:dyDescent="0.4">
      <c r="A107" s="300"/>
      <c r="B107" s="51" t="s">
        <v>169</v>
      </c>
      <c r="C107" s="40"/>
      <c r="D107" s="337">
        <v>6.4</v>
      </c>
      <c r="E107" s="337">
        <v>24.2</v>
      </c>
      <c r="F107" s="337">
        <v>16.600000000000001</v>
      </c>
      <c r="G107" s="337">
        <v>12</v>
      </c>
      <c r="H107" s="385"/>
      <c r="I107" s="337">
        <v>0.8</v>
      </c>
      <c r="J107" s="337">
        <v>-1.2</v>
      </c>
      <c r="K107" s="337">
        <v>-0.2</v>
      </c>
      <c r="L107" s="231">
        <f>+(L101*L113)*(K107/K112)</f>
        <v>-0.26758750016980798</v>
      </c>
      <c r="M107" s="241"/>
      <c r="N107" s="231">
        <f>+(N101*N113)*(L107/L112)</f>
        <v>-0.31680824362044174</v>
      </c>
      <c r="O107" s="231">
        <f>+(O101*O113)*(N107/N112)</f>
        <v>-0.22711023712479722</v>
      </c>
      <c r="P107" s="231">
        <f t="shared" ref="P107" si="457">+(P101*P113)*(O107/O112)</f>
        <v>-0.23705222244050844</v>
      </c>
      <c r="Q107" s="231">
        <f>+(Q101*Q113)*(P107/P112)</f>
        <v>-0.28600141886138847</v>
      </c>
      <c r="R107" s="241"/>
      <c r="S107" s="231">
        <f>+(S101*S113)*(Q107/Q112)</f>
        <v>-0.32648761347489125</v>
      </c>
      <c r="T107" s="231">
        <f>+(T101*T113)*(S107/S112)</f>
        <v>-0.22835473326532937</v>
      </c>
      <c r="U107" s="231">
        <f t="shared" ref="U107" si="458">+(U101*U113)*(T107/T112)</f>
        <v>-0.23013140164256612</v>
      </c>
      <c r="V107" s="231">
        <f>+(V101*V113)*(U107/U112)</f>
        <v>-0.3079298238637091</v>
      </c>
      <c r="W107" s="241"/>
      <c r="X107" s="231">
        <f>+(X101*X113)*(V107/V112)</f>
        <v>-0.34159251785350508</v>
      </c>
      <c r="Y107" s="231">
        <f>+(Y101*Y113)*(X107/X112)</f>
        <v>-0.24214058061327692</v>
      </c>
      <c r="Z107" s="231">
        <f t="shared" ref="Z107" si="459">+(Z101*Z113)*(Y107/Y112)</f>
        <v>-0.24672818114619674</v>
      </c>
      <c r="AA107" s="231">
        <f>+(AA101*AA113)*(Z107/Z112)</f>
        <v>-0.33056499029748759</v>
      </c>
      <c r="AB107" s="241"/>
      <c r="AC107" s="231">
        <f>+(AC101*AC113)*(AA107/AA112)</f>
        <v>-0.36821088238923877</v>
      </c>
      <c r="AD107" s="231">
        <f>+(AD101*AD113)*(AC107/AC112)</f>
        <v>-0.26004920124088976</v>
      </c>
      <c r="AE107" s="231">
        <f t="shared" ref="AE107" si="460">+(AE101*AE113)*(AD107/AD112)</f>
        <v>-0.26506686846669675</v>
      </c>
      <c r="AF107" s="231">
        <f>+(AF101*AF113)*(AE107/AE112)</f>
        <v>-0.35588486600066366</v>
      </c>
      <c r="AG107" s="241"/>
      <c r="AH107" s="231">
        <f>+(AH101*AH113)*(AF107/AF112)</f>
        <v>-0.39764782001466475</v>
      </c>
      <c r="AI107" s="231">
        <f>+(AI101*AI113)*(AH107/AH112)</f>
        <v>-0.28042216642461587</v>
      </c>
      <c r="AJ107" s="231">
        <f t="shared" ref="AJ107" si="461">+(AJ101*AJ113)*(AI107/AI112)</f>
        <v>-0.28650930081014603</v>
      </c>
      <c r="AK107" s="231">
        <f>+(AK101*AK113)*(AJ107/AJ112)</f>
        <v>-0.38647094690915024</v>
      </c>
      <c r="AL107" s="241"/>
    </row>
    <row r="108" spans="1:38" outlineLevel="1" x14ac:dyDescent="0.25">
      <c r="A108" s="300"/>
      <c r="B108" s="191" t="s">
        <v>338</v>
      </c>
      <c r="C108" s="43"/>
      <c r="D108" s="305">
        <f t="shared" ref="D108:E108" si="462">SUM(D102:D107)</f>
        <v>1300.4000000000001</v>
      </c>
      <c r="E108" s="305">
        <f t="shared" si="462"/>
        <v>1349.7</v>
      </c>
      <c r="F108" s="305">
        <f t="shared" ref="F108" si="463">SUM(F102:F107)</f>
        <v>1342.3000000000002</v>
      </c>
      <c r="G108" s="305">
        <f t="shared" ref="G108" si="464">SUM(G102:G107)</f>
        <v>1336.2000000000003</v>
      </c>
      <c r="H108" s="384"/>
      <c r="I108" s="305">
        <f t="shared" ref="I108" si="465">SUM(I102:I107)</f>
        <v>1326.1</v>
      </c>
      <c r="J108" s="305">
        <f t="shared" ref="J108" si="466">SUM(J102:J107)</f>
        <v>1174.8</v>
      </c>
      <c r="K108" s="305">
        <f t="shared" ref="K108" si="467">SUM(K102:K107)</f>
        <v>1052.9999999999998</v>
      </c>
      <c r="L108" s="195">
        <f t="shared" ref="L108" si="468">SUM(L102:L107)</f>
        <v>1368.0911894738508</v>
      </c>
      <c r="M108" s="18"/>
      <c r="N108" s="195">
        <f t="shared" ref="N108" si="469">SUM(N102:N107)</f>
        <v>1595.7931876312366</v>
      </c>
      <c r="O108" s="195">
        <f t="shared" ref="O108" si="470">SUM(O102:O107)</f>
        <v>1183.7439771163931</v>
      </c>
      <c r="P108" s="195">
        <f t="shared" ref="P108" si="471">SUM(P102:P107)</f>
        <v>1230.3655642266206</v>
      </c>
      <c r="Q108" s="195">
        <f t="shared" ref="Q108" si="472">SUM(Q102:Q107)</f>
        <v>1455.345102727598</v>
      </c>
      <c r="R108" s="18"/>
      <c r="S108" s="195">
        <f t="shared" ref="S108" si="473">SUM(S102:S107)</f>
        <v>1645.4793186223699</v>
      </c>
      <c r="T108" s="195">
        <f t="shared" ref="T108" si="474">SUM(T102:T107)</f>
        <v>1194.7394723209964</v>
      </c>
      <c r="U108" s="195">
        <f t="shared" ref="U108" si="475">SUM(U102:U107)</f>
        <v>1203.4062945127982</v>
      </c>
      <c r="V108" s="195">
        <f t="shared" ref="V108" si="476">SUM(V102:V107)</f>
        <v>1561.6740440296207</v>
      </c>
      <c r="W108" s="18"/>
      <c r="X108" s="195">
        <f t="shared" ref="X108" si="477">SUM(X102:X107)</f>
        <v>1720.1120940495305</v>
      </c>
      <c r="Y108" s="195">
        <f t="shared" ref="Y108" si="478">SUM(Y102:Y107)</f>
        <v>1261.6341373137318</v>
      </c>
      <c r="Z108" s="195">
        <f t="shared" ref="Z108" si="479">SUM(Z102:Z107)</f>
        <v>1282.1129228865411</v>
      </c>
      <c r="AA108" s="195">
        <f t="shared" ref="AA108" si="480">SUM(AA102:AA107)</f>
        <v>1667.3931361796988</v>
      </c>
      <c r="AB108" s="18"/>
      <c r="AC108" s="195">
        <f t="shared" ref="AC108:AF108" si="481">SUM(AC102:AC107)</f>
        <v>1842.8591852468496</v>
      </c>
      <c r="AD108" s="195">
        <f t="shared" si="481"/>
        <v>1344.6803315711913</v>
      </c>
      <c r="AE108" s="195">
        <f t="shared" si="481"/>
        <v>1367.5804605966248</v>
      </c>
      <c r="AF108" s="195">
        <f t="shared" si="481"/>
        <v>1785.4611986621901</v>
      </c>
      <c r="AG108" s="18"/>
      <c r="AH108" s="195">
        <f t="shared" ref="AH108:AK108" si="482">SUM(AH102:AH107)</f>
        <v>1980.4867146185079</v>
      </c>
      <c r="AI108" s="195">
        <f t="shared" si="482"/>
        <v>1440.9631562005479</v>
      </c>
      <c r="AJ108" s="195">
        <f t="shared" si="482"/>
        <v>1469.1999645280946</v>
      </c>
      <c r="AK108" s="195">
        <f t="shared" si="482"/>
        <v>1929.6263476886074</v>
      </c>
      <c r="AL108" s="18"/>
    </row>
    <row r="109" spans="1:38" ht="17.25" outlineLevel="1" x14ac:dyDescent="0.4">
      <c r="A109" s="300"/>
      <c r="B109" s="51" t="s">
        <v>162</v>
      </c>
      <c r="C109" s="40"/>
      <c r="D109" s="337">
        <v>26.4</v>
      </c>
      <c r="E109" s="306">
        <v>22.1</v>
      </c>
      <c r="F109" s="306">
        <v>27.2</v>
      </c>
      <c r="G109" s="306">
        <v>26.8</v>
      </c>
      <c r="H109" s="381"/>
      <c r="I109" s="306">
        <v>30.9</v>
      </c>
      <c r="J109" s="306">
        <v>24.8</v>
      </c>
      <c r="K109" s="306">
        <v>17.399999999999999</v>
      </c>
      <c r="L109" s="201">
        <f>AVERAGE(K109,J109,I109,G109)</f>
        <v>24.974999999999998</v>
      </c>
      <c r="M109" s="167"/>
      <c r="N109" s="201">
        <f>AVERAGE(L109,K109,J109,I109)</f>
        <v>24.518749999999997</v>
      </c>
      <c r="O109" s="201">
        <f>AVERAGE(N109,L109,K109,J109)</f>
        <v>22.923437499999995</v>
      </c>
      <c r="P109" s="201">
        <f>AVERAGE(O109,N109,L109,K109)</f>
        <v>22.454296874999997</v>
      </c>
      <c r="Q109" s="201">
        <f>AVERAGE(P109,O109,N109,L109)</f>
        <v>23.717871093749995</v>
      </c>
      <c r="R109" s="167"/>
      <c r="S109" s="201">
        <f>AVERAGE(Q109,P109,O109,N109)</f>
        <v>23.403588867187494</v>
      </c>
      <c r="T109" s="201">
        <f>AVERAGE(S109,Q109,P109,O109)</f>
        <v>23.124798583984369</v>
      </c>
      <c r="U109" s="201">
        <f>AVERAGE(T109,S109,Q109,P109)</f>
        <v>23.175138854980464</v>
      </c>
      <c r="V109" s="201">
        <f>AVERAGE(U109,T109,S109,Q109)</f>
        <v>23.35534934997558</v>
      </c>
      <c r="W109" s="167"/>
      <c r="X109" s="201">
        <f>AVERAGE(V109,U109,T109,S109)</f>
        <v>23.264718914031977</v>
      </c>
      <c r="Y109" s="201">
        <f>AVERAGE(X109,V109,U109,T109)</f>
        <v>23.230001425743097</v>
      </c>
      <c r="Z109" s="201">
        <f>AVERAGE(Y109,X109,V109,U109)</f>
        <v>23.256302136182779</v>
      </c>
      <c r="AA109" s="201">
        <f>AVERAGE(Z109,Y109,X109,V109)</f>
        <v>23.276592956483359</v>
      </c>
      <c r="AB109" s="167"/>
      <c r="AC109" s="201">
        <f>AVERAGE(AA109,Z109,Y109,X109)</f>
        <v>23.256903858110302</v>
      </c>
      <c r="AD109" s="201">
        <f>AVERAGE(AC109,AA109,Z109,Y109)</f>
        <v>23.254950094129885</v>
      </c>
      <c r="AE109" s="201">
        <f>AVERAGE(AD109,AC109,AA109,Z109)</f>
        <v>23.261187261226581</v>
      </c>
      <c r="AF109" s="201">
        <f>AVERAGE(AE109,AD109,AC109,AA109)</f>
        <v>23.262408542487531</v>
      </c>
      <c r="AG109" s="167"/>
      <c r="AH109" s="201">
        <f>AVERAGE(AF109,AE109,AD109,AC109)</f>
        <v>23.258862438988576</v>
      </c>
      <c r="AI109" s="201">
        <f>AVERAGE(AH109,AF109,AE109,AD109)</f>
        <v>23.259352084208142</v>
      </c>
      <c r="AJ109" s="201">
        <f>AVERAGE(AI109,AH109,AF109,AE109)</f>
        <v>23.260452581727709</v>
      </c>
      <c r="AK109" s="201">
        <f>AVERAGE(AJ109,AI109,AH109,AF109)</f>
        <v>23.26026891185299</v>
      </c>
      <c r="AL109" s="167"/>
    </row>
    <row r="110" spans="1:38" outlineLevel="1" x14ac:dyDescent="0.25">
      <c r="A110" s="300"/>
      <c r="B110" s="191" t="s">
        <v>339</v>
      </c>
      <c r="C110" s="166"/>
      <c r="D110" s="449">
        <f t="shared" ref="D110:AA110" si="483">+D101-D108+D109</f>
        <v>229.99999999999991</v>
      </c>
      <c r="E110" s="449">
        <f t="shared" si="483"/>
        <v>201.80000000000004</v>
      </c>
      <c r="F110" s="449">
        <f t="shared" si="483"/>
        <v>270.19999999999976</v>
      </c>
      <c r="G110" s="449">
        <f t="shared" si="483"/>
        <v>262.69999999999987</v>
      </c>
      <c r="H110" s="386">
        <f>SUM(D110:G110)</f>
        <v>964.69999999999959</v>
      </c>
      <c r="I110" s="449">
        <f t="shared" si="483"/>
        <v>275.89999999999998</v>
      </c>
      <c r="J110" s="449">
        <f t="shared" si="483"/>
        <v>-15.400000000000045</v>
      </c>
      <c r="K110" s="449">
        <f>+K101-K108+K109</f>
        <v>-85.999999999999744</v>
      </c>
      <c r="L110" s="232">
        <f t="shared" si="483"/>
        <v>1.365570890210936</v>
      </c>
      <c r="M110" s="272">
        <f>SUM(I110:L110)</f>
        <v>175.86557089021113</v>
      </c>
      <c r="N110" s="232">
        <f t="shared" si="483"/>
        <v>55.887902519309634</v>
      </c>
      <c r="O110" s="232">
        <f t="shared" si="483"/>
        <v>74.258367571107001</v>
      </c>
      <c r="P110" s="232">
        <f t="shared" si="483"/>
        <v>81.234495273379522</v>
      </c>
      <c r="Q110" s="232">
        <f t="shared" si="483"/>
        <v>287.54254559211847</v>
      </c>
      <c r="R110" s="272">
        <f>SUM(N110:Q110)</f>
        <v>498.92331095591464</v>
      </c>
      <c r="S110" s="232">
        <f t="shared" si="483"/>
        <v>312.78195394697752</v>
      </c>
      <c r="T110" s="232">
        <f t="shared" si="483"/>
        <v>164.54957248955068</v>
      </c>
      <c r="U110" s="232">
        <f t="shared" si="483"/>
        <v>201.30443407304179</v>
      </c>
      <c r="V110" s="232">
        <f t="shared" si="483"/>
        <v>334.58342480719062</v>
      </c>
      <c r="W110" s="272">
        <f>SUM(S110:V110)</f>
        <v>1013.2193853167605</v>
      </c>
      <c r="X110" s="232">
        <f t="shared" si="483"/>
        <v>380.79922194058929</v>
      </c>
      <c r="Y110" s="232">
        <f t="shared" si="483"/>
        <v>196.58924088748867</v>
      </c>
      <c r="Z110" s="232">
        <f t="shared" si="483"/>
        <v>222.31353165002363</v>
      </c>
      <c r="AA110" s="232">
        <f t="shared" si="483"/>
        <v>366.45801947433176</v>
      </c>
      <c r="AB110" s="272">
        <f>SUM(X110:AA110)</f>
        <v>1166.1600139524335</v>
      </c>
      <c r="AC110" s="232">
        <f t="shared" ref="AC110:AF110" si="484">+AC101-AC108+AC109</f>
        <v>419.94351314317606</v>
      </c>
      <c r="AD110" s="232">
        <f t="shared" si="484"/>
        <v>219.69953228705745</v>
      </c>
      <c r="AE110" s="232">
        <f t="shared" si="484"/>
        <v>246.94254418058344</v>
      </c>
      <c r="AF110" s="232">
        <f t="shared" si="484"/>
        <v>402.37725341722904</v>
      </c>
      <c r="AG110" s="272">
        <f>SUM(AC110:AF110)</f>
        <v>1288.9628430280461</v>
      </c>
      <c r="AH110" s="232">
        <f t="shared" ref="AH110:AK110" si="485">+AH101-AH108+AH109</f>
        <v>461.36036889651712</v>
      </c>
      <c r="AI110" s="232">
        <f t="shared" si="485"/>
        <v>244.15704754748938</v>
      </c>
      <c r="AJ110" s="232">
        <f t="shared" si="485"/>
        <v>274.04651791713934</v>
      </c>
      <c r="AK110" s="232">
        <f t="shared" si="485"/>
        <v>444.24175291738538</v>
      </c>
      <c r="AL110" s="272">
        <f>SUM(AH110:AK110)</f>
        <v>1423.8056872785312</v>
      </c>
    </row>
    <row r="111" spans="1:38" outlineLevel="1" x14ac:dyDescent="0.25">
      <c r="A111" s="300"/>
      <c r="B111" s="191" t="s">
        <v>340</v>
      </c>
      <c r="C111" s="166"/>
      <c r="D111" s="450">
        <f t="shared" ref="D111" si="486">+D110/D101</f>
        <v>0.15292553191489355</v>
      </c>
      <c r="E111" s="450">
        <f t="shared" ref="E111" si="487">+E110/E101</f>
        <v>0.1319471688243756</v>
      </c>
      <c r="F111" s="450">
        <f t="shared" ref="F111" si="488">+F110/F101</f>
        <v>0.17044092600769556</v>
      </c>
      <c r="G111" s="450">
        <f t="shared" ref="G111" si="489">+G110/G101</f>
        <v>0.16710132943196987</v>
      </c>
      <c r="H111" s="387">
        <f>H110/H101</f>
        <v>0.15582800284292814</v>
      </c>
      <c r="I111" s="450">
        <f t="shared" ref="I111" si="490">+I110/I101</f>
        <v>0.17560944561135511</v>
      </c>
      <c r="J111" s="450">
        <f t="shared" ref="J111" si="491">+J110/J101</f>
        <v>-1.3573065397496956E-2</v>
      </c>
      <c r="K111" s="450">
        <f t="shared" ref="K111" si="492">+K110/K101</f>
        <v>-9.0564448188710761E-2</v>
      </c>
      <c r="L111" s="233">
        <f t="shared" ref="L111" si="493">+L110/L101</f>
        <v>1.0156856942716455E-3</v>
      </c>
      <c r="M111" s="273">
        <f>M110/M101</f>
        <v>3.5174649478581517E-2</v>
      </c>
      <c r="N111" s="233">
        <f t="shared" ref="N111" si="494">+N110/N101</f>
        <v>3.4346851042618677E-2</v>
      </c>
      <c r="O111" s="233">
        <f t="shared" ref="O111" si="495">+O110/O101</f>
        <v>6.0124391355858259E-2</v>
      </c>
      <c r="P111" s="233">
        <f t="shared" ref="P111" si="496">+P110/P101</f>
        <v>6.3014204932084039E-2</v>
      </c>
      <c r="Q111" s="233">
        <f t="shared" ref="Q111" si="497">+Q110/Q101</f>
        <v>0.16725663131194288</v>
      </c>
      <c r="R111" s="273">
        <f>R110/R101</f>
        <v>8.4987392004228113E-2</v>
      </c>
      <c r="S111" s="233">
        <f t="shared" ref="S111" si="498">+S110/S101</f>
        <v>0.16165631021941626</v>
      </c>
      <c r="T111" s="233">
        <f t="shared" ref="T111" si="499">+T110/T101</f>
        <v>0.12315070767254262</v>
      </c>
      <c r="U111" s="233">
        <f t="shared" ref="U111" si="500">+U110/U101</f>
        <v>0.14571063935620973</v>
      </c>
      <c r="V111" s="233">
        <f t="shared" ref="V111" si="501">+V110/V101</f>
        <v>0.17864437298990538</v>
      </c>
      <c r="W111" s="273">
        <f>W110/W101</f>
        <v>0.15527172664411695</v>
      </c>
      <c r="X111" s="233">
        <f t="shared" ref="X111" si="502">+X110/X101</f>
        <v>0.183283924453993</v>
      </c>
      <c r="Y111" s="233">
        <f t="shared" ref="Y111" si="503">+Y110/Y101</f>
        <v>0.13699661898735543</v>
      </c>
      <c r="Z111" s="233">
        <f t="shared" ref="Z111" si="504">+Z110/Z101</f>
        <v>0.15009317551379406</v>
      </c>
      <c r="AA111" s="233">
        <f t="shared" ref="AA111" si="505">+AA110/AA101</f>
        <v>0.18226532170120688</v>
      </c>
      <c r="AB111" s="273">
        <f>AB110/AB101</f>
        <v>0.16649000101211348</v>
      </c>
      <c r="AC111" s="233">
        <f t="shared" ref="AC111:AF111" si="506">+AC110/AC101</f>
        <v>0.18751280468053474</v>
      </c>
      <c r="AD111" s="233">
        <f t="shared" si="506"/>
        <v>0.14255790061199683</v>
      </c>
      <c r="AE111" s="233">
        <f t="shared" si="506"/>
        <v>0.15518662074483119</v>
      </c>
      <c r="AF111" s="233">
        <f t="shared" si="506"/>
        <v>0.18589194619364904</v>
      </c>
      <c r="AG111" s="273">
        <f>AG110/AG101</f>
        <v>0.17102917500422812</v>
      </c>
      <c r="AH111" s="233">
        <f t="shared" ref="AH111:AK111" si="507">+AH110/AH101</f>
        <v>0.19075606375493578</v>
      </c>
      <c r="AI111" s="233">
        <f t="shared" si="507"/>
        <v>0.14691786457514969</v>
      </c>
      <c r="AJ111" s="233">
        <f t="shared" si="507"/>
        <v>0.15933066499318427</v>
      </c>
      <c r="AK111" s="233">
        <f t="shared" si="507"/>
        <v>0.1889901611521517</v>
      </c>
      <c r="AL111" s="273">
        <f>AL110/AL101</f>
        <v>0.17467773127381281</v>
      </c>
    </row>
    <row r="112" spans="1:38" s="234" customFormat="1" outlineLevel="1" x14ac:dyDescent="0.25">
      <c r="A112" s="316"/>
      <c r="B112" s="237" t="s">
        <v>190</v>
      </c>
      <c r="C112" s="235"/>
      <c r="D112" s="213">
        <f t="shared" ref="D112:G112" si="508">+D108-D105</f>
        <v>1173.4000000000001</v>
      </c>
      <c r="E112" s="213">
        <f t="shared" si="508"/>
        <v>1219.3</v>
      </c>
      <c r="F112" s="213">
        <f t="shared" si="508"/>
        <v>1214.6000000000001</v>
      </c>
      <c r="G112" s="213">
        <f t="shared" si="508"/>
        <v>1209.7000000000003</v>
      </c>
      <c r="H112" s="215"/>
      <c r="I112" s="213">
        <f t="shared" ref="I112:L112" si="509">+I108-I105</f>
        <v>1199.5</v>
      </c>
      <c r="J112" s="213">
        <f t="shared" si="509"/>
        <v>1044.8</v>
      </c>
      <c r="K112" s="213">
        <f t="shared" si="509"/>
        <v>924.49999999999977</v>
      </c>
      <c r="L112" s="213">
        <f t="shared" si="509"/>
        <v>1236.9232195349371</v>
      </c>
      <c r="M112" s="236"/>
      <c r="N112" s="213">
        <f t="shared" ref="N112:Q112" si="510">+N108-N105</f>
        <v>1464.4461061354918</v>
      </c>
      <c r="O112" s="213">
        <f t="shared" si="510"/>
        <v>1049.8170711093749</v>
      </c>
      <c r="P112" s="213">
        <f t="shared" si="510"/>
        <v>1095.7738982312503</v>
      </c>
      <c r="Q112" s="213">
        <f t="shared" si="510"/>
        <v>1322.0415586867682</v>
      </c>
      <c r="R112" s="236"/>
      <c r="S112" s="213">
        <f t="shared" ref="S112:V112" si="511">+S108-S105</f>
        <v>1509.1889932876843</v>
      </c>
      <c r="T112" s="213">
        <f t="shared" si="511"/>
        <v>1055.5697545189851</v>
      </c>
      <c r="U112" s="213">
        <f t="shared" si="511"/>
        <v>1063.7824040927617</v>
      </c>
      <c r="V112" s="213">
        <f t="shared" si="511"/>
        <v>1423.4056108099949</v>
      </c>
      <c r="W112" s="236"/>
      <c r="X112" s="213">
        <f t="shared" ref="X112:AA112" si="512">+X108-X105</f>
        <v>1579.0114137778269</v>
      </c>
      <c r="Y112" s="213">
        <f t="shared" si="512"/>
        <v>1119.2948338848723</v>
      </c>
      <c r="Z112" s="213">
        <f t="shared" si="512"/>
        <v>1140.5010173482942</v>
      </c>
      <c r="AA112" s="213">
        <f t="shared" si="512"/>
        <v>1528.036667650136</v>
      </c>
      <c r="AB112" s="236"/>
      <c r="AC112" s="213">
        <f t="shared" ref="AC112:AF112" si="513">+AC108-AC105</f>
        <v>1702.054803844256</v>
      </c>
      <c r="AD112" s="213">
        <f t="shared" si="513"/>
        <v>1202.077432736013</v>
      </c>
      <c r="AE112" s="213">
        <f t="shared" si="513"/>
        <v>1225.271599487306</v>
      </c>
      <c r="AF112" s="213">
        <f t="shared" si="513"/>
        <v>1645.0777930880677</v>
      </c>
      <c r="AG112" s="236"/>
      <c r="AH112" s="213">
        <f t="shared" ref="AH112:AK112" si="514">+AH108-AH105</f>
        <v>1838.1270480177877</v>
      </c>
      <c r="AI112" s="213">
        <f t="shared" si="514"/>
        <v>1296.2514642977867</v>
      </c>
      <c r="AJ112" s="213">
        <f t="shared" si="514"/>
        <v>1324.3892429948996</v>
      </c>
      <c r="AK112" s="213">
        <f t="shared" si="514"/>
        <v>1786.4619520875467</v>
      </c>
      <c r="AL112" s="236"/>
    </row>
    <row r="113" spans="1:38" s="234" customFormat="1" outlineLevel="1" x14ac:dyDescent="0.25">
      <c r="A113" s="316"/>
      <c r="B113" s="237" t="s">
        <v>191</v>
      </c>
      <c r="C113" s="235"/>
      <c r="D113" s="238">
        <f t="shared" ref="D113:K113" si="515">+D112/D101</f>
        <v>0.78018617021276604</v>
      </c>
      <c r="E113" s="238">
        <f t="shared" si="515"/>
        <v>0.79724074800575384</v>
      </c>
      <c r="F113" s="330">
        <f t="shared" si="515"/>
        <v>0.7661641329716774</v>
      </c>
      <c r="G113" s="330">
        <f t="shared" si="515"/>
        <v>0.7694803129571911</v>
      </c>
      <c r="H113" s="389"/>
      <c r="I113" s="330">
        <f t="shared" si="515"/>
        <v>0.76347781808923687</v>
      </c>
      <c r="J113" s="330">
        <f t="shared" si="515"/>
        <v>0.92085316411069984</v>
      </c>
      <c r="K113" s="330">
        <f t="shared" si="515"/>
        <v>0.97356781802864334</v>
      </c>
      <c r="L113" s="489">
        <v>0.92</v>
      </c>
      <c r="M113" s="236"/>
      <c r="N113" s="489">
        <v>0.9</v>
      </c>
      <c r="O113" s="489">
        <v>0.85</v>
      </c>
      <c r="P113" s="489">
        <v>0.85</v>
      </c>
      <c r="Q113" s="239">
        <v>0.76900000000000002</v>
      </c>
      <c r="R113" s="236"/>
      <c r="S113" s="239">
        <v>0.78</v>
      </c>
      <c r="T113" s="239">
        <v>0.79</v>
      </c>
      <c r="U113" s="239">
        <v>0.77</v>
      </c>
      <c r="V113" s="239">
        <v>0.76</v>
      </c>
      <c r="W113" s="236"/>
      <c r="X113" s="239">
        <v>0.76</v>
      </c>
      <c r="Y113" s="239">
        <v>0.78</v>
      </c>
      <c r="Z113" s="239">
        <v>0.77</v>
      </c>
      <c r="AA113" s="239">
        <f>+V113</f>
        <v>0.76</v>
      </c>
      <c r="AB113" s="236"/>
      <c r="AC113" s="239">
        <f>+X113</f>
        <v>0.76</v>
      </c>
      <c r="AD113" s="239">
        <f>+Y113</f>
        <v>0.78</v>
      </c>
      <c r="AE113" s="239">
        <f>+Z113</f>
        <v>0.77</v>
      </c>
      <c r="AF113" s="239">
        <f>+AA113</f>
        <v>0.76</v>
      </c>
      <c r="AG113" s="236"/>
      <c r="AH113" s="239">
        <f>+AC113</f>
        <v>0.76</v>
      </c>
      <c r="AI113" s="239">
        <f>+AD113</f>
        <v>0.78</v>
      </c>
      <c r="AJ113" s="239">
        <f>+AE113</f>
        <v>0.77</v>
      </c>
      <c r="AK113" s="239">
        <f>+AF113</f>
        <v>0.76</v>
      </c>
      <c r="AL113" s="236"/>
    </row>
    <row r="114" spans="1:38" ht="18" x14ac:dyDescent="0.4">
      <c r="A114" s="300"/>
      <c r="B114" s="511" t="s">
        <v>192</v>
      </c>
      <c r="C114" s="512"/>
      <c r="D114" s="36" t="s">
        <v>123</v>
      </c>
      <c r="E114" s="36" t="s">
        <v>280</v>
      </c>
      <c r="F114" s="36" t="s">
        <v>284</v>
      </c>
      <c r="G114" s="36" t="s">
        <v>294</v>
      </c>
      <c r="H114" s="104" t="s">
        <v>295</v>
      </c>
      <c r="I114" s="36" t="s">
        <v>296</v>
      </c>
      <c r="J114" s="36" t="s">
        <v>297</v>
      </c>
      <c r="K114" s="36" t="s">
        <v>298</v>
      </c>
      <c r="L114" s="34" t="s">
        <v>141</v>
      </c>
      <c r="M114" s="107" t="s">
        <v>142</v>
      </c>
      <c r="N114" s="34" t="s">
        <v>143</v>
      </c>
      <c r="O114" s="34" t="s">
        <v>144</v>
      </c>
      <c r="P114" s="34" t="s">
        <v>145</v>
      </c>
      <c r="Q114" s="34" t="s">
        <v>146</v>
      </c>
      <c r="R114" s="107" t="s">
        <v>147</v>
      </c>
      <c r="S114" s="34" t="s">
        <v>148</v>
      </c>
      <c r="T114" s="34" t="s">
        <v>149</v>
      </c>
      <c r="U114" s="34" t="s">
        <v>150</v>
      </c>
      <c r="V114" s="34" t="s">
        <v>151</v>
      </c>
      <c r="W114" s="107" t="s">
        <v>152</v>
      </c>
      <c r="X114" s="34" t="s">
        <v>153</v>
      </c>
      <c r="Y114" s="34" t="s">
        <v>154</v>
      </c>
      <c r="Z114" s="34" t="s">
        <v>155</v>
      </c>
      <c r="AA114" s="34" t="s">
        <v>156</v>
      </c>
      <c r="AB114" s="107" t="s">
        <v>157</v>
      </c>
      <c r="AC114" s="34" t="s">
        <v>289</v>
      </c>
      <c r="AD114" s="34" t="s">
        <v>290</v>
      </c>
      <c r="AE114" s="34" t="s">
        <v>291</v>
      </c>
      <c r="AF114" s="34" t="s">
        <v>292</v>
      </c>
      <c r="AG114" s="107" t="s">
        <v>293</v>
      </c>
      <c r="AH114" s="34" t="s">
        <v>322</v>
      </c>
      <c r="AI114" s="34" t="s">
        <v>323</v>
      </c>
      <c r="AJ114" s="34" t="s">
        <v>324</v>
      </c>
      <c r="AK114" s="34" t="s">
        <v>325</v>
      </c>
      <c r="AL114" s="107" t="s">
        <v>326</v>
      </c>
    </row>
    <row r="115" spans="1:38" s="20" customFormat="1" outlineLevel="1" x14ac:dyDescent="0.25">
      <c r="A115" s="315"/>
      <c r="B115" s="501" t="s">
        <v>341</v>
      </c>
      <c r="C115" s="502"/>
      <c r="D115" s="195">
        <v>504.6</v>
      </c>
      <c r="E115" s="195">
        <v>446.6</v>
      </c>
      <c r="F115" s="305">
        <v>533.29999999999995</v>
      </c>
      <c r="G115" s="195">
        <v>508.1</v>
      </c>
      <c r="H115" s="67">
        <f>SUM(D115:G115)</f>
        <v>1992.6</v>
      </c>
      <c r="I115" s="195">
        <v>494.6</v>
      </c>
      <c r="J115" s="195">
        <v>519.1</v>
      </c>
      <c r="K115" s="195">
        <v>447.3</v>
      </c>
      <c r="L115" s="195">
        <f t="shared" ref="L115" si="516">+G115*(1+L116)</f>
        <v>421.72300000000001</v>
      </c>
      <c r="M115" s="67">
        <f>SUM(I115:L115)</f>
        <v>1882.723</v>
      </c>
      <c r="N115" s="195">
        <f>+I115*(1+N116)</f>
        <v>519.33000000000004</v>
      </c>
      <c r="O115" s="195">
        <f>+J115*(1+O116)</f>
        <v>545.05500000000006</v>
      </c>
      <c r="P115" s="195">
        <f>+K115*(1+P116)</f>
        <v>492.03000000000003</v>
      </c>
      <c r="Q115" s="195">
        <f t="shared" ref="Q115" si="517">+L115*(1+Q116)</f>
        <v>463.89530000000008</v>
      </c>
      <c r="R115" s="67">
        <f>SUM(N115:Q115)</f>
        <v>2020.3103000000003</v>
      </c>
      <c r="S115" s="195">
        <f>+N115*(1+S116)</f>
        <v>545.29650000000004</v>
      </c>
      <c r="T115" s="195">
        <f>+O115*(1+T116)</f>
        <v>572.30775000000006</v>
      </c>
      <c r="U115" s="195">
        <f>+P115*(1+U116)</f>
        <v>516.63150000000007</v>
      </c>
      <c r="V115" s="195">
        <f t="shared" ref="V115" si="518">+Q115*(1+V116)</f>
        <v>487.0900650000001</v>
      </c>
      <c r="W115" s="67">
        <f>SUM(S115:V115)</f>
        <v>2121.3258150000001</v>
      </c>
      <c r="X115" s="195">
        <f>+S115*(1+X116)</f>
        <v>572.56132500000001</v>
      </c>
      <c r="Y115" s="195">
        <f>+T115*(1+Y116)</f>
        <v>600.92313750000005</v>
      </c>
      <c r="Z115" s="195">
        <f>+U115*(1+Z116)</f>
        <v>542.46307500000012</v>
      </c>
      <c r="AA115" s="195">
        <f t="shared" ref="AA115" si="519">+V115*(1+AA116)</f>
        <v>511.44456825000015</v>
      </c>
      <c r="AB115" s="67">
        <f>SUM(X115:AA115)</f>
        <v>2227.3921057500002</v>
      </c>
      <c r="AC115" s="195">
        <f>+X115*(1+AC116)</f>
        <v>601.18939125000009</v>
      </c>
      <c r="AD115" s="195">
        <f>+Y115*(1+AD116)</f>
        <v>630.96929437500012</v>
      </c>
      <c r="AE115" s="195">
        <f>+Z115*(1+AE116)</f>
        <v>569.58622875000015</v>
      </c>
      <c r="AF115" s="195">
        <f t="shared" ref="AF115" si="520">+AA115*(1+AF116)</f>
        <v>537.01679666250016</v>
      </c>
      <c r="AG115" s="67">
        <f>SUM(AC115:AF115)</f>
        <v>2338.7617110375004</v>
      </c>
      <c r="AH115" s="195">
        <f>+AC115*(1+AH116)</f>
        <v>631.24886081250008</v>
      </c>
      <c r="AI115" s="195">
        <f>+AD115*(1+AI116)</f>
        <v>662.5177590937501</v>
      </c>
      <c r="AJ115" s="195">
        <f>+AE115*(1+AJ116)</f>
        <v>598.06554018750023</v>
      </c>
      <c r="AK115" s="195">
        <f t="shared" ref="AK115" si="521">+AF115*(1+AK116)</f>
        <v>563.86763649562522</v>
      </c>
      <c r="AL115" s="67">
        <f>SUM(AH115:AK115)</f>
        <v>2455.6997965893752</v>
      </c>
    </row>
    <row r="116" spans="1:38" outlineLevel="1" x14ac:dyDescent="0.25">
      <c r="A116" s="300"/>
      <c r="B116" s="224" t="s">
        <v>199</v>
      </c>
      <c r="C116" s="225"/>
      <c r="D116" s="338"/>
      <c r="E116" s="338"/>
      <c r="F116" s="338"/>
      <c r="G116" s="338"/>
      <c r="H116" s="203"/>
      <c r="I116" s="338">
        <f>I115/D115-1</f>
        <v>-1.9817677368212494E-2</v>
      </c>
      <c r="J116" s="338">
        <f t="shared" ref="J116" si="522">J115/E115-1</f>
        <v>0.16233766233766223</v>
      </c>
      <c r="K116" s="338">
        <f>K115/F115-1</f>
        <v>-0.1612600787549221</v>
      </c>
      <c r="L116" s="226">
        <v>-0.17</v>
      </c>
      <c r="M116" s="423">
        <f>M115/H115-1</f>
        <v>-5.51425273511994E-2</v>
      </c>
      <c r="N116" s="226">
        <v>0.05</v>
      </c>
      <c r="O116" s="226">
        <v>0.05</v>
      </c>
      <c r="P116" s="226">
        <v>0.1</v>
      </c>
      <c r="Q116" s="226">
        <v>0.1</v>
      </c>
      <c r="R116" s="203"/>
      <c r="S116" s="226">
        <v>0.05</v>
      </c>
      <c r="T116" s="226">
        <v>0.05</v>
      </c>
      <c r="U116" s="226">
        <v>0.05</v>
      </c>
      <c r="V116" s="226">
        <v>0.05</v>
      </c>
      <c r="W116" s="203"/>
      <c r="X116" s="226">
        <f>AVERAGE(V116,U116,T116,S116)</f>
        <v>0.05</v>
      </c>
      <c r="Y116" s="226">
        <f>AVERAGE(X116,V116,U116,T116)</f>
        <v>0.05</v>
      </c>
      <c r="Z116" s="226">
        <f>AVERAGE(Y116,X116,V116,U116)</f>
        <v>0.05</v>
      </c>
      <c r="AA116" s="226">
        <f>AVERAGE(Z116,Y116,X116,V116)</f>
        <v>0.05</v>
      </c>
      <c r="AB116" s="203"/>
      <c r="AC116" s="226">
        <f>AVERAGE(AA116,Z116,Y116,X116)</f>
        <v>0.05</v>
      </c>
      <c r="AD116" s="226">
        <f>AVERAGE(AC116,AA116,Z116,Y116)</f>
        <v>0.05</v>
      </c>
      <c r="AE116" s="226">
        <f>AVERAGE(AD116,AC116,AA116,Z116)</f>
        <v>0.05</v>
      </c>
      <c r="AF116" s="226">
        <f>AVERAGE(AE116,AD116,AC116,AA116)</f>
        <v>0.05</v>
      </c>
      <c r="AG116" s="203"/>
      <c r="AH116" s="226">
        <f>AVERAGE(AF116,AE116,AD116,AC116)</f>
        <v>0.05</v>
      </c>
      <c r="AI116" s="226">
        <f>AVERAGE(AH116,AF116,AE116,AD116)</f>
        <v>0.05</v>
      </c>
      <c r="AJ116" s="226">
        <f>AVERAGE(AI116,AH116,AF116,AE116)</f>
        <v>0.05</v>
      </c>
      <c r="AK116" s="226">
        <f>AVERAGE(AJ116,AI116,AH116,AF116)</f>
        <v>0.05</v>
      </c>
      <c r="AL116" s="203"/>
    </row>
    <row r="117" spans="1:38" outlineLevel="1" x14ac:dyDescent="0.25">
      <c r="A117" s="300"/>
      <c r="B117" s="549" t="s">
        <v>299</v>
      </c>
      <c r="C117" s="550"/>
      <c r="D117" s="193">
        <v>348.4</v>
      </c>
      <c r="E117" s="193">
        <v>305.39999999999998</v>
      </c>
      <c r="F117" s="193">
        <v>377.1</v>
      </c>
      <c r="G117" s="193">
        <v>359.1</v>
      </c>
      <c r="H117" s="240"/>
      <c r="I117" s="193">
        <v>338.8</v>
      </c>
      <c r="J117" s="193">
        <v>351.6</v>
      </c>
      <c r="K117" s="193">
        <v>319.89999999999998</v>
      </c>
      <c r="L117" s="193">
        <f>+(L115*L127)*(K117/K126)</f>
        <v>269.53704671348316</v>
      </c>
      <c r="M117" s="240"/>
      <c r="N117" s="193">
        <f>+(N115*N127)*(L117/L126)</f>
        <v>325.33398674157297</v>
      </c>
      <c r="O117" s="193">
        <f>+(O115*O127)*(N117/N126)</f>
        <v>340.51647668539334</v>
      </c>
      <c r="P117" s="193">
        <f>+(P115*P127)*(O117/O126)</f>
        <v>315.81139044943825</v>
      </c>
      <c r="Q117" s="193">
        <f>+(Q115*Q127)*(P117/P126)</f>
        <v>297.75302261235953</v>
      </c>
      <c r="R117" s="240"/>
      <c r="S117" s="193">
        <f>+(S115*S127)*(Q117/Q126)</f>
        <v>341.60068607865168</v>
      </c>
      <c r="T117" s="193">
        <f>+(T115*T127)*(S117/S126)</f>
        <v>357.54230051966294</v>
      </c>
      <c r="U117" s="193">
        <f>+(U115*U127)*(T117/T126)</f>
        <v>331.60195997191016</v>
      </c>
      <c r="V117" s="193">
        <f>+(V115*V127)*(U117/U126)</f>
        <v>312.64067374297764</v>
      </c>
      <c r="W117" s="240"/>
      <c r="X117" s="193">
        <f>+(X115*X127)*(V117/V126)</f>
        <v>358.68072038258424</v>
      </c>
      <c r="Y117" s="193">
        <f>+(Y115*Y127)*(X117/X126)</f>
        <v>375.41941554564607</v>
      </c>
      <c r="Z117" s="193">
        <f>+(Z115*Z127)*(Y117/Y126)</f>
        <v>348.18205797050575</v>
      </c>
      <c r="AA117" s="193">
        <f>+(AA115*AA127)*(Z117/Z126)</f>
        <v>328.2727074301265</v>
      </c>
      <c r="AB117" s="240"/>
      <c r="AC117" s="193">
        <f>+(AC115*AC127)*(AA117/AA126)</f>
        <v>376.61475640171358</v>
      </c>
      <c r="AD117" s="193">
        <f>+(AD115*AD127)*(AC117/AC126)</f>
        <v>394.19038632292842</v>
      </c>
      <c r="AE117" s="193">
        <f>+(AE115*AE127)*(AD117/AD126)</f>
        <v>365.591160869031</v>
      </c>
      <c r="AF117" s="193">
        <f>+(AF115*AF127)*(AE117/AE126)</f>
        <v>344.6863428016328</v>
      </c>
      <c r="AG117" s="240"/>
      <c r="AH117" s="193">
        <f>+(AH115*AH127)*(AF117/AF126)</f>
        <v>395.44549422179915</v>
      </c>
      <c r="AI117" s="193">
        <f>+(AI115*AI127)*(AH117/AH126)</f>
        <v>413.89990563907486</v>
      </c>
      <c r="AJ117" s="193">
        <f>+(AJ115*AJ127)*(AI117/AI126)</f>
        <v>383.87071891248269</v>
      </c>
      <c r="AK117" s="193">
        <f>+(AK115*AK127)*(AJ117/AJ126)</f>
        <v>361.92065994171452</v>
      </c>
      <c r="AL117" s="240"/>
    </row>
    <row r="118" spans="1:38" outlineLevel="1" x14ac:dyDescent="0.25">
      <c r="A118" s="300"/>
      <c r="B118" s="51" t="s">
        <v>159</v>
      </c>
      <c r="C118" s="40"/>
      <c r="D118" s="193">
        <v>18.600000000000001</v>
      </c>
      <c r="E118" s="193">
        <v>17.100000000000001</v>
      </c>
      <c r="F118" s="193">
        <v>20.2</v>
      </c>
      <c r="G118" s="193">
        <v>20.3</v>
      </c>
      <c r="H118" s="194"/>
      <c r="I118" s="193">
        <v>20.6</v>
      </c>
      <c r="J118" s="193">
        <v>17.7</v>
      </c>
      <c r="K118" s="193">
        <v>51.4</v>
      </c>
      <c r="L118" s="193">
        <f>+(L115*L127)*(K118/K126)</f>
        <v>43.307921853932591</v>
      </c>
      <c r="M118" s="194"/>
      <c r="N118" s="193">
        <f>+(N115*N127)*(L118/L126)</f>
        <v>52.273106966292133</v>
      </c>
      <c r="O118" s="193">
        <f>+(O115*O127)*(N118/N126)</f>
        <v>54.712556741573053</v>
      </c>
      <c r="P118" s="193">
        <f>+(P115*P127)*(O118/O126)</f>
        <v>50.743061797752809</v>
      </c>
      <c r="Q118" s="193">
        <f>+(Q115*Q127)*(P118/P126)</f>
        <v>47.841529735152484</v>
      </c>
      <c r="R118" s="194"/>
      <c r="S118" s="193">
        <f>+(S115*S127)*(Q118/Q126)</f>
        <v>54.886762314606742</v>
      </c>
      <c r="T118" s="193">
        <f>+(T115*T127)*(S118/S126)</f>
        <v>57.448184578651691</v>
      </c>
      <c r="U118" s="193">
        <f>+(U115*U127)*(T118/T126)</f>
        <v>53.280214887640462</v>
      </c>
      <c r="V118" s="193">
        <f>+(V115*V127)*(U118/U126)</f>
        <v>50.233606221910129</v>
      </c>
      <c r="W118" s="194"/>
      <c r="X118" s="193">
        <f>+(X115*X127)*(V118/V126)</f>
        <v>57.631100430337071</v>
      </c>
      <c r="Y118" s="193">
        <f>+(Y115*Y127)*(X118/X126)</f>
        <v>60.320593807584274</v>
      </c>
      <c r="Z118" s="193">
        <f>+(Z115*Z127)*(Y118/Y126)</f>
        <v>55.944225632022494</v>
      </c>
      <c r="AA118" s="193">
        <f>+(AA115*AA127)*(Z118/Z126)</f>
        <v>52.745286533005626</v>
      </c>
      <c r="AB118" s="194"/>
      <c r="AC118" s="193">
        <f>+(AC115*AC127)*(AA118/AA126)</f>
        <v>60.512655451853938</v>
      </c>
      <c r="AD118" s="193">
        <f>+(AD115*AD127)*(AC118/AC126)</f>
        <v>63.33662349796348</v>
      </c>
      <c r="AE118" s="193">
        <f>+(AE115*AE127)*(AD118/AD126)</f>
        <v>58.741436913623595</v>
      </c>
      <c r="AF118" s="193">
        <f>+(AF115*AF127)*(AE118/AE126)</f>
        <v>55.3825508596559</v>
      </c>
      <c r="AG118" s="194"/>
      <c r="AH118" s="193">
        <f>+(AH115*AH127)*(AF118/AF126)</f>
        <v>63.538288224446617</v>
      </c>
      <c r="AI118" s="193">
        <f>+(AI115*AI127)*(AH118/AH126)</f>
        <v>66.503454672861665</v>
      </c>
      <c r="AJ118" s="193">
        <f>+(AJ115*AJ127)*(AI118/AI126)</f>
        <v>61.678508759304798</v>
      </c>
      <c r="AK118" s="193">
        <f>+(AK115*AK127)*(AJ118/AJ126)</f>
        <v>58.151678402638701</v>
      </c>
      <c r="AL118" s="194"/>
    </row>
    <row r="119" spans="1:38" outlineLevel="1" x14ac:dyDescent="0.25">
      <c r="A119" s="300"/>
      <c r="B119" s="51" t="s">
        <v>160</v>
      </c>
      <c r="C119" s="40"/>
      <c r="D119" s="230">
        <v>0</v>
      </c>
      <c r="E119" s="230">
        <v>12.3</v>
      </c>
      <c r="F119" s="230">
        <v>0.2</v>
      </c>
      <c r="G119" s="230">
        <v>0.3</v>
      </c>
      <c r="H119" s="18"/>
      <c r="I119" s="230">
        <v>0.3</v>
      </c>
      <c r="J119" s="230">
        <v>0.3</v>
      </c>
      <c r="K119" s="230">
        <v>0.3</v>
      </c>
      <c r="L119" s="230">
        <f>(K119/(K72+K105+K119+K133))*L242</f>
        <v>0.30622872359279457</v>
      </c>
      <c r="M119" s="18"/>
      <c r="N119" s="230">
        <f>(L119/(L72+L105+L119+L133))*N242</f>
        <v>0.30664688286944325</v>
      </c>
      <c r="O119" s="230">
        <f>(N119/(N72+N105+N119+N133))*O242</f>
        <v>0.31266981947163769</v>
      </c>
      <c r="P119" s="230">
        <f>(O119/(O72+O105+O119+O133))*P242</f>
        <v>0.31422178831603953</v>
      </c>
      <c r="Q119" s="230">
        <f>(P119/(P72+P105+P119+P133))*Q242</f>
        <v>0.31121449970621767</v>
      </c>
      <c r="R119" s="18"/>
      <c r="S119" s="230">
        <f>(Q119/(Q72+Q105+Q119+Q133))*S242</f>
        <v>0.31818752996424637</v>
      </c>
      <c r="T119" s="230">
        <f>(S119/(S72+S105+S119+S133))*T242</f>
        <v>0.32490984700858699</v>
      </c>
      <c r="U119" s="230">
        <f>(T119/(T72+T105+T119+T133))*U242</f>
        <v>0.3259701721868557</v>
      </c>
      <c r="V119" s="230">
        <f>(U119/(U72+U105+U119+U133))*V242</f>
        <v>0.32280568066838733</v>
      </c>
      <c r="W119" s="18"/>
      <c r="X119" s="230">
        <f>(V119/(V72+V105+V119+V133))*X242</f>
        <v>0.3294179305954168</v>
      </c>
      <c r="Y119" s="230">
        <f>(X119/(X72+X105+X119+X133))*Y242</f>
        <v>0.33230965781056682</v>
      </c>
      <c r="Z119" s="230">
        <f>(Y119/(Y72+Y105+Y119+Y133))*Z242</f>
        <v>0.33061145261847541</v>
      </c>
      <c r="AA119" s="230">
        <f>(Z119/(Z72+Z105+Z119+Z133))*AA242</f>
        <v>0.32534584092504915</v>
      </c>
      <c r="AB119" s="18"/>
      <c r="AC119" s="230">
        <f>(AA119/(AA72+AA105+AA119+AA133))*AC242</f>
        <v>0.32872618226286471</v>
      </c>
      <c r="AD119" s="230">
        <f>(AC119/(AC72+AC105+AC119+AC133))*AD242</f>
        <v>0.3329250556463309</v>
      </c>
      <c r="AE119" s="230">
        <f>(AD119/(AD72+AD105+AD119+AD133))*AE242</f>
        <v>0.33223858624743702</v>
      </c>
      <c r="AF119" s="230">
        <f>(AE119/(AE72+AE105+AE119+AE133))*AF242</f>
        <v>0.32774335931701759</v>
      </c>
      <c r="AG119" s="18"/>
      <c r="AH119" s="230">
        <f>(AF119/(AF72+AF105+AF119+AF133))*AH242</f>
        <v>0.33235719828961918</v>
      </c>
      <c r="AI119" s="230">
        <f>(AH119/(AH72+AH105+AH119+AH133))*AI242</f>
        <v>0.33784830794418952</v>
      </c>
      <c r="AJ119" s="230">
        <f>(AI119/(AI72+AI105+AI119+AI133))*AJ242</f>
        <v>0.33807950552496885</v>
      </c>
      <c r="AK119" s="230">
        <f>(AJ119/(AJ72+AJ105+AJ119+AJ133))*AK242</f>
        <v>0.33423594303749582</v>
      </c>
      <c r="AL119" s="18"/>
    </row>
    <row r="120" spans="1:38" outlineLevel="1" x14ac:dyDescent="0.25">
      <c r="A120" s="300"/>
      <c r="B120" s="51" t="s">
        <v>161</v>
      </c>
      <c r="C120" s="40"/>
      <c r="D120" s="193">
        <v>3.2</v>
      </c>
      <c r="E120" s="193">
        <v>3.1</v>
      </c>
      <c r="F120" s="193">
        <v>2.7</v>
      </c>
      <c r="G120" s="193">
        <v>2.6</v>
      </c>
      <c r="H120" s="194"/>
      <c r="I120" s="193">
        <v>2.4</v>
      </c>
      <c r="J120" s="193">
        <v>3</v>
      </c>
      <c r="K120" s="193">
        <v>2.5</v>
      </c>
      <c r="L120" s="193">
        <f>+(L115*L127)*(K120/K126)</f>
        <v>2.10641643258427</v>
      </c>
      <c r="M120" s="194"/>
      <c r="N120" s="193">
        <f>+(N115*N127)*(L120/L126)</f>
        <v>2.5424662921348316</v>
      </c>
      <c r="O120" s="193">
        <f>+(O115*O127)*(N120/N126)</f>
        <v>2.6611165730337087</v>
      </c>
      <c r="P120" s="193">
        <f>+(P115*P127)*(O120/O126)</f>
        <v>2.4680477528089888</v>
      </c>
      <c r="Q120" s="193">
        <f>+(Q115*Q127)*(P120/P126)</f>
        <v>2.3269226524879612</v>
      </c>
      <c r="R120" s="194"/>
      <c r="S120" s="193">
        <f>+(S115*S127)*(Q120/Q126)</f>
        <v>2.6695896067415728</v>
      </c>
      <c r="T120" s="193">
        <f>+(T115*T127)*(S120/S126)</f>
        <v>2.794172401685393</v>
      </c>
      <c r="U120" s="193">
        <f>+(U115*U127)*(T120/T126)</f>
        <v>2.5914501404494383</v>
      </c>
      <c r="V120" s="193">
        <f>+(V115*V127)*(U120/U126)</f>
        <v>2.4432687851123602</v>
      </c>
      <c r="W120" s="194"/>
      <c r="X120" s="193">
        <f>+(X115*X127)*(V120/V126)</f>
        <v>2.8030690870786512</v>
      </c>
      <c r="Y120" s="193">
        <f>+(Y115*Y127)*(X120/X126)</f>
        <v>2.9338810217696629</v>
      </c>
      <c r="Z120" s="193">
        <f>+(Z115*Z127)*(Y120/Y126)</f>
        <v>2.7210226474719108</v>
      </c>
      <c r="AA120" s="193">
        <f>+(AA115*AA127)*(Z120/Z126)</f>
        <v>2.5654322243679779</v>
      </c>
      <c r="AB120" s="194"/>
      <c r="AC120" s="193">
        <f>+(AC115*AC127)*(AA120/AA126)</f>
        <v>2.9432225414325845</v>
      </c>
      <c r="AD120" s="193">
        <f>+(AD115*AD127)*(AC120/AC126)</f>
        <v>3.0805750728581462</v>
      </c>
      <c r="AE120" s="193">
        <f>+(AE115*AE127)*(AD120/AD126)</f>
        <v>2.8570737798455061</v>
      </c>
      <c r="AF120" s="193">
        <f>+(AF115*AF127)*(AE120/AE126)</f>
        <v>2.6937038355863767</v>
      </c>
      <c r="AG120" s="194"/>
      <c r="AH120" s="193">
        <f>+(AH115*AH127)*(AF120/AF126)</f>
        <v>3.0903836685042134</v>
      </c>
      <c r="AI120" s="193">
        <f>+(AI115*AI127)*(AH120/AH126)</f>
        <v>3.2346038265010537</v>
      </c>
      <c r="AJ120" s="193">
        <f>+(AJ115*AJ127)*(AI120/AI126)</f>
        <v>2.9999274688377824</v>
      </c>
      <c r="AK120" s="193">
        <f>+(AK115*AK127)*(AJ120/AJ126)</f>
        <v>2.828389027365696</v>
      </c>
      <c r="AL120" s="194"/>
    </row>
    <row r="121" spans="1:38" ht="17.25" outlineLevel="1" x14ac:dyDescent="0.4">
      <c r="A121" s="300"/>
      <c r="B121" s="51" t="s">
        <v>169</v>
      </c>
      <c r="C121" s="40"/>
      <c r="D121" s="231">
        <v>0</v>
      </c>
      <c r="E121" s="231">
        <v>0</v>
      </c>
      <c r="F121" s="231">
        <v>0</v>
      </c>
      <c r="G121" s="231">
        <v>0</v>
      </c>
      <c r="H121" s="241"/>
      <c r="I121" s="231">
        <v>0</v>
      </c>
      <c r="J121" s="231">
        <v>0</v>
      </c>
      <c r="K121" s="231">
        <v>0</v>
      </c>
      <c r="L121" s="231">
        <f>+(L115*L127)*(K121/K126)</f>
        <v>0</v>
      </c>
      <c r="M121" s="241"/>
      <c r="N121" s="231">
        <f>+(N115*N127)*(L121/L126)</f>
        <v>0</v>
      </c>
      <c r="O121" s="231">
        <f>+(O115*O127)*(N121/N126)</f>
        <v>0</v>
      </c>
      <c r="P121" s="231">
        <f>+(P115*P127)*(O121/O126)</f>
        <v>0</v>
      </c>
      <c r="Q121" s="231">
        <f>+(Q115*Q127)*(P121/P126)</f>
        <v>0</v>
      </c>
      <c r="R121" s="241"/>
      <c r="S121" s="231">
        <f>+(S115*S127)*(Q121/Q126)</f>
        <v>0</v>
      </c>
      <c r="T121" s="231">
        <f>+(T115*T127)*(S121/S126)</f>
        <v>0</v>
      </c>
      <c r="U121" s="231">
        <f>+(U115*U127)*(T121/T126)</f>
        <v>0</v>
      </c>
      <c r="V121" s="231">
        <f>+(V115*V127)*(U121/U126)</f>
        <v>0</v>
      </c>
      <c r="W121" s="241"/>
      <c r="X121" s="231">
        <f>+(X115*X127)*(V121/V126)</f>
        <v>0</v>
      </c>
      <c r="Y121" s="231">
        <f>+(Y115*Y127)*(X121/X126)</f>
        <v>0</v>
      </c>
      <c r="Z121" s="231">
        <f>+(Z115*Z127)*(Y121/Y126)</f>
        <v>0</v>
      </c>
      <c r="AA121" s="231">
        <f>+(AA115*AA127)*(Z121/Z126)</f>
        <v>0</v>
      </c>
      <c r="AB121" s="241"/>
      <c r="AC121" s="231">
        <f>+(AC115*AC127)*(AA121/AA126)</f>
        <v>0</v>
      </c>
      <c r="AD121" s="231">
        <f>+(AD115*AD127)*(AC121/AC126)</f>
        <v>0</v>
      </c>
      <c r="AE121" s="231">
        <f>+(AE115*AE127)*(AD121/AD126)</f>
        <v>0</v>
      </c>
      <c r="AF121" s="231">
        <f>+(AF115*AF127)*(AE121/AE126)</f>
        <v>0</v>
      </c>
      <c r="AG121" s="241"/>
      <c r="AH121" s="231">
        <f>+(AH115*AH127)*(AF121/AF126)</f>
        <v>0</v>
      </c>
      <c r="AI121" s="231">
        <f>+(AI115*AI127)*(AH121/AH126)</f>
        <v>0</v>
      </c>
      <c r="AJ121" s="231">
        <f>+(AJ115*AJ127)*(AI121/AI126)</f>
        <v>0</v>
      </c>
      <c r="AK121" s="231">
        <f>+(AK115*AK127)*(AJ121/AJ126)</f>
        <v>0</v>
      </c>
      <c r="AL121" s="241"/>
    </row>
    <row r="122" spans="1:38" outlineLevel="1" x14ac:dyDescent="0.25">
      <c r="A122" s="300"/>
      <c r="B122" s="191" t="s">
        <v>193</v>
      </c>
      <c r="C122" s="43"/>
      <c r="D122" s="195">
        <f>SUM(D117:D121)</f>
        <v>370.2</v>
      </c>
      <c r="E122" s="195">
        <f>SUM(E117:E121)</f>
        <v>337.90000000000003</v>
      </c>
      <c r="F122" s="195">
        <f>SUM(F117:F121)</f>
        <v>400.2</v>
      </c>
      <c r="G122" s="195">
        <f>SUM(G117:G121)</f>
        <v>382.30000000000007</v>
      </c>
      <c r="H122" s="18"/>
      <c r="I122" s="195">
        <f>SUM(I117:I121)</f>
        <v>362.1</v>
      </c>
      <c r="J122" s="195">
        <f>SUM(J117:J121)</f>
        <v>372.6</v>
      </c>
      <c r="K122" s="195">
        <f>SUM(K117:K121)</f>
        <v>374.09999999999997</v>
      </c>
      <c r="L122" s="195">
        <f>SUM(L117:L121)</f>
        <v>315.25761372359284</v>
      </c>
      <c r="M122" s="18"/>
      <c r="N122" s="195">
        <f>SUM(N117:N121)</f>
        <v>380.45620688286931</v>
      </c>
      <c r="O122" s="195">
        <f>SUM(O117:O121)</f>
        <v>398.20281981947176</v>
      </c>
      <c r="P122" s="195">
        <f>SUM(P117:P121)</f>
        <v>369.33672178831614</v>
      </c>
      <c r="Q122" s="195">
        <f>SUM(Q117:Q121)</f>
        <v>348.23268949970623</v>
      </c>
      <c r="R122" s="18"/>
      <c r="S122" s="195">
        <f>SUM(S117:S121)</f>
        <v>399.47522552996423</v>
      </c>
      <c r="T122" s="195">
        <f>SUM(T117:T121)</f>
        <v>418.10956734700864</v>
      </c>
      <c r="U122" s="195">
        <f>SUM(U117:U121)</f>
        <v>387.79959517218686</v>
      </c>
      <c r="V122" s="195">
        <f>SUM(V117:V121)</f>
        <v>365.64035443066854</v>
      </c>
      <c r="W122" s="18"/>
      <c r="X122" s="195">
        <f>SUM(X117:X121)</f>
        <v>419.44430783059539</v>
      </c>
      <c r="Y122" s="195">
        <f>SUM(Y117:Y121)</f>
        <v>439.00620003281057</v>
      </c>
      <c r="Z122" s="195">
        <f>SUM(Z117:Z121)</f>
        <v>407.17791770261863</v>
      </c>
      <c r="AA122" s="195">
        <f>SUM(AA117:AA121)</f>
        <v>383.90877202842512</v>
      </c>
      <c r="AB122" s="18"/>
      <c r="AC122" s="195">
        <f>SUM(AC117:AC121)</f>
        <v>440.399360577263</v>
      </c>
      <c r="AD122" s="195">
        <f>SUM(AD117:AD121)</f>
        <v>460.94050994939641</v>
      </c>
      <c r="AE122" s="195">
        <f>SUM(AE117:AE121)</f>
        <v>427.52191014874757</v>
      </c>
      <c r="AF122" s="195">
        <f>SUM(AF117:AF121)</f>
        <v>403.09034085619214</v>
      </c>
      <c r="AG122" s="18"/>
      <c r="AH122" s="195">
        <f>SUM(AH117:AH121)</f>
        <v>462.4065233130396</v>
      </c>
      <c r="AI122" s="195">
        <f>SUM(AI117:AI121)</f>
        <v>483.97581244638172</v>
      </c>
      <c r="AJ122" s="195">
        <f>SUM(AJ117:AJ121)</f>
        <v>448.8872346461502</v>
      </c>
      <c r="AK122" s="195">
        <f>SUM(AK117:AK121)</f>
        <v>423.23496331475638</v>
      </c>
      <c r="AL122" s="18"/>
    </row>
    <row r="123" spans="1:38" ht="17.25" outlineLevel="1" x14ac:dyDescent="0.4">
      <c r="A123" s="300"/>
      <c r="B123" s="192" t="s">
        <v>162</v>
      </c>
      <c r="C123" s="166"/>
      <c r="D123" s="197">
        <v>41.4</v>
      </c>
      <c r="E123" s="306">
        <v>40.200000000000003</v>
      </c>
      <c r="F123" s="306">
        <v>48.8</v>
      </c>
      <c r="G123" s="306">
        <v>65.099999999999994</v>
      </c>
      <c r="H123" s="381"/>
      <c r="I123" s="306">
        <v>43</v>
      </c>
      <c r="J123" s="306">
        <v>43.1</v>
      </c>
      <c r="K123" s="306">
        <v>51</v>
      </c>
      <c r="L123" s="201">
        <f>AVERAGE(K123,J123,I123,G123)</f>
        <v>50.55</v>
      </c>
      <c r="M123" s="167"/>
      <c r="N123" s="201">
        <f>AVERAGE(L123,K123,J123,I123)</f>
        <v>46.912500000000001</v>
      </c>
      <c r="O123" s="201">
        <f>AVERAGE(N123,L123,K123,J123)</f>
        <v>47.890625</v>
      </c>
      <c r="P123" s="201">
        <f>AVERAGE(O123,N123,L123,K123)</f>
        <v>49.088281249999994</v>
      </c>
      <c r="Q123" s="201">
        <f>AVERAGE(P123,O123,N123,L123)</f>
        <v>48.6103515625</v>
      </c>
      <c r="R123" s="167"/>
      <c r="S123" s="201">
        <f>AVERAGE(Q123,P123,O123,N123)</f>
        <v>48.125439453124997</v>
      </c>
      <c r="T123" s="201">
        <f>AVERAGE(S123,Q123,P123,O123)</f>
        <v>48.428674316406244</v>
      </c>
      <c r="U123" s="201">
        <f>AVERAGE(T123,S123,Q123,P123)</f>
        <v>48.563186645507805</v>
      </c>
      <c r="V123" s="201">
        <f>AVERAGE(U123,T123,S123,Q123)</f>
        <v>48.43191299438476</v>
      </c>
      <c r="W123" s="167"/>
      <c r="X123" s="201">
        <f>AVERAGE(V123,U123,T123,S123)</f>
        <v>48.387303352355957</v>
      </c>
      <c r="Y123" s="201">
        <f>AVERAGE(X123,V123,U123,T123)</f>
        <v>48.452769327163693</v>
      </c>
      <c r="Z123" s="201">
        <f>AVERAGE(Y123,X123,V123,U123)</f>
        <v>48.458793079853052</v>
      </c>
      <c r="AA123" s="201">
        <f>AVERAGE(Z123,Y123,X123,V123)</f>
        <v>48.432694688439362</v>
      </c>
      <c r="AB123" s="167"/>
      <c r="AC123" s="201">
        <f>AVERAGE(AA123,Z123,Y123,X123)</f>
        <v>48.432890111953014</v>
      </c>
      <c r="AD123" s="201">
        <f>AVERAGE(AC123,AA123,Z123,Y123)</f>
        <v>48.444286801852286</v>
      </c>
      <c r="AE123" s="201">
        <f>AVERAGE(AD123,AC123,AA123,Z123)</f>
        <v>48.44216617052443</v>
      </c>
      <c r="AF123" s="201">
        <f>AVERAGE(AE123,AD123,AC123,AA123)</f>
        <v>48.438009443192271</v>
      </c>
      <c r="AG123" s="167"/>
      <c r="AH123" s="201">
        <f>AVERAGE(AF123,AE123,AD123,AC123)</f>
        <v>48.439338131880497</v>
      </c>
      <c r="AI123" s="201">
        <f>AVERAGE(AH123,AF123,AE123,AD123)</f>
        <v>48.440950136862369</v>
      </c>
      <c r="AJ123" s="201">
        <f>AVERAGE(AI123,AH123,AF123,AE123)</f>
        <v>48.440115970614897</v>
      </c>
      <c r="AK123" s="201">
        <f>AVERAGE(AJ123,AI123,AH123,AF123)</f>
        <v>48.439603420637511</v>
      </c>
      <c r="AL123" s="167"/>
    </row>
    <row r="124" spans="1:38" outlineLevel="1" x14ac:dyDescent="0.25">
      <c r="A124" s="300"/>
      <c r="B124" s="191" t="s">
        <v>194</v>
      </c>
      <c r="C124" s="166"/>
      <c r="D124" s="449">
        <f>D115-D122+D123</f>
        <v>175.80000000000004</v>
      </c>
      <c r="E124" s="449">
        <f>E115-E122+E123</f>
        <v>148.89999999999998</v>
      </c>
      <c r="F124" s="449">
        <f>F115-F122+F123</f>
        <v>181.89999999999998</v>
      </c>
      <c r="G124" s="449">
        <f>G115-G122+G123</f>
        <v>190.89999999999995</v>
      </c>
      <c r="H124" s="368">
        <f>SUM(D124:G124)</f>
        <v>697.5</v>
      </c>
      <c r="I124" s="449">
        <f>I115-I122+I123</f>
        <v>175.5</v>
      </c>
      <c r="J124" s="449">
        <f>J115-J122+J123</f>
        <v>189.6</v>
      </c>
      <c r="K124" s="449">
        <f>K115-K122+K123</f>
        <v>124.20000000000005</v>
      </c>
      <c r="L124" s="232">
        <f>L115-L122+L123</f>
        <v>157.01538627640718</v>
      </c>
      <c r="M124" s="67">
        <f>SUM(I124:L124)</f>
        <v>646.31538627640725</v>
      </c>
      <c r="N124" s="232">
        <f>N115-N122+N123</f>
        <v>185.78629311713073</v>
      </c>
      <c r="O124" s="232">
        <f>O115-O122+O123</f>
        <v>194.74280518052831</v>
      </c>
      <c r="P124" s="232">
        <f>P115-P122+P123</f>
        <v>171.78155946168388</v>
      </c>
      <c r="Q124" s="232">
        <f>Q115-Q122+Q123</f>
        <v>164.27296206279385</v>
      </c>
      <c r="R124" s="67">
        <f>SUM(N124:Q124)</f>
        <v>716.58361982213682</v>
      </c>
      <c r="S124" s="232">
        <f>S115-S122+S123</f>
        <v>193.94671392316081</v>
      </c>
      <c r="T124" s="232">
        <f>T115-T122+T123</f>
        <v>202.62685696939766</v>
      </c>
      <c r="U124" s="232">
        <f>U115-U122+U123</f>
        <v>177.39509147332103</v>
      </c>
      <c r="V124" s="232">
        <f>V115-V122+V123</f>
        <v>169.88162356371632</v>
      </c>
      <c r="W124" s="67">
        <f>SUM(S124:V124)</f>
        <v>743.85028592959577</v>
      </c>
      <c r="X124" s="232">
        <f>X115-X122+X123</f>
        <v>201.50432052176058</v>
      </c>
      <c r="Y124" s="232">
        <f>Y115-Y122+Y123</f>
        <v>210.36970679435319</v>
      </c>
      <c r="Z124" s="232">
        <f>Z115-Z122+Z123</f>
        <v>183.74395037723454</v>
      </c>
      <c r="AA124" s="232">
        <f>AA115-AA122+AA123</f>
        <v>175.9684909100144</v>
      </c>
      <c r="AB124" s="67">
        <f>SUM(X124:AA124)</f>
        <v>771.58646860336262</v>
      </c>
      <c r="AC124" s="232">
        <f>AC115-AC122+AC123</f>
        <v>209.2229207846901</v>
      </c>
      <c r="AD124" s="232">
        <f>AD115-AD122+AD123</f>
        <v>218.47307122745599</v>
      </c>
      <c r="AE124" s="232">
        <f>AE115-AE122+AE123</f>
        <v>190.50648477177702</v>
      </c>
      <c r="AF124" s="232">
        <f>AF115-AF122+AF123</f>
        <v>182.36446524950028</v>
      </c>
      <c r="AG124" s="67">
        <f>SUM(AC124:AF124)</f>
        <v>800.56694203342352</v>
      </c>
      <c r="AH124" s="232">
        <f>AH115-AH122+AH123</f>
        <v>217.28167563134099</v>
      </c>
      <c r="AI124" s="232">
        <f>AI115-AI122+AI123</f>
        <v>226.98289678423075</v>
      </c>
      <c r="AJ124" s="232">
        <f>AJ115-AJ122+AJ123</f>
        <v>197.61842151196493</v>
      </c>
      <c r="AK124" s="232">
        <f>AK115-AK122+AK123</f>
        <v>189.07227660150636</v>
      </c>
      <c r="AL124" s="67">
        <f>SUM(AH124:AK124)</f>
        <v>830.95527052904299</v>
      </c>
    </row>
    <row r="125" spans="1:38" outlineLevel="1" x14ac:dyDescent="0.25">
      <c r="A125" s="300"/>
      <c r="B125" s="191" t="s">
        <v>195</v>
      </c>
      <c r="C125" s="166"/>
      <c r="D125" s="450">
        <f>+D124/D115</f>
        <v>0.34839476813317488</v>
      </c>
      <c r="E125" s="450">
        <f>+E124/E115</f>
        <v>0.33340797133900574</v>
      </c>
      <c r="F125" s="450">
        <f>+F124/F115</f>
        <v>0.34108381773860863</v>
      </c>
      <c r="G125" s="450">
        <f>+G124/G115</f>
        <v>0.37571344223578024</v>
      </c>
      <c r="H125" s="365">
        <f>H124/H115</f>
        <v>0.35004516711833789</v>
      </c>
      <c r="I125" s="450">
        <f>+I124/I115</f>
        <v>0.3548321876263647</v>
      </c>
      <c r="J125" s="450">
        <f>+J124/J115</f>
        <v>0.36524754382585239</v>
      </c>
      <c r="K125" s="450">
        <f>+K124/K115</f>
        <v>0.27766599597585523</v>
      </c>
      <c r="L125" s="233">
        <f>+L124/L115</f>
        <v>0.3723187643937067</v>
      </c>
      <c r="M125" s="96">
        <f>M124/M115</f>
        <v>0.34328756077044115</v>
      </c>
      <c r="N125" s="233">
        <f>+N124/N115</f>
        <v>0.35774227007323034</v>
      </c>
      <c r="O125" s="233">
        <f>+O124/O115</f>
        <v>0.35729019122937739</v>
      </c>
      <c r="P125" s="233">
        <f>+P124/P115</f>
        <v>0.3491282227947155</v>
      </c>
      <c r="Q125" s="233">
        <f>+Q124/Q115</f>
        <v>0.35411646132822172</v>
      </c>
      <c r="R125" s="96">
        <f>R124/R115</f>
        <v>0.35468988096637272</v>
      </c>
      <c r="S125" s="233">
        <f>+S124/S115</f>
        <v>0.35567203149692106</v>
      </c>
      <c r="T125" s="233">
        <f>+T124/T115</f>
        <v>0.35405226815362478</v>
      </c>
      <c r="U125" s="233">
        <f>+U124/U115</f>
        <v>0.34336870956053012</v>
      </c>
      <c r="V125" s="233">
        <f>+V124/V115</f>
        <v>0.34876840192525027</v>
      </c>
      <c r="W125" s="96">
        <f>W124/W115</f>
        <v>0.350653483151807</v>
      </c>
      <c r="X125" s="233">
        <f>+X124/X115</f>
        <v>0.35193491373480484</v>
      </c>
      <c r="Y125" s="233">
        <f>+Y124/Y115</f>
        <v>0.35007756178193949</v>
      </c>
      <c r="Z125" s="233">
        <f>+Z124/Z115</f>
        <v>0.33872158096149585</v>
      </c>
      <c r="AA125" s="233">
        <f>+AA124/AA115</f>
        <v>0.3440617064565224</v>
      </c>
      <c r="AB125" s="96">
        <f>AB124/AB115</f>
        <v>0.34640801079051886</v>
      </c>
      <c r="AC125" s="233">
        <f>+AC124/AC115</f>
        <v>0.34801499133188518</v>
      </c>
      <c r="AD125" s="233">
        <f>+AD124/AD115</f>
        <v>0.34624992559085171</v>
      </c>
      <c r="AE125" s="233">
        <f>+AE124/AE115</f>
        <v>0.33446469587205058</v>
      </c>
      <c r="AF125" s="233">
        <f>+AF124/AF115</f>
        <v>0.3395880098776709</v>
      </c>
      <c r="AG125" s="96">
        <f>AG124/AG115</f>
        <v>0.34230376624315573</v>
      </c>
      <c r="AH125" s="233">
        <f>+AH124/AH115</f>
        <v>0.3442092162379049</v>
      </c>
      <c r="AI125" s="233">
        <f>+AI124/AI115</f>
        <v>0.34260650928771758</v>
      </c>
      <c r="AJ125" s="233">
        <f>+AJ124/AJ115</f>
        <v>0.33042937309180087</v>
      </c>
      <c r="AK125" s="233">
        <f>+AK124/AK115</f>
        <v>0.33531322665824481</v>
      </c>
      <c r="AL125" s="96">
        <f>AL124/AL115</f>
        <v>0.3383781974014593</v>
      </c>
    </row>
    <row r="126" spans="1:38" s="234" customFormat="1" outlineLevel="1" x14ac:dyDescent="0.25">
      <c r="A126" s="316"/>
      <c r="B126" s="237" t="s">
        <v>190</v>
      </c>
      <c r="C126" s="235"/>
      <c r="D126" s="339">
        <f t="shared" ref="D126" si="523">+D122-D119</f>
        <v>370.2</v>
      </c>
      <c r="E126" s="339">
        <f>+E122-E119</f>
        <v>325.60000000000002</v>
      </c>
      <c r="F126" s="339">
        <f>+F122-F119</f>
        <v>400</v>
      </c>
      <c r="G126" s="339">
        <f>+G122-G119</f>
        <v>382.00000000000006</v>
      </c>
      <c r="H126" s="380"/>
      <c r="I126" s="339">
        <f t="shared" ref="I126:K126" si="524">+I122-I119</f>
        <v>361.8</v>
      </c>
      <c r="J126" s="339">
        <f t="shared" si="524"/>
        <v>372.3</v>
      </c>
      <c r="K126" s="339">
        <f t="shared" si="524"/>
        <v>373.79999999999995</v>
      </c>
      <c r="L126" s="213">
        <f>+L122-L119</f>
        <v>314.95138500000007</v>
      </c>
      <c r="M126" s="236"/>
      <c r="N126" s="213">
        <f t="shared" ref="N126:Q126" si="525">+N122-N119</f>
        <v>380.14955999999989</v>
      </c>
      <c r="O126" s="213">
        <f t="shared" si="525"/>
        <v>397.89015000000012</v>
      </c>
      <c r="P126" s="213">
        <f t="shared" si="525"/>
        <v>369.02250000000009</v>
      </c>
      <c r="Q126" s="213">
        <f t="shared" si="525"/>
        <v>347.92147499999999</v>
      </c>
      <c r="R126" s="236"/>
      <c r="S126" s="213">
        <f t="shared" ref="S126:V126" si="526">+S122-S119</f>
        <v>399.157038</v>
      </c>
      <c r="T126" s="213">
        <f t="shared" si="526"/>
        <v>417.78465750000004</v>
      </c>
      <c r="U126" s="213">
        <f t="shared" si="526"/>
        <v>387.47362500000003</v>
      </c>
      <c r="V126" s="213">
        <f t="shared" si="526"/>
        <v>365.31754875000013</v>
      </c>
      <c r="W126" s="236"/>
      <c r="X126" s="213">
        <f t="shared" ref="X126:AA126" si="527">+X122-X119</f>
        <v>419.11488989999998</v>
      </c>
      <c r="Y126" s="213">
        <f t="shared" si="527"/>
        <v>438.67389037499998</v>
      </c>
      <c r="Z126" s="213">
        <f t="shared" si="527"/>
        <v>406.84730625000014</v>
      </c>
      <c r="AA126" s="213">
        <f t="shared" si="527"/>
        <v>383.58342618750009</v>
      </c>
      <c r="AB126" s="236"/>
      <c r="AC126" s="213">
        <f t="shared" ref="AC126:AF126" si="528">+AC122-AC119</f>
        <v>440.07063439500013</v>
      </c>
      <c r="AD126" s="213">
        <f t="shared" si="528"/>
        <v>460.60758489375007</v>
      </c>
      <c r="AE126" s="213">
        <f t="shared" si="528"/>
        <v>427.18967156250011</v>
      </c>
      <c r="AF126" s="213">
        <f t="shared" si="528"/>
        <v>402.76259749687512</v>
      </c>
      <c r="AG126" s="236"/>
      <c r="AH126" s="213">
        <f t="shared" ref="AH126:AK126" si="529">+AH122-AH119</f>
        <v>462.07416611474997</v>
      </c>
      <c r="AI126" s="213">
        <f t="shared" si="529"/>
        <v>483.63796413843755</v>
      </c>
      <c r="AJ126" s="213">
        <f t="shared" si="529"/>
        <v>448.54915514062526</v>
      </c>
      <c r="AK126" s="213">
        <f t="shared" si="529"/>
        <v>422.90072737171892</v>
      </c>
      <c r="AL126" s="236"/>
    </row>
    <row r="127" spans="1:38" s="234" customFormat="1" outlineLevel="1" x14ac:dyDescent="0.25">
      <c r="A127" s="316"/>
      <c r="B127" s="237" t="s">
        <v>191</v>
      </c>
      <c r="C127" s="235"/>
      <c r="D127" s="238">
        <f>+D126/D115</f>
        <v>0.73365041617122473</v>
      </c>
      <c r="E127" s="238">
        <f>+E126/E115</f>
        <v>0.72906403940886699</v>
      </c>
      <c r="F127" s="238">
        <f>+F126/F115</f>
        <v>0.75004687792987068</v>
      </c>
      <c r="G127" s="330">
        <f>+G126/G115</f>
        <v>0.75182050777406029</v>
      </c>
      <c r="H127" s="236"/>
      <c r="I127" s="330">
        <f t="shared" ref="I127:K127" si="530">+I126/I115</f>
        <v>0.73150020218358269</v>
      </c>
      <c r="J127" s="330">
        <f t="shared" si="530"/>
        <v>0.7172028510884223</v>
      </c>
      <c r="K127" s="330">
        <f t="shared" si="530"/>
        <v>0.83568075117370877</v>
      </c>
      <c r="L127" s="239">
        <f>+G127-0.5%</f>
        <v>0.74682050777406028</v>
      </c>
      <c r="M127" s="236"/>
      <c r="N127" s="239">
        <v>0.73199999999999998</v>
      </c>
      <c r="O127" s="239">
        <v>0.73</v>
      </c>
      <c r="P127" s="239">
        <v>0.75</v>
      </c>
      <c r="Q127" s="239">
        <v>0.75</v>
      </c>
      <c r="R127" s="236"/>
      <c r="S127" s="239">
        <f>+N127</f>
        <v>0.73199999999999998</v>
      </c>
      <c r="T127" s="239">
        <f>+O127</f>
        <v>0.73</v>
      </c>
      <c r="U127" s="239">
        <f>+P127</f>
        <v>0.75</v>
      </c>
      <c r="V127" s="239">
        <f>+Q127</f>
        <v>0.75</v>
      </c>
      <c r="W127" s="236"/>
      <c r="X127" s="239">
        <f>+S127</f>
        <v>0.73199999999999998</v>
      </c>
      <c r="Y127" s="239">
        <f>+T127</f>
        <v>0.73</v>
      </c>
      <c r="Z127" s="239">
        <f>+U127</f>
        <v>0.75</v>
      </c>
      <c r="AA127" s="239">
        <f>+V127</f>
        <v>0.75</v>
      </c>
      <c r="AB127" s="236"/>
      <c r="AC127" s="239">
        <f>+X127</f>
        <v>0.73199999999999998</v>
      </c>
      <c r="AD127" s="239">
        <f>+Y127</f>
        <v>0.73</v>
      </c>
      <c r="AE127" s="239">
        <f>+Z127</f>
        <v>0.75</v>
      </c>
      <c r="AF127" s="239">
        <f>+AA127</f>
        <v>0.75</v>
      </c>
      <c r="AG127" s="236"/>
      <c r="AH127" s="239">
        <f>+AC127</f>
        <v>0.73199999999999998</v>
      </c>
      <c r="AI127" s="239">
        <f>+AD127</f>
        <v>0.73</v>
      </c>
      <c r="AJ127" s="239">
        <f>+AE127</f>
        <v>0.75</v>
      </c>
      <c r="AK127" s="239">
        <f>+AF127</f>
        <v>0.75</v>
      </c>
      <c r="AL127" s="236"/>
    </row>
    <row r="128" spans="1:38" ht="18" x14ac:dyDescent="0.4">
      <c r="A128" s="300"/>
      <c r="B128" s="511" t="s">
        <v>196</v>
      </c>
      <c r="C128" s="512"/>
      <c r="D128" s="36" t="s">
        <v>123</v>
      </c>
      <c r="E128" s="36" t="s">
        <v>280</v>
      </c>
      <c r="F128" s="36" t="s">
        <v>284</v>
      </c>
      <c r="G128" s="36" t="s">
        <v>294</v>
      </c>
      <c r="H128" s="104" t="s">
        <v>295</v>
      </c>
      <c r="I128" s="36" t="s">
        <v>296</v>
      </c>
      <c r="J128" s="36" t="s">
        <v>297</v>
      </c>
      <c r="K128" s="36" t="s">
        <v>298</v>
      </c>
      <c r="L128" s="34" t="s">
        <v>141</v>
      </c>
      <c r="M128" s="107" t="s">
        <v>142</v>
      </c>
      <c r="N128" s="34" t="s">
        <v>143</v>
      </c>
      <c r="O128" s="34" t="s">
        <v>144</v>
      </c>
      <c r="P128" s="34" t="s">
        <v>145</v>
      </c>
      <c r="Q128" s="34" t="s">
        <v>146</v>
      </c>
      <c r="R128" s="107" t="s">
        <v>147</v>
      </c>
      <c r="S128" s="34" t="s">
        <v>148</v>
      </c>
      <c r="T128" s="34" t="s">
        <v>149</v>
      </c>
      <c r="U128" s="34" t="s">
        <v>150</v>
      </c>
      <c r="V128" s="34" t="s">
        <v>151</v>
      </c>
      <c r="W128" s="107" t="s">
        <v>152</v>
      </c>
      <c r="X128" s="34" t="s">
        <v>153</v>
      </c>
      <c r="Y128" s="34" t="s">
        <v>154</v>
      </c>
      <c r="Z128" s="34" t="s">
        <v>155</v>
      </c>
      <c r="AA128" s="34" t="s">
        <v>156</v>
      </c>
      <c r="AB128" s="107" t="s">
        <v>157</v>
      </c>
      <c r="AC128" s="34" t="s">
        <v>289</v>
      </c>
      <c r="AD128" s="34" t="s">
        <v>290</v>
      </c>
      <c r="AE128" s="34" t="s">
        <v>291</v>
      </c>
      <c r="AF128" s="34" t="s">
        <v>292</v>
      </c>
      <c r="AG128" s="107" t="s">
        <v>293</v>
      </c>
      <c r="AH128" s="34" t="s">
        <v>322</v>
      </c>
      <c r="AI128" s="34" t="s">
        <v>323</v>
      </c>
      <c r="AJ128" s="34" t="s">
        <v>324</v>
      </c>
      <c r="AK128" s="34" t="s">
        <v>325</v>
      </c>
      <c r="AL128" s="107" t="s">
        <v>326</v>
      </c>
    </row>
    <row r="129" spans="1:38" s="20" customFormat="1" outlineLevel="1" x14ac:dyDescent="0.25">
      <c r="A129" s="315"/>
      <c r="B129" s="509" t="s">
        <v>342</v>
      </c>
      <c r="C129" s="510"/>
      <c r="D129" s="193">
        <v>11.6</v>
      </c>
      <c r="E129" s="193">
        <v>15.8</v>
      </c>
      <c r="F129" s="193">
        <v>23.3</v>
      </c>
      <c r="G129" s="193">
        <v>15.4</v>
      </c>
      <c r="H129" s="18"/>
      <c r="I129" s="193">
        <v>20.5</v>
      </c>
      <c r="J129" s="193">
        <v>12</v>
      </c>
      <c r="K129" s="193">
        <v>19.7</v>
      </c>
      <c r="L129" s="193">
        <f t="shared" ref="L129" si="531">+G129*(1+L130)</f>
        <v>13.09</v>
      </c>
      <c r="M129" s="18"/>
      <c r="N129" s="193">
        <f>+I129*(1+N130)</f>
        <v>19.474999999999998</v>
      </c>
      <c r="O129" s="193">
        <f>+J129*(1+O130)</f>
        <v>12.600000000000001</v>
      </c>
      <c r="P129" s="193">
        <f>+K129*(1+P130)</f>
        <v>21.67</v>
      </c>
      <c r="Q129" s="193">
        <f t="shared" ref="Q129" si="532">+L129*(1+Q130)</f>
        <v>14.399000000000001</v>
      </c>
      <c r="R129" s="18"/>
      <c r="S129" s="193">
        <f>+N129*(1+S130)</f>
        <v>21.422499999999999</v>
      </c>
      <c r="T129" s="193">
        <f>+O129*(1+T130)</f>
        <v>13.860000000000003</v>
      </c>
      <c r="U129" s="193">
        <f>+P129*(1+U130)</f>
        <v>23.837000000000003</v>
      </c>
      <c r="V129" s="193">
        <f t="shared" ref="V129" si="533">+Q129*(1+V130)</f>
        <v>15.838900000000002</v>
      </c>
      <c r="W129" s="18"/>
      <c r="X129" s="193">
        <f>+S129*(1+X130)</f>
        <v>23.56475</v>
      </c>
      <c r="Y129" s="193">
        <f>+T129*(1+Y130)</f>
        <v>15.246000000000004</v>
      </c>
      <c r="Z129" s="193">
        <f>+U129*(1+Z130)</f>
        <v>26.220700000000004</v>
      </c>
      <c r="AA129" s="193">
        <f t="shared" ref="AA129" si="534">+V129*(1+AA130)</f>
        <v>17.422790000000003</v>
      </c>
      <c r="AB129" s="27"/>
      <c r="AC129" s="193">
        <f>+X129*(1+AC130)</f>
        <v>25.921225000000003</v>
      </c>
      <c r="AD129" s="193">
        <f>+Y129*(1+AD130)</f>
        <v>16.770600000000005</v>
      </c>
      <c r="AE129" s="193">
        <f>+Z129*(1+AE130)</f>
        <v>28.842770000000009</v>
      </c>
      <c r="AF129" s="193">
        <f t="shared" ref="AF129" si="535">+AA129*(1+AF130)</f>
        <v>19.165069000000006</v>
      </c>
      <c r="AG129" s="27"/>
      <c r="AH129" s="193">
        <f>+AC129*(1+AH130)</f>
        <v>28.513347500000005</v>
      </c>
      <c r="AI129" s="193">
        <f>+AD129*(1+AI130)</f>
        <v>18.447660000000006</v>
      </c>
      <c r="AJ129" s="193">
        <f>+AE129*(1+AJ130)</f>
        <v>31.727047000000013</v>
      </c>
      <c r="AK129" s="193">
        <f t="shared" ref="AK129" si="536">+AF129*(1+AK130)</f>
        <v>21.081575900000008</v>
      </c>
      <c r="AL129" s="27"/>
    </row>
    <row r="130" spans="1:38" s="20" customFormat="1" outlineLevel="1" x14ac:dyDescent="0.25">
      <c r="A130" s="315"/>
      <c r="B130" s="94" t="s">
        <v>343</v>
      </c>
      <c r="C130" s="85"/>
      <c r="D130" s="64"/>
      <c r="E130" s="64"/>
      <c r="F130" s="64"/>
      <c r="G130" s="334"/>
      <c r="H130" s="384"/>
      <c r="I130" s="334">
        <f t="shared" ref="I130:J130" si="537">I129/D129-1</f>
        <v>0.76724137931034497</v>
      </c>
      <c r="J130" s="334">
        <f t="shared" si="537"/>
        <v>-0.24050632911392411</v>
      </c>
      <c r="K130" s="334">
        <f>K129/F129-1</f>
        <v>-0.15450643776824036</v>
      </c>
      <c r="L130" s="72">
        <v>-0.15</v>
      </c>
      <c r="M130" s="18"/>
      <c r="N130" s="72">
        <v>-0.05</v>
      </c>
      <c r="O130" s="72">
        <v>0.05</v>
      </c>
      <c r="P130" s="72">
        <v>0.1</v>
      </c>
      <c r="Q130" s="72">
        <v>0.1</v>
      </c>
      <c r="R130" s="18"/>
      <c r="S130" s="72">
        <v>0.1</v>
      </c>
      <c r="T130" s="72">
        <v>0.1</v>
      </c>
      <c r="U130" s="72">
        <f>AVERAGE(T130,S130,Q130,P130)</f>
        <v>0.1</v>
      </c>
      <c r="V130" s="72">
        <f>AVERAGE(U130,T130,S130,Q130)</f>
        <v>0.1</v>
      </c>
      <c r="W130" s="18"/>
      <c r="X130" s="72">
        <f>AVERAGE(V130,U130,T130,S130)</f>
        <v>0.1</v>
      </c>
      <c r="Y130" s="72">
        <f>AVERAGE(X130,V130,U130,T130)</f>
        <v>0.1</v>
      </c>
      <c r="Z130" s="72">
        <f>AVERAGE(Y130,X130,V130,U130)</f>
        <v>0.1</v>
      </c>
      <c r="AA130" s="72">
        <f>AVERAGE(Z130,Y130,X130,V130)</f>
        <v>0.1</v>
      </c>
      <c r="AB130" s="27"/>
      <c r="AC130" s="72">
        <f>AVERAGE(AA130,Z130,Y130,X130)</f>
        <v>0.1</v>
      </c>
      <c r="AD130" s="72">
        <f>AVERAGE(AC130,AA130,Z130,Y130)</f>
        <v>0.1</v>
      </c>
      <c r="AE130" s="72">
        <f>AVERAGE(AD130,AC130,AA130,Z130)</f>
        <v>0.1</v>
      </c>
      <c r="AF130" s="72">
        <f>AVERAGE(AE130,AD130,AC130,AA130)</f>
        <v>0.1</v>
      </c>
      <c r="AG130" s="27"/>
      <c r="AH130" s="72">
        <f>AVERAGE(AF130,AE130,AD130,AC130)</f>
        <v>0.1</v>
      </c>
      <c r="AI130" s="72">
        <f>AVERAGE(AH130,AF130,AE130,AD130)</f>
        <v>0.1</v>
      </c>
      <c r="AJ130" s="72">
        <f>AVERAGE(AI130,AH130,AF130,AE130)</f>
        <v>0.1</v>
      </c>
      <c r="AK130" s="72">
        <f>AVERAGE(AJ130,AI130,AH130,AF130)</f>
        <v>0.1</v>
      </c>
      <c r="AL130" s="27"/>
    </row>
    <row r="131" spans="1:38" outlineLevel="1" x14ac:dyDescent="0.25">
      <c r="A131" s="300"/>
      <c r="B131" s="549" t="s">
        <v>299</v>
      </c>
      <c r="C131" s="550"/>
      <c r="D131" s="193">
        <v>13.4</v>
      </c>
      <c r="E131" s="193">
        <v>15.9</v>
      </c>
      <c r="F131" s="193">
        <v>22.4</v>
      </c>
      <c r="G131" s="307">
        <v>15.5</v>
      </c>
      <c r="H131" s="320"/>
      <c r="I131" s="307">
        <v>20.7</v>
      </c>
      <c r="J131" s="307">
        <v>10.199999999999999</v>
      </c>
      <c r="K131" s="307">
        <v>20.8</v>
      </c>
      <c r="L131" s="264">
        <f>AVERAGE(K131,J131,I131,G131)</f>
        <v>16.8</v>
      </c>
      <c r="M131" s="18"/>
      <c r="N131" s="264">
        <f>AVERAGE(L131,K131,J131,I131)</f>
        <v>17.125</v>
      </c>
      <c r="O131" s="264">
        <f>AVERAGE(N131,L131,K131,J131)</f>
        <v>16.231249999999999</v>
      </c>
      <c r="P131" s="264">
        <f>AVERAGE(O131,N131,L131,K131)</f>
        <v>17.739062499999999</v>
      </c>
      <c r="Q131" s="264">
        <f>AVERAGE(P131,O131,N131,L131)</f>
        <v>16.973828125000001</v>
      </c>
      <c r="R131" s="18"/>
      <c r="S131" s="264">
        <f>AVERAGE(Q131,P131,O131,N131)</f>
        <v>17.017285156250001</v>
      </c>
      <c r="T131" s="264">
        <f>AVERAGE(S131,Q131,P131,O131)</f>
        <v>16.9903564453125</v>
      </c>
      <c r="U131" s="264">
        <f>AVERAGE(T131,S131,Q131,P131)</f>
        <v>17.180133056640624</v>
      </c>
      <c r="V131" s="264">
        <f>AVERAGE(U131,T131,S131,Q131)</f>
        <v>17.040400695800781</v>
      </c>
      <c r="W131" s="18"/>
      <c r="X131" s="264">
        <f>AVERAGE(V131,U131,T131,S131)</f>
        <v>17.057043838500977</v>
      </c>
      <c r="Y131" s="264">
        <f>AVERAGE(X131,V131,U131,T131)</f>
        <v>17.066983509063721</v>
      </c>
      <c r="Z131" s="264">
        <f>AVERAGE(Y131,X131,V131,U131)</f>
        <v>17.086140275001526</v>
      </c>
      <c r="AA131" s="264">
        <f>AVERAGE(Z131,Y131,X131,V131)</f>
        <v>17.06264207959175</v>
      </c>
      <c r="AB131" s="18"/>
      <c r="AC131" s="264">
        <f>AVERAGE(AA131,Z131,Y131,X131)</f>
        <v>17.068202425539493</v>
      </c>
      <c r="AD131" s="264">
        <f>AVERAGE(AC131,AA131,Z131,Y131)</f>
        <v>17.070992072299124</v>
      </c>
      <c r="AE131" s="264">
        <f>AVERAGE(AD131,AC131,AA131,Z131)</f>
        <v>17.071994213107974</v>
      </c>
      <c r="AF131" s="264">
        <f>AVERAGE(AE131,AD131,AC131,AA131)</f>
        <v>17.068457697634585</v>
      </c>
      <c r="AG131" s="18"/>
      <c r="AH131" s="264">
        <f>AVERAGE(AF131,AE131,AD131,AC131)</f>
        <v>17.069911602145293</v>
      </c>
      <c r="AI131" s="264">
        <f>AVERAGE(AH131,AF131,AE131,AD131)</f>
        <v>17.070338896296743</v>
      </c>
      <c r="AJ131" s="264">
        <f>AVERAGE(AI131,AH131,AF131,AE131)</f>
        <v>17.07017560229615</v>
      </c>
      <c r="AK131" s="264">
        <f>AVERAGE(AJ131,AI131,AH131,AF131)</f>
        <v>17.069720949593194</v>
      </c>
      <c r="AL131" s="18"/>
    </row>
    <row r="132" spans="1:38" outlineLevel="1" x14ac:dyDescent="0.25">
      <c r="A132" s="300"/>
      <c r="B132" s="51" t="s">
        <v>159</v>
      </c>
      <c r="C132" s="40"/>
      <c r="D132" s="193">
        <v>3.2</v>
      </c>
      <c r="E132" s="193">
        <v>4.3</v>
      </c>
      <c r="F132" s="193">
        <v>5.8</v>
      </c>
      <c r="G132" s="307">
        <f>5.2+0.1</f>
        <v>5.3</v>
      </c>
      <c r="H132" s="320"/>
      <c r="I132" s="307">
        <v>2.8</v>
      </c>
      <c r="J132" s="307">
        <v>3.7</v>
      </c>
      <c r="K132" s="307">
        <v>4</v>
      </c>
      <c r="L132" s="264">
        <f t="shared" ref="L132" si="538">AVERAGE(K132,J132,I132,G132)</f>
        <v>3.95</v>
      </c>
      <c r="M132" s="18"/>
      <c r="N132" s="264">
        <f t="shared" ref="N132" si="539">AVERAGE(L132,K132,J132,I132)</f>
        <v>3.6124999999999998</v>
      </c>
      <c r="O132" s="264">
        <f t="shared" ref="O132" si="540">AVERAGE(N132,L132,K132,J132)</f>
        <v>3.8156249999999998</v>
      </c>
      <c r="P132" s="264">
        <f t="shared" ref="P132" si="541">AVERAGE(O132,N132,L132,K132)</f>
        <v>3.8445312500000002</v>
      </c>
      <c r="Q132" s="264">
        <f t="shared" ref="Q132" si="542">AVERAGE(P132,O132,N132,L132)</f>
        <v>3.8056640625</v>
      </c>
      <c r="R132" s="18"/>
      <c r="S132" s="264">
        <f t="shared" ref="S132" si="543">AVERAGE(Q132,P132,O132,N132)</f>
        <v>3.7695800781250002</v>
      </c>
      <c r="T132" s="264">
        <f t="shared" ref="T132" si="544">AVERAGE(S132,Q132,P132,O132)</f>
        <v>3.8088500976562498</v>
      </c>
      <c r="U132" s="264">
        <f t="shared" ref="U132" si="545">AVERAGE(T132,S132,Q132,P132)</f>
        <v>3.8071563720703123</v>
      </c>
      <c r="V132" s="264">
        <f t="shared" ref="V132" si="546">AVERAGE(U132,T132,S132,Q132)</f>
        <v>3.7978126525878908</v>
      </c>
      <c r="W132" s="18"/>
      <c r="X132" s="264">
        <f t="shared" ref="X132" si="547">AVERAGE(V132,U132,T132,S132)</f>
        <v>3.7958498001098633</v>
      </c>
      <c r="Y132" s="264">
        <f t="shared" ref="Y132" si="548">AVERAGE(X132,V132,U132,T132)</f>
        <v>3.8024172306060793</v>
      </c>
      <c r="Z132" s="264">
        <f t="shared" ref="Z132" si="549">AVERAGE(Y132,X132,V132,U132)</f>
        <v>3.8008090138435362</v>
      </c>
      <c r="AA132" s="264">
        <f t="shared" ref="AA132" si="550">AVERAGE(Z132,Y132,X132,V132)</f>
        <v>3.7992221742868422</v>
      </c>
      <c r="AB132" s="18"/>
      <c r="AC132" s="264">
        <f t="shared" ref="AC132" si="551">AVERAGE(AA132,Z132,Y132,X132)</f>
        <v>3.7995745547115805</v>
      </c>
      <c r="AD132" s="264">
        <f t="shared" ref="AD132" si="552">AVERAGE(AC132,AA132,Z132,Y132)</f>
        <v>3.8005057433620095</v>
      </c>
      <c r="AE132" s="264">
        <f t="shared" ref="AE132" si="553">AVERAGE(AD132,AC132,AA132,Z132)</f>
        <v>3.8000278715509923</v>
      </c>
      <c r="AF132" s="264">
        <f t="shared" ref="AF132" si="554">AVERAGE(AE132,AD132,AC132,AA132)</f>
        <v>3.7998325859778559</v>
      </c>
      <c r="AG132" s="18"/>
      <c r="AH132" s="264">
        <f t="shared" ref="AH132" si="555">AVERAGE(AF132,AE132,AD132,AC132)</f>
        <v>3.7999851889006093</v>
      </c>
      <c r="AI132" s="264">
        <f t="shared" ref="AI132" si="556">AVERAGE(AH132,AF132,AE132,AD132)</f>
        <v>3.800087847447867</v>
      </c>
      <c r="AJ132" s="264">
        <f t="shared" ref="AJ132" si="557">AVERAGE(AI132,AH132,AF132,AE132)</f>
        <v>3.7999833734693311</v>
      </c>
      <c r="AK132" s="264">
        <f t="shared" ref="AK132" si="558">AVERAGE(AJ132,AI132,AH132,AF132)</f>
        <v>3.7999722489489161</v>
      </c>
      <c r="AL132" s="18"/>
    </row>
    <row r="133" spans="1:38" outlineLevel="1" x14ac:dyDescent="0.25">
      <c r="A133" s="300"/>
      <c r="B133" s="51" t="s">
        <v>160</v>
      </c>
      <c r="C133" s="40"/>
      <c r="D133" s="230">
        <v>39.5</v>
      </c>
      <c r="E133" s="230">
        <v>40.5</v>
      </c>
      <c r="F133" s="230">
        <v>39.6</v>
      </c>
      <c r="G133" s="336">
        <v>37.299999999999997</v>
      </c>
      <c r="H133" s="384"/>
      <c r="I133" s="336">
        <v>34.9</v>
      </c>
      <c r="J133" s="336">
        <v>34.5</v>
      </c>
      <c r="K133" s="336">
        <v>40.9</v>
      </c>
      <c r="L133" s="230">
        <f>(K133/(K72+K105+K119+K133))*L242</f>
        <v>41.749182649817662</v>
      </c>
      <c r="M133" s="18"/>
      <c r="N133" s="230">
        <f>(L133/(L72+L105+L119+L133))*N242</f>
        <v>41.806191697867433</v>
      </c>
      <c r="O133" s="230">
        <f>(N133/(N72+N105+N119+N133))*O242</f>
        <v>42.627318721299943</v>
      </c>
      <c r="P133" s="230">
        <f>(O133/(O72+O105+O119+O133))*P242</f>
        <v>42.838903807086723</v>
      </c>
      <c r="Q133" s="230">
        <f>(P133/(P72+P105+P119+P133))*Q242</f>
        <v>42.428910126614348</v>
      </c>
      <c r="R133" s="18"/>
      <c r="S133" s="230">
        <f>(Q133/(Q72+Q105+Q119+Q133))*S242</f>
        <v>43.379566585125588</v>
      </c>
      <c r="T133" s="230">
        <f>(S133/(S72+S105+S119+S133))*T242</f>
        <v>44.296042475504017</v>
      </c>
      <c r="U133" s="230">
        <f>(T133/(T72+T105+T119+T133))*U242</f>
        <v>44.440600141474654</v>
      </c>
      <c r="V133" s="230">
        <f>(U133/(U72+U105+U119+U133))*V242</f>
        <v>44.009174464456805</v>
      </c>
      <c r="W133" s="18"/>
      <c r="X133" s="230">
        <f>(V133/(V72+V105+V119+V133))*X242</f>
        <v>44.910644537841819</v>
      </c>
      <c r="Y133" s="230">
        <f>(X133/(X72+X105+X119+X133))*Y242</f>
        <v>45.304883348173938</v>
      </c>
      <c r="Z133" s="230">
        <f>(Y133/(Y72+Y105+Y119+Y133))*Z242</f>
        <v>45.073361373652141</v>
      </c>
      <c r="AA133" s="230">
        <f>(Z133/(Z72+Z105+Z119+Z133))*AA242</f>
        <v>44.355482979448361</v>
      </c>
      <c r="AB133" s="18"/>
      <c r="AC133" s="230">
        <f>(AA133/(AA72+AA105+AA119+AA133))*AC242</f>
        <v>44.816336181837215</v>
      </c>
      <c r="AD133" s="230">
        <f>(AC133/(AC72+AC105+AC119+AC133))*AD242</f>
        <v>45.388782586449771</v>
      </c>
      <c r="AE133" s="230">
        <f>(AD133/(AD72+AD105+AD119+AD133))*AE242</f>
        <v>45.295193925067231</v>
      </c>
      <c r="AF133" s="230">
        <f>(AE133/(AE72+AE105+AE119+AE133))*AF242</f>
        <v>44.682344653553379</v>
      </c>
      <c r="AG133" s="18"/>
      <c r="AH133" s="230">
        <f>(AF133/(AF72+AF105+AF119+AF133))*AH242</f>
        <v>45.311364700151401</v>
      </c>
      <c r="AI133" s="230">
        <f>(AH133/(AH72+AH105+AH119+AH133))*AI242</f>
        <v>46.059985983057821</v>
      </c>
      <c r="AJ133" s="230">
        <f>(AI133/(AI72+AI105+AI119+AI133))*AJ242</f>
        <v>46.091505919904073</v>
      </c>
      <c r="AK133" s="230">
        <f>(AJ133/(AJ72+AJ105+AJ119+AJ133))*AK242</f>
        <v>45.567500234111918</v>
      </c>
      <c r="AL133" s="18"/>
    </row>
    <row r="134" spans="1:38" outlineLevel="1" x14ac:dyDescent="0.25">
      <c r="A134" s="300"/>
      <c r="B134" s="51" t="s">
        <v>161</v>
      </c>
      <c r="C134" s="40"/>
      <c r="D134" s="193">
        <v>300.39999999999998</v>
      </c>
      <c r="E134" s="193">
        <v>303.89999999999998</v>
      </c>
      <c r="F134" s="193">
        <v>299</v>
      </c>
      <c r="G134" s="307">
        <v>267.39999999999998</v>
      </c>
      <c r="H134" s="320"/>
      <c r="I134" s="307">
        <v>292.2</v>
      </c>
      <c r="J134" s="307">
        <v>271.60000000000002</v>
      </c>
      <c r="K134" s="307">
        <v>269.10000000000002</v>
      </c>
      <c r="L134" s="264">
        <f>AVERAGE(K134,J134,I134,G134)-20</f>
        <v>255.07500000000005</v>
      </c>
      <c r="M134" s="18"/>
      <c r="N134" s="264">
        <f>AVERAGE(L134,K134,J134,I134)-20</f>
        <v>251.99375000000003</v>
      </c>
      <c r="O134" s="264">
        <f>AVERAGE(N134,L134,K134,J134)-20</f>
        <v>241.94218750000005</v>
      </c>
      <c r="P134" s="264">
        <f>AVERAGE(O134,N134,L134,K134)-20</f>
        <v>234.52773437500005</v>
      </c>
      <c r="Q134" s="264">
        <f>AVERAGE(P134,O134,N134,L134)-20</f>
        <v>225.88466796875002</v>
      </c>
      <c r="R134" s="18"/>
      <c r="S134" s="264">
        <f t="shared" ref="S134:S135" si="559">AVERAGE(Q134,P134,O134,N134)</f>
        <v>238.58708496093755</v>
      </c>
      <c r="T134" s="264">
        <f t="shared" ref="T134:T135" si="560">AVERAGE(S134,Q134,P134,O134)</f>
        <v>235.23541870117191</v>
      </c>
      <c r="U134" s="264">
        <f t="shared" ref="U134:U135" si="561">AVERAGE(T134,S134,Q134,P134)</f>
        <v>233.55872650146486</v>
      </c>
      <c r="V134" s="264">
        <f t="shared" ref="V134:V135" si="562">AVERAGE(U134,T134,S134,Q134)</f>
        <v>233.31647453308108</v>
      </c>
      <c r="W134" s="18"/>
      <c r="X134" s="264">
        <f t="shared" ref="X134:X135" si="563">AVERAGE(V134,U134,T134,S134)</f>
        <v>235.17442617416384</v>
      </c>
      <c r="Y134" s="264">
        <f t="shared" ref="Y134:Y135" si="564">AVERAGE(X134,V134,U134,T134)</f>
        <v>234.32126147747044</v>
      </c>
      <c r="Z134" s="264">
        <f t="shared" ref="Z134:Z135" si="565">AVERAGE(Y134,X134,V134,U134)</f>
        <v>234.09272217154506</v>
      </c>
      <c r="AA134" s="264">
        <f t="shared" ref="AA134:AA135" si="566">AVERAGE(Z134,Y134,X134,V134)</f>
        <v>234.22622108906509</v>
      </c>
      <c r="AB134" s="18"/>
      <c r="AC134" s="264">
        <f t="shared" ref="AC134:AC135" si="567">AVERAGE(AA134,Z134,Y134,X134)</f>
        <v>234.4536577280611</v>
      </c>
      <c r="AD134" s="264">
        <f t="shared" ref="AD134:AD135" si="568">AVERAGE(AC134,AA134,Z134,Y134)</f>
        <v>234.27346561653542</v>
      </c>
      <c r="AE134" s="264">
        <f t="shared" ref="AE134:AE135" si="569">AVERAGE(AD134,AC134,AA134,Z134)</f>
        <v>234.26151665130169</v>
      </c>
      <c r="AF134" s="264">
        <f t="shared" ref="AF134:AF135" si="570">AVERAGE(AE134,AD134,AC134,AA134)</f>
        <v>234.30371527124083</v>
      </c>
      <c r="AG134" s="18"/>
      <c r="AH134" s="264">
        <f t="shared" ref="AH134:AH135" si="571">AVERAGE(AF134,AE134,AD134,AC134)</f>
        <v>234.32308881678475</v>
      </c>
      <c r="AI134" s="264">
        <f t="shared" ref="AI134:AI135" si="572">AVERAGE(AH134,AF134,AE134,AD134)</f>
        <v>234.29044658896566</v>
      </c>
      <c r="AJ134" s="264">
        <f t="shared" ref="AJ134:AJ135" si="573">AVERAGE(AI134,AH134,AF134,AE134)</f>
        <v>234.29469183207323</v>
      </c>
      <c r="AK134" s="264">
        <f t="shared" ref="AK134:AK135" si="574">AVERAGE(AJ134,AI134,AH134,AF134)</f>
        <v>234.30298562726614</v>
      </c>
      <c r="AL134" s="18"/>
    </row>
    <row r="135" spans="1:38" ht="17.25" outlineLevel="1" x14ac:dyDescent="0.4">
      <c r="A135" s="300"/>
      <c r="B135" s="51" t="s">
        <v>169</v>
      </c>
      <c r="C135" s="40"/>
      <c r="D135" s="337">
        <v>13.9</v>
      </c>
      <c r="E135" s="337">
        <v>0.6</v>
      </c>
      <c r="F135" s="337">
        <v>6</v>
      </c>
      <c r="G135" s="337">
        <v>-0.9</v>
      </c>
      <c r="H135" s="385"/>
      <c r="I135" s="337">
        <v>0.3</v>
      </c>
      <c r="J135" s="337">
        <v>0</v>
      </c>
      <c r="K135" s="337">
        <v>22.1</v>
      </c>
      <c r="L135" s="342">
        <f t="shared" ref="L135" si="575">AVERAGE(K135,J135,I135,G135)</f>
        <v>5.3750000000000009</v>
      </c>
      <c r="M135" s="18"/>
      <c r="N135" s="342">
        <f t="shared" ref="N135" si="576">AVERAGE(L135,K135,J135,I135)</f>
        <v>6.9437500000000005</v>
      </c>
      <c r="O135" s="342">
        <f t="shared" ref="O135" si="577">AVERAGE(N135,L135,K135,J135)</f>
        <v>8.6046875000000007</v>
      </c>
      <c r="P135" s="342">
        <f t="shared" ref="P135" si="578">AVERAGE(O135,N135,L135,K135)</f>
        <v>10.755859375</v>
      </c>
      <c r="Q135" s="342">
        <f t="shared" ref="Q135" si="579">AVERAGE(P135,O135,N135,L135)</f>
        <v>7.9198242187500005</v>
      </c>
      <c r="R135" s="18"/>
      <c r="S135" s="342">
        <f t="shared" si="559"/>
        <v>8.5560302734375</v>
      </c>
      <c r="T135" s="342">
        <f t="shared" si="560"/>
        <v>8.9591003417968764</v>
      </c>
      <c r="U135" s="342">
        <f t="shared" si="561"/>
        <v>9.0477035522460945</v>
      </c>
      <c r="V135" s="342">
        <f t="shared" si="562"/>
        <v>8.6206645965576172</v>
      </c>
      <c r="W135" s="18"/>
      <c r="X135" s="342">
        <f t="shared" si="563"/>
        <v>8.7958746910095229</v>
      </c>
      <c r="Y135" s="342">
        <f t="shared" si="564"/>
        <v>8.8558357954025269</v>
      </c>
      <c r="Z135" s="342">
        <f t="shared" si="565"/>
        <v>8.8300196588039412</v>
      </c>
      <c r="AA135" s="342">
        <f t="shared" si="566"/>
        <v>8.775598685443402</v>
      </c>
      <c r="AB135" s="18"/>
      <c r="AC135" s="342">
        <f t="shared" si="567"/>
        <v>8.8143322076648474</v>
      </c>
      <c r="AD135" s="342">
        <f t="shared" si="568"/>
        <v>8.8189465868286803</v>
      </c>
      <c r="AE135" s="342">
        <f t="shared" si="569"/>
        <v>8.8097242846852168</v>
      </c>
      <c r="AF135" s="342">
        <f t="shared" si="570"/>
        <v>8.8046504411555375</v>
      </c>
      <c r="AG135" s="18"/>
      <c r="AH135" s="342">
        <f t="shared" si="571"/>
        <v>8.8119133800835705</v>
      </c>
      <c r="AI135" s="342">
        <f t="shared" si="572"/>
        <v>8.8113086731882504</v>
      </c>
      <c r="AJ135" s="342">
        <f t="shared" si="573"/>
        <v>8.8093991947781447</v>
      </c>
      <c r="AK135" s="342">
        <f t="shared" si="574"/>
        <v>8.8093179223013749</v>
      </c>
      <c r="AL135" s="18"/>
    </row>
    <row r="136" spans="1:38" outlineLevel="1" x14ac:dyDescent="0.25">
      <c r="A136" s="300"/>
      <c r="B136" s="191" t="s">
        <v>197</v>
      </c>
      <c r="C136" s="43"/>
      <c r="D136" s="305">
        <f t="shared" ref="D136:J136" si="580">SUM(D131:D135)</f>
        <v>370.4</v>
      </c>
      <c r="E136" s="305">
        <f t="shared" si="580"/>
        <v>365.2</v>
      </c>
      <c r="F136" s="305">
        <f t="shared" si="580"/>
        <v>372.8</v>
      </c>
      <c r="G136" s="305">
        <f t="shared" si="580"/>
        <v>324.60000000000002</v>
      </c>
      <c r="H136" s="384"/>
      <c r="I136" s="305">
        <f t="shared" si="580"/>
        <v>350.9</v>
      </c>
      <c r="J136" s="305">
        <f t="shared" si="580"/>
        <v>320</v>
      </c>
      <c r="K136" s="305">
        <f>SUM(K131:K135)</f>
        <v>356.90000000000003</v>
      </c>
      <c r="L136" s="195">
        <f>SUM(L131:L135)</f>
        <v>322.94918264981771</v>
      </c>
      <c r="M136" s="21"/>
      <c r="N136" s="195">
        <f t="shared" ref="N136" si="581">SUM(N131:N135)</f>
        <v>321.48119169786747</v>
      </c>
      <c r="O136" s="195">
        <f t="shared" ref="O136" si="582">SUM(O131:O135)</f>
        <v>313.22106872130001</v>
      </c>
      <c r="P136" s="195">
        <f t="shared" ref="P136" si="583">SUM(P131:P135)</f>
        <v>309.70609130708681</v>
      </c>
      <c r="Q136" s="195">
        <f t="shared" ref="Q136" si="584">SUM(Q131:Q135)</f>
        <v>297.01289450161437</v>
      </c>
      <c r="R136" s="21"/>
      <c r="S136" s="195">
        <f t="shared" ref="S136" si="585">SUM(S131:S135)</f>
        <v>311.30954705387563</v>
      </c>
      <c r="T136" s="195">
        <f t="shared" ref="T136" si="586">SUM(T131:T135)</f>
        <v>309.28976806144158</v>
      </c>
      <c r="U136" s="195">
        <f t="shared" ref="U136" si="587">SUM(U131:U135)</f>
        <v>308.03431962389658</v>
      </c>
      <c r="V136" s="195">
        <f t="shared" ref="V136" si="588">SUM(V131:V135)</f>
        <v>306.78452694248415</v>
      </c>
      <c r="W136" s="21"/>
      <c r="X136" s="195">
        <f t="shared" ref="X136" si="589">SUM(X131:X135)</f>
        <v>309.73383904162603</v>
      </c>
      <c r="Y136" s="195">
        <f t="shared" ref="Y136" si="590">SUM(Y131:Y135)</f>
        <v>309.35138136071669</v>
      </c>
      <c r="Z136" s="195">
        <f t="shared" ref="Z136" si="591">SUM(Z131:Z135)</f>
        <v>308.88305249284622</v>
      </c>
      <c r="AA136" s="195">
        <f t="shared" ref="AA136" si="592">SUM(AA131:AA135)</f>
        <v>308.21916700783544</v>
      </c>
      <c r="AB136" s="21"/>
      <c r="AC136" s="195">
        <f t="shared" ref="AC136" si="593">SUM(AC131:AC135)</f>
        <v>308.95210309781424</v>
      </c>
      <c r="AD136" s="195">
        <f t="shared" ref="AD136" si="594">SUM(AD131:AD135)</f>
        <v>309.352692605475</v>
      </c>
      <c r="AE136" s="195">
        <f t="shared" ref="AE136" si="595">SUM(AE131:AE135)</f>
        <v>309.2384569457131</v>
      </c>
      <c r="AF136" s="195">
        <f t="shared" ref="AF136" si="596">SUM(AF131:AF135)</f>
        <v>308.65900064956224</v>
      </c>
      <c r="AG136" s="21"/>
      <c r="AH136" s="195">
        <f t="shared" ref="AH136" si="597">SUM(AH131:AH135)</f>
        <v>309.31626368806565</v>
      </c>
      <c r="AI136" s="195">
        <f t="shared" ref="AI136" si="598">SUM(AI131:AI135)</f>
        <v>310.03216798895636</v>
      </c>
      <c r="AJ136" s="195">
        <f t="shared" ref="AJ136" si="599">SUM(AJ131:AJ135)</f>
        <v>310.06575592252096</v>
      </c>
      <c r="AK136" s="195">
        <f t="shared" ref="AK136" si="600">SUM(AK131:AK135)</f>
        <v>309.54949698222151</v>
      </c>
      <c r="AL136" s="21"/>
    </row>
    <row r="137" spans="1:38" outlineLevel="1" x14ac:dyDescent="0.25">
      <c r="A137" s="300"/>
      <c r="B137" s="191" t="s">
        <v>198</v>
      </c>
      <c r="C137" s="166"/>
      <c r="D137" s="449">
        <f t="shared" ref="D137:J137" si="601">D129-D136</f>
        <v>-358.79999999999995</v>
      </c>
      <c r="E137" s="449">
        <f t="shared" si="601"/>
        <v>-349.4</v>
      </c>
      <c r="F137" s="449">
        <f t="shared" si="601"/>
        <v>-349.5</v>
      </c>
      <c r="G137" s="449">
        <f t="shared" si="601"/>
        <v>-309.20000000000005</v>
      </c>
      <c r="H137" s="451"/>
      <c r="I137" s="449">
        <f t="shared" si="601"/>
        <v>-330.4</v>
      </c>
      <c r="J137" s="449">
        <f t="shared" si="601"/>
        <v>-308</v>
      </c>
      <c r="K137" s="449">
        <f>K129-K136</f>
        <v>-337.20000000000005</v>
      </c>
      <c r="L137" s="232">
        <f>L129-L136</f>
        <v>-309.85918264981774</v>
      </c>
      <c r="M137" s="21"/>
      <c r="N137" s="232">
        <f t="shared" ref="N137:Q137" si="602">N129-N136</f>
        <v>-302.00619169786745</v>
      </c>
      <c r="O137" s="232">
        <f t="shared" si="602"/>
        <v>-300.62106872129999</v>
      </c>
      <c r="P137" s="232">
        <f t="shared" si="602"/>
        <v>-288.03609130708679</v>
      </c>
      <c r="Q137" s="232">
        <f t="shared" si="602"/>
        <v>-282.61389450161437</v>
      </c>
      <c r="R137" s="21"/>
      <c r="S137" s="232">
        <f t="shared" ref="S137" si="603">S129-S136</f>
        <v>-289.88704705387562</v>
      </c>
      <c r="T137" s="232">
        <f t="shared" ref="T137" si="604">T129-T136</f>
        <v>-295.42976806144156</v>
      </c>
      <c r="U137" s="232">
        <f t="shared" ref="U137" si="605">U129-U136</f>
        <v>-284.19731962389659</v>
      </c>
      <c r="V137" s="232">
        <f t="shared" ref="V137" si="606">V129-V136</f>
        <v>-290.94562694248413</v>
      </c>
      <c r="W137" s="21"/>
      <c r="X137" s="232">
        <f t="shared" ref="X137" si="607">X129-X136</f>
        <v>-286.16908904162602</v>
      </c>
      <c r="Y137" s="232">
        <f t="shared" ref="Y137" si="608">Y129-Y136</f>
        <v>-294.10538136071671</v>
      </c>
      <c r="Z137" s="232">
        <f t="shared" ref="Z137" si="609">Z129-Z136</f>
        <v>-282.6623524928462</v>
      </c>
      <c r="AA137" s="232">
        <f t="shared" ref="AA137" si="610">AA129-AA136</f>
        <v>-290.79637700783542</v>
      </c>
      <c r="AB137" s="21"/>
      <c r="AC137" s="232">
        <f t="shared" ref="AC137" si="611">AC129-AC136</f>
        <v>-283.03087809781425</v>
      </c>
      <c r="AD137" s="232">
        <f t="shared" ref="AD137" si="612">AD129-AD136</f>
        <v>-292.582092605475</v>
      </c>
      <c r="AE137" s="232">
        <f t="shared" ref="AE137" si="613">AE129-AE136</f>
        <v>-280.39568694571307</v>
      </c>
      <c r="AF137" s="232">
        <f t="shared" ref="AF137" si="614">AF129-AF136</f>
        <v>-289.49393164956223</v>
      </c>
      <c r="AG137" s="21"/>
      <c r="AH137" s="232">
        <f t="shared" ref="AH137" si="615">AH129-AH136</f>
        <v>-280.80291618806564</v>
      </c>
      <c r="AI137" s="232">
        <f t="shared" ref="AI137" si="616">AI129-AI136</f>
        <v>-291.58450798895637</v>
      </c>
      <c r="AJ137" s="232">
        <f t="shared" ref="AJ137" si="617">AJ129-AJ136</f>
        <v>-278.33870892252094</v>
      </c>
      <c r="AK137" s="232">
        <f t="shared" ref="AK137" si="618">AK129-AK136</f>
        <v>-288.46792108222149</v>
      </c>
      <c r="AL137" s="21"/>
    </row>
    <row r="138" spans="1:38" s="234" customFormat="1" outlineLevel="1" x14ac:dyDescent="0.25">
      <c r="A138" s="316"/>
      <c r="B138" s="237" t="s">
        <v>190</v>
      </c>
      <c r="C138" s="235"/>
      <c r="D138" s="213">
        <f t="shared" ref="D138:J138" si="619">D136-D133</f>
        <v>330.9</v>
      </c>
      <c r="E138" s="213">
        <f t="shared" si="619"/>
        <v>324.7</v>
      </c>
      <c r="F138" s="213">
        <f t="shared" si="619"/>
        <v>333.2</v>
      </c>
      <c r="G138" s="213">
        <f t="shared" si="619"/>
        <v>287.3</v>
      </c>
      <c r="H138" s="215"/>
      <c r="I138" s="213">
        <f t="shared" si="619"/>
        <v>316</v>
      </c>
      <c r="J138" s="213">
        <f t="shared" si="619"/>
        <v>285.5</v>
      </c>
      <c r="K138" s="213">
        <f>K136-K133</f>
        <v>316.00000000000006</v>
      </c>
      <c r="L138" s="213">
        <f>L136-L133</f>
        <v>281.20000000000005</v>
      </c>
      <c r="M138" s="236"/>
      <c r="N138" s="213">
        <f t="shared" ref="N138:Q138" si="620">N136-N133</f>
        <v>279.67500000000007</v>
      </c>
      <c r="O138" s="213">
        <f t="shared" si="620"/>
        <v>270.59375000000006</v>
      </c>
      <c r="P138" s="213">
        <f t="shared" si="620"/>
        <v>266.86718750000011</v>
      </c>
      <c r="Q138" s="213">
        <f t="shared" si="620"/>
        <v>254.58398437500003</v>
      </c>
      <c r="R138" s="236"/>
      <c r="S138" s="213">
        <f t="shared" ref="S138:V138" si="621">S136-S133</f>
        <v>267.92998046875005</v>
      </c>
      <c r="T138" s="213">
        <f t="shared" si="621"/>
        <v>264.99372558593757</v>
      </c>
      <c r="U138" s="213">
        <f t="shared" si="621"/>
        <v>263.59371948242193</v>
      </c>
      <c r="V138" s="213">
        <f t="shared" si="621"/>
        <v>262.77535247802734</v>
      </c>
      <c r="W138" s="236"/>
      <c r="X138" s="213">
        <f t="shared" ref="X138:AA138" si="622">X136-X133</f>
        <v>264.82319450378418</v>
      </c>
      <c r="Y138" s="213">
        <f t="shared" si="622"/>
        <v>264.04649801254277</v>
      </c>
      <c r="Z138" s="213">
        <f t="shared" si="622"/>
        <v>263.8096911191941</v>
      </c>
      <c r="AA138" s="213">
        <f t="shared" si="622"/>
        <v>263.86368402838707</v>
      </c>
      <c r="AB138" s="236"/>
      <c r="AC138" s="213">
        <f t="shared" ref="AC138:AF138" si="623">AC136-AC133</f>
        <v>264.135766915977</v>
      </c>
      <c r="AD138" s="213">
        <f t="shared" si="623"/>
        <v>263.96391001902521</v>
      </c>
      <c r="AE138" s="213">
        <f t="shared" si="623"/>
        <v>263.94326302064587</v>
      </c>
      <c r="AF138" s="213">
        <f t="shared" si="623"/>
        <v>263.97665599600884</v>
      </c>
      <c r="AG138" s="236"/>
      <c r="AH138" s="213">
        <f t="shared" ref="AH138:AK138" si="624">AH136-AH133</f>
        <v>264.00489898791426</v>
      </c>
      <c r="AI138" s="213">
        <f t="shared" si="624"/>
        <v>263.97218200589856</v>
      </c>
      <c r="AJ138" s="213">
        <f t="shared" si="624"/>
        <v>263.97425000261688</v>
      </c>
      <c r="AK138" s="213">
        <f t="shared" si="624"/>
        <v>263.98199674810962</v>
      </c>
      <c r="AL138" s="236"/>
    </row>
    <row r="139" spans="1:38" s="234" customFormat="1" outlineLevel="1" x14ac:dyDescent="0.25">
      <c r="A139" s="316"/>
      <c r="B139" s="237" t="s">
        <v>191</v>
      </c>
      <c r="C139" s="235"/>
      <c r="D139" s="238">
        <f t="shared" ref="D139:AK139" si="625">+D138/D129</f>
        <v>28.525862068965516</v>
      </c>
      <c r="E139" s="238">
        <f t="shared" si="625"/>
        <v>20.550632911392402</v>
      </c>
      <c r="F139" s="238">
        <f t="shared" si="625"/>
        <v>14.300429184549355</v>
      </c>
      <c r="G139" s="330">
        <f t="shared" si="625"/>
        <v>18.655844155844157</v>
      </c>
      <c r="H139" s="236"/>
      <c r="I139" s="330">
        <f t="shared" si="625"/>
        <v>15.414634146341463</v>
      </c>
      <c r="J139" s="330">
        <f t="shared" si="625"/>
        <v>23.791666666666668</v>
      </c>
      <c r="K139" s="330">
        <f>+K138/K129</f>
        <v>16.040609137055842</v>
      </c>
      <c r="L139" s="330">
        <f t="shared" si="625"/>
        <v>21.482047364400309</v>
      </c>
      <c r="M139" s="236"/>
      <c r="N139" s="238">
        <f t="shared" si="625"/>
        <v>14.360718870346604</v>
      </c>
      <c r="O139" s="238">
        <f t="shared" si="625"/>
        <v>21.475694444444446</v>
      </c>
      <c r="P139" s="238">
        <f t="shared" si="625"/>
        <v>12.315052491924323</v>
      </c>
      <c r="Q139" s="330">
        <f t="shared" si="625"/>
        <v>17.680671183762762</v>
      </c>
      <c r="R139" s="236"/>
      <c r="S139" s="238">
        <f t="shared" si="625"/>
        <v>12.50694272231299</v>
      </c>
      <c r="T139" s="238">
        <f t="shared" si="625"/>
        <v>19.119316420341811</v>
      </c>
      <c r="U139" s="238">
        <f t="shared" si="625"/>
        <v>11.058175084214536</v>
      </c>
      <c r="V139" s="330">
        <f t="shared" si="625"/>
        <v>16.590505178896723</v>
      </c>
      <c r="W139" s="236"/>
      <c r="X139" s="238">
        <f t="shared" si="625"/>
        <v>11.238107533658713</v>
      </c>
      <c r="Y139" s="238">
        <f t="shared" si="625"/>
        <v>17.319067165980762</v>
      </c>
      <c r="Z139" s="238">
        <f t="shared" si="625"/>
        <v>10.061123124828629</v>
      </c>
      <c r="AA139" s="330">
        <f t="shared" si="625"/>
        <v>15.144743409545029</v>
      </c>
      <c r="AB139" s="236"/>
      <c r="AC139" s="238">
        <f t="shared" si="625"/>
        <v>10.189941521512852</v>
      </c>
      <c r="AD139" s="238">
        <f t="shared" si="625"/>
        <v>15.739681944535384</v>
      </c>
      <c r="AE139" s="238">
        <f t="shared" si="625"/>
        <v>9.1511066038610647</v>
      </c>
      <c r="AF139" s="330">
        <f t="shared" si="625"/>
        <v>13.773843235106995</v>
      </c>
      <c r="AG139" s="236"/>
      <c r="AH139" s="238">
        <f t="shared" si="625"/>
        <v>9.2589934937633753</v>
      </c>
      <c r="AI139" s="238">
        <f t="shared" si="625"/>
        <v>14.309250170802068</v>
      </c>
      <c r="AJ139" s="238">
        <f t="shared" si="625"/>
        <v>8.3201644956940619</v>
      </c>
      <c r="AK139" s="330">
        <f t="shared" si="625"/>
        <v>12.521929005701587</v>
      </c>
      <c r="AL139" s="236"/>
    </row>
    <row r="140" spans="1:38" ht="18" x14ac:dyDescent="0.4">
      <c r="A140" s="300"/>
      <c r="B140" s="511" t="s">
        <v>102</v>
      </c>
      <c r="C140" s="512"/>
      <c r="D140" s="36" t="s">
        <v>123</v>
      </c>
      <c r="E140" s="36" t="s">
        <v>280</v>
      </c>
      <c r="F140" s="36" t="s">
        <v>284</v>
      </c>
      <c r="G140" s="36" t="s">
        <v>294</v>
      </c>
      <c r="H140" s="104" t="s">
        <v>295</v>
      </c>
      <c r="I140" s="36" t="s">
        <v>296</v>
      </c>
      <c r="J140" s="36" t="s">
        <v>297</v>
      </c>
      <c r="K140" s="36" t="s">
        <v>298</v>
      </c>
      <c r="L140" s="34" t="s">
        <v>141</v>
      </c>
      <c r="M140" s="107" t="s">
        <v>142</v>
      </c>
      <c r="N140" s="34" t="s">
        <v>143</v>
      </c>
      <c r="O140" s="34" t="s">
        <v>144</v>
      </c>
      <c r="P140" s="34" t="s">
        <v>145</v>
      </c>
      <c r="Q140" s="34" t="s">
        <v>146</v>
      </c>
      <c r="R140" s="107" t="s">
        <v>147</v>
      </c>
      <c r="S140" s="34" t="s">
        <v>148</v>
      </c>
      <c r="T140" s="34" t="s">
        <v>149</v>
      </c>
      <c r="U140" s="34" t="s">
        <v>150</v>
      </c>
      <c r="V140" s="34" t="s">
        <v>151</v>
      </c>
      <c r="W140" s="107" t="s">
        <v>152</v>
      </c>
      <c r="X140" s="34" t="s">
        <v>153</v>
      </c>
      <c r="Y140" s="34" t="s">
        <v>154</v>
      </c>
      <c r="Z140" s="34" t="s">
        <v>155</v>
      </c>
      <c r="AA140" s="34" t="s">
        <v>156</v>
      </c>
      <c r="AB140" s="107" t="s">
        <v>157</v>
      </c>
      <c r="AC140" s="34" t="s">
        <v>289</v>
      </c>
      <c r="AD140" s="34" t="s">
        <v>290</v>
      </c>
      <c r="AE140" s="34" t="s">
        <v>291</v>
      </c>
      <c r="AF140" s="34" t="s">
        <v>292</v>
      </c>
      <c r="AG140" s="107" t="s">
        <v>293</v>
      </c>
      <c r="AH140" s="34" t="s">
        <v>322</v>
      </c>
      <c r="AI140" s="34" t="s">
        <v>323</v>
      </c>
      <c r="AJ140" s="34" t="s">
        <v>324</v>
      </c>
      <c r="AK140" s="34" t="s">
        <v>325</v>
      </c>
      <c r="AL140" s="107" t="s">
        <v>326</v>
      </c>
    </row>
    <row r="141" spans="1:38" s="242" customFormat="1" ht="15.6" customHeight="1" outlineLevel="1" x14ac:dyDescent="0.25">
      <c r="A141" s="397"/>
      <c r="B141" s="211" t="s">
        <v>200</v>
      </c>
      <c r="C141" s="243"/>
      <c r="D141" s="213">
        <f>+D56+D89-D13</f>
        <v>0</v>
      </c>
      <c r="E141" s="213">
        <f t="shared" ref="E141:G141" si="626">+E56+E89-E13</f>
        <v>0</v>
      </c>
      <c r="F141" s="339">
        <f t="shared" si="626"/>
        <v>0</v>
      </c>
      <c r="G141" s="213">
        <f t="shared" si="626"/>
        <v>0</v>
      </c>
      <c r="H141" s="215"/>
      <c r="I141" s="213">
        <f>+I56+I89-I13</f>
        <v>0</v>
      </c>
      <c r="J141" s="213">
        <f t="shared" ref="J141:L141" si="627">+J56+J89-J13</f>
        <v>0</v>
      </c>
      <c r="K141" s="339">
        <f>+K56+K89-K13</f>
        <v>0</v>
      </c>
      <c r="L141" s="213">
        <f t="shared" si="627"/>
        <v>0</v>
      </c>
      <c r="M141" s="215"/>
      <c r="N141" s="213">
        <f>+N56+N89-N13</f>
        <v>0</v>
      </c>
      <c r="O141" s="213">
        <f t="shared" ref="O141" si="628">+O56+O89-O13</f>
        <v>0</v>
      </c>
      <c r="P141" s="339">
        <f>+P56+P89-P13</f>
        <v>0</v>
      </c>
      <c r="Q141" s="213">
        <f t="shared" ref="Q141" si="629">+Q56+Q89-Q13</f>
        <v>0</v>
      </c>
      <c r="R141" s="215"/>
      <c r="S141" s="213">
        <f>+S56+S89-S13</f>
        <v>0</v>
      </c>
      <c r="T141" s="213">
        <f t="shared" ref="T141" si="630">+T56+T89-T13</f>
        <v>0</v>
      </c>
      <c r="U141" s="339">
        <f>+U56+U89-U13</f>
        <v>0</v>
      </c>
      <c r="V141" s="213">
        <f t="shared" ref="V141" si="631">+V56+V89-V13</f>
        <v>0</v>
      </c>
      <c r="W141" s="215"/>
      <c r="X141" s="213">
        <f>+X56+X89-X13</f>
        <v>0</v>
      </c>
      <c r="Y141" s="213">
        <f t="shared" ref="Y141" si="632">+Y56+Y89-Y13</f>
        <v>0</v>
      </c>
      <c r="Z141" s="339">
        <f>+Z56+Z89-Z13</f>
        <v>0</v>
      </c>
      <c r="AA141" s="213">
        <f t="shared" ref="AA141" si="633">+AA56+AA89-AA13</f>
        <v>0</v>
      </c>
      <c r="AB141" s="215"/>
      <c r="AC141" s="213">
        <f>+AC56+AC89-AC13</f>
        <v>0</v>
      </c>
      <c r="AD141" s="213">
        <f t="shared" ref="AD141" si="634">+AD56+AD89-AD13</f>
        <v>0</v>
      </c>
      <c r="AE141" s="339">
        <f>+AE56+AE89-AE13</f>
        <v>0</v>
      </c>
      <c r="AF141" s="213">
        <f t="shared" ref="AF141" si="635">+AF56+AF89-AF13</f>
        <v>0</v>
      </c>
      <c r="AG141" s="215"/>
      <c r="AH141" s="213">
        <f>+AH56+AH89-AH13</f>
        <v>0</v>
      </c>
      <c r="AI141" s="213">
        <f t="shared" ref="AI141" si="636">+AI56+AI89-AI13</f>
        <v>0</v>
      </c>
      <c r="AJ141" s="339">
        <f>+AJ56+AJ89-AJ13</f>
        <v>0</v>
      </c>
      <c r="AK141" s="213">
        <f t="shared" ref="AK141" si="637">+AK56+AK89-AK13</f>
        <v>0</v>
      </c>
      <c r="AL141" s="215"/>
    </row>
    <row r="142" spans="1:38" s="242" customFormat="1" ht="15.6" customHeight="1" outlineLevel="1" x14ac:dyDescent="0.25">
      <c r="A142" s="397"/>
      <c r="B142" s="211" t="s">
        <v>201</v>
      </c>
      <c r="C142" s="243"/>
      <c r="D142" s="213">
        <f>+D63+D96-D14</f>
        <v>0</v>
      </c>
      <c r="E142" s="213">
        <f t="shared" ref="E142:G142" si="638">+E63+E96-E14</f>
        <v>0</v>
      </c>
      <c r="F142" s="339">
        <f t="shared" si="638"/>
        <v>0</v>
      </c>
      <c r="G142" s="213">
        <f t="shared" si="638"/>
        <v>0</v>
      </c>
      <c r="H142" s="215"/>
      <c r="I142" s="213">
        <f>+I63+I96-I14</f>
        <v>0</v>
      </c>
      <c r="J142" s="213">
        <f t="shared" ref="J142:L142" si="639">+J63+J96-J14</f>
        <v>0</v>
      </c>
      <c r="K142" s="339">
        <f t="shared" si="639"/>
        <v>0</v>
      </c>
      <c r="L142" s="213">
        <f t="shared" si="639"/>
        <v>0</v>
      </c>
      <c r="M142" s="215"/>
      <c r="N142" s="213">
        <f>+N63+N96-N14</f>
        <v>0</v>
      </c>
      <c r="O142" s="213">
        <f t="shared" ref="O142:Q142" si="640">+O63+O96-O14</f>
        <v>0</v>
      </c>
      <c r="P142" s="339">
        <f t="shared" si="640"/>
        <v>0</v>
      </c>
      <c r="Q142" s="213">
        <f t="shared" si="640"/>
        <v>0</v>
      </c>
      <c r="R142" s="215"/>
      <c r="S142" s="213">
        <f>+S63+S96-S14</f>
        <v>0</v>
      </c>
      <c r="T142" s="213">
        <f t="shared" ref="T142:V142" si="641">+T63+T96-T14</f>
        <v>0</v>
      </c>
      <c r="U142" s="339">
        <f t="shared" si="641"/>
        <v>0</v>
      </c>
      <c r="V142" s="213">
        <f t="shared" si="641"/>
        <v>0</v>
      </c>
      <c r="W142" s="215"/>
      <c r="X142" s="213">
        <f>+X63+X96-X14</f>
        <v>0</v>
      </c>
      <c r="Y142" s="213">
        <f t="shared" ref="Y142:AA142" si="642">+Y63+Y96-Y14</f>
        <v>0</v>
      </c>
      <c r="Z142" s="339">
        <f t="shared" si="642"/>
        <v>0</v>
      </c>
      <c r="AA142" s="213">
        <f t="shared" si="642"/>
        <v>0</v>
      </c>
      <c r="AB142" s="215"/>
      <c r="AC142" s="213">
        <f>+AC63+AC96-AC14</f>
        <v>0</v>
      </c>
      <c r="AD142" s="213">
        <f t="shared" ref="AD142:AF142" si="643">+AD63+AD96-AD14</f>
        <v>0</v>
      </c>
      <c r="AE142" s="339">
        <f t="shared" si="643"/>
        <v>0</v>
      </c>
      <c r="AF142" s="213">
        <f t="shared" si="643"/>
        <v>0</v>
      </c>
      <c r="AG142" s="215"/>
      <c r="AH142" s="213">
        <f>+AH63+AH96-AH14</f>
        <v>0</v>
      </c>
      <c r="AI142" s="213">
        <f t="shared" ref="AI142:AK142" si="644">+AI63+AI96-AI14</f>
        <v>0</v>
      </c>
      <c r="AJ142" s="339">
        <f t="shared" si="644"/>
        <v>0</v>
      </c>
      <c r="AK142" s="213">
        <f t="shared" si="644"/>
        <v>0</v>
      </c>
      <c r="AL142" s="215"/>
    </row>
    <row r="143" spans="1:38" s="242" customFormat="1" ht="15.6" customHeight="1" outlineLevel="1" x14ac:dyDescent="0.25">
      <c r="A143" s="397"/>
      <c r="B143" s="211" t="s">
        <v>202</v>
      </c>
      <c r="C143" s="243"/>
      <c r="D143" s="213">
        <f>+D64+D97+D115+D129-D15</f>
        <v>0</v>
      </c>
      <c r="E143" s="213">
        <f t="shared" ref="E143:G143" si="645">+E64+E97+E115+E129-E15</f>
        <v>0</v>
      </c>
      <c r="F143" s="339">
        <f t="shared" si="645"/>
        <v>0</v>
      </c>
      <c r="G143" s="213">
        <f t="shared" si="645"/>
        <v>0</v>
      </c>
      <c r="H143" s="215"/>
      <c r="I143" s="213">
        <f>+I64+I97+I115+I129-I15</f>
        <v>0</v>
      </c>
      <c r="J143" s="213">
        <f t="shared" ref="J143:L143" si="646">+J64+J97+J115+J129-J15</f>
        <v>0</v>
      </c>
      <c r="K143" s="339">
        <f t="shared" si="646"/>
        <v>0</v>
      </c>
      <c r="L143" s="213">
        <f t="shared" si="646"/>
        <v>0</v>
      </c>
      <c r="M143" s="215"/>
      <c r="N143" s="213">
        <f>+N64+N97+N115+N129-N15</f>
        <v>0</v>
      </c>
      <c r="O143" s="213">
        <f t="shared" ref="O143:Q143" si="647">+O64+O97+O115+O129-O15</f>
        <v>0</v>
      </c>
      <c r="P143" s="339">
        <f t="shared" si="647"/>
        <v>0</v>
      </c>
      <c r="Q143" s="213">
        <f t="shared" si="647"/>
        <v>0</v>
      </c>
      <c r="R143" s="215"/>
      <c r="S143" s="213">
        <f>+S64+S97+S115+S129-S15</f>
        <v>0</v>
      </c>
      <c r="T143" s="213">
        <f t="shared" ref="T143:V143" si="648">+T64+T97+T115+T129-T15</f>
        <v>0</v>
      </c>
      <c r="U143" s="339">
        <f t="shared" si="648"/>
        <v>0</v>
      </c>
      <c r="V143" s="213">
        <f t="shared" si="648"/>
        <v>0</v>
      </c>
      <c r="W143" s="215"/>
      <c r="X143" s="213">
        <f>+X64+X97+X115+X129-X15</f>
        <v>0</v>
      </c>
      <c r="Y143" s="213">
        <f t="shared" ref="Y143:AA143" si="649">+Y64+Y97+Y115+Y129-Y15</f>
        <v>0</v>
      </c>
      <c r="Z143" s="339">
        <f t="shared" si="649"/>
        <v>0</v>
      </c>
      <c r="AA143" s="213">
        <f t="shared" si="649"/>
        <v>0</v>
      </c>
      <c r="AB143" s="215"/>
      <c r="AC143" s="213">
        <f>+AC64+AC97+AC115+AC129-AC15</f>
        <v>0</v>
      </c>
      <c r="AD143" s="213">
        <f t="shared" ref="AD143:AF143" si="650">+AD64+AD97+AD115+AD129-AD15</f>
        <v>0</v>
      </c>
      <c r="AE143" s="339">
        <f t="shared" si="650"/>
        <v>0</v>
      </c>
      <c r="AF143" s="213">
        <f t="shared" si="650"/>
        <v>0</v>
      </c>
      <c r="AG143" s="215"/>
      <c r="AH143" s="213">
        <f>+AH64+AH97+AH115+AH129-AH15</f>
        <v>0</v>
      </c>
      <c r="AI143" s="213">
        <f t="shared" ref="AI143:AK143" si="651">+AI64+AI97+AI115+AI129-AI15</f>
        <v>0</v>
      </c>
      <c r="AJ143" s="339">
        <f t="shared" si="651"/>
        <v>0</v>
      </c>
      <c r="AK143" s="213">
        <f t="shared" si="651"/>
        <v>0</v>
      </c>
      <c r="AL143" s="215"/>
    </row>
    <row r="144" spans="1:38" s="242" customFormat="1" ht="15.6" customHeight="1" outlineLevel="1" x14ac:dyDescent="0.25">
      <c r="A144" s="397"/>
      <c r="B144" s="211" t="s">
        <v>162</v>
      </c>
      <c r="C144" s="243"/>
      <c r="D144" s="213">
        <f>+D123+D109-D24</f>
        <v>0</v>
      </c>
      <c r="E144" s="213">
        <f t="shared" ref="E144:G144" si="652">+E123+E109-E24</f>
        <v>0</v>
      </c>
      <c r="F144" s="339">
        <f t="shared" si="652"/>
        <v>0</v>
      </c>
      <c r="G144" s="213">
        <f t="shared" si="652"/>
        <v>0</v>
      </c>
      <c r="H144" s="215"/>
      <c r="I144" s="213">
        <f>+I123+I109-I24</f>
        <v>0</v>
      </c>
      <c r="J144" s="213">
        <f t="shared" ref="J144:L144" si="653">+J123+J109-J24</f>
        <v>0</v>
      </c>
      <c r="K144" s="339">
        <f t="shared" si="653"/>
        <v>0</v>
      </c>
      <c r="L144" s="213">
        <f t="shared" si="653"/>
        <v>0</v>
      </c>
      <c r="M144" s="215"/>
      <c r="N144" s="213">
        <f>+N123+N109-N24</f>
        <v>0</v>
      </c>
      <c r="O144" s="213">
        <f t="shared" ref="O144:Q144" si="654">+O123+O109-O24</f>
        <v>0</v>
      </c>
      <c r="P144" s="339">
        <f t="shared" si="654"/>
        <v>0</v>
      </c>
      <c r="Q144" s="213">
        <f t="shared" si="654"/>
        <v>0</v>
      </c>
      <c r="R144" s="215"/>
      <c r="S144" s="213">
        <f>+S123+S109-S24</f>
        <v>0</v>
      </c>
      <c r="T144" s="213">
        <f t="shared" ref="T144:V144" si="655">+T123+T109-T24</f>
        <v>0</v>
      </c>
      <c r="U144" s="339">
        <f t="shared" si="655"/>
        <v>0</v>
      </c>
      <c r="V144" s="213">
        <f t="shared" si="655"/>
        <v>0</v>
      </c>
      <c r="W144" s="215"/>
      <c r="X144" s="213">
        <f>+X123+X109-X24</f>
        <v>0</v>
      </c>
      <c r="Y144" s="213">
        <f t="shared" ref="Y144:AA144" si="656">+Y123+Y109-Y24</f>
        <v>0</v>
      </c>
      <c r="Z144" s="339">
        <f t="shared" si="656"/>
        <v>0</v>
      </c>
      <c r="AA144" s="213">
        <f t="shared" si="656"/>
        <v>0</v>
      </c>
      <c r="AB144" s="215"/>
      <c r="AC144" s="213">
        <f>+AC123+AC109-AC24</f>
        <v>0</v>
      </c>
      <c r="AD144" s="213">
        <f t="shared" ref="AD144:AF144" si="657">+AD123+AD109-AD24</f>
        <v>0</v>
      </c>
      <c r="AE144" s="339">
        <f t="shared" si="657"/>
        <v>0</v>
      </c>
      <c r="AF144" s="213">
        <f t="shared" si="657"/>
        <v>0</v>
      </c>
      <c r="AG144" s="215"/>
      <c r="AH144" s="213">
        <f>+AH123+AH109-AH24</f>
        <v>0</v>
      </c>
      <c r="AI144" s="213">
        <f t="shared" ref="AI144:AK144" si="658">+AI123+AI109-AI24</f>
        <v>0</v>
      </c>
      <c r="AJ144" s="339">
        <f t="shared" si="658"/>
        <v>0</v>
      </c>
      <c r="AK144" s="213">
        <f t="shared" si="658"/>
        <v>0</v>
      </c>
      <c r="AL144" s="215"/>
    </row>
    <row r="145" spans="1:38" s="242" customFormat="1" ht="15.6" customHeight="1" outlineLevel="1" x14ac:dyDescent="0.25">
      <c r="A145" s="397"/>
      <c r="B145" s="211" t="s">
        <v>203</v>
      </c>
      <c r="C145" s="243"/>
      <c r="D145" s="213">
        <f>+D76+D110+D124+D137-D25</f>
        <v>0</v>
      </c>
      <c r="E145" s="213">
        <f>+E76+E110+E124+E137-E25</f>
        <v>0</v>
      </c>
      <c r="F145" s="339">
        <f>+F76+F110+F124+F137-F25</f>
        <v>0</v>
      </c>
      <c r="G145" s="213">
        <f>+G76+G110+G124+G137-G25</f>
        <v>9.9999999998544808E-2</v>
      </c>
      <c r="H145" s="215"/>
      <c r="I145" s="213">
        <f>+I76+I110+I124+I137-I25</f>
        <v>0</v>
      </c>
      <c r="J145" s="213">
        <f>+J76+J110+J124+J137-J25</f>
        <v>6.8212102632969618E-13</v>
      </c>
      <c r="K145" s="339">
        <f>+K76+K110+K124+K137-K25</f>
        <v>0</v>
      </c>
      <c r="L145" s="213">
        <f>+L76+L110+L124+L137-L25</f>
        <v>7.9580786405131221E-13</v>
      </c>
      <c r="M145" s="215"/>
      <c r="N145" s="213">
        <f>+N76+N110+N124+N137-N25</f>
        <v>-3.1263880373444408E-13</v>
      </c>
      <c r="O145" s="213">
        <f>+O76+O110+O124+O137-O25</f>
        <v>0</v>
      </c>
      <c r="P145" s="339">
        <f>+P76+P110+P124+P137-P25</f>
        <v>-7.531752999057062E-13</v>
      </c>
      <c r="Q145" s="213">
        <f>+Q76+Q110+Q124+Q137-Q25</f>
        <v>0</v>
      </c>
      <c r="R145" s="215"/>
      <c r="S145" s="213">
        <f>+S76+S110+S124+S137-S25</f>
        <v>0</v>
      </c>
      <c r="T145" s="213">
        <f>+T76+T110+T124+T137-T25</f>
        <v>0</v>
      </c>
      <c r="U145" s="339">
        <f>+U76+U110+U124+U137-U25</f>
        <v>0</v>
      </c>
      <c r="V145" s="213">
        <f>+V76+V110+V124+V137-V25</f>
        <v>0</v>
      </c>
      <c r="W145" s="215"/>
      <c r="X145" s="213">
        <f>+X76+X110+X124+X137-X25</f>
        <v>0</v>
      </c>
      <c r="Y145" s="213">
        <f>+Y76+Y110+Y124+Y137-Y25</f>
        <v>-2.2737367544323206E-12</v>
      </c>
      <c r="Z145" s="339">
        <f>+Z76+Z110+Z124+Z137-Z25</f>
        <v>0</v>
      </c>
      <c r="AA145" s="213">
        <f>+AA76+AA110+AA124+AA137-AA25</f>
        <v>0</v>
      </c>
      <c r="AB145" s="215"/>
      <c r="AC145" s="213">
        <f>+AC76+AC110+AC124+AC137-AC25</f>
        <v>0</v>
      </c>
      <c r="AD145" s="213">
        <f>+AD76+AD110+AD124+AD137-AD25</f>
        <v>0</v>
      </c>
      <c r="AE145" s="339">
        <f>+AE76+AE110+AE124+AE137-AE25</f>
        <v>-1.9326762412674725E-12</v>
      </c>
      <c r="AF145" s="213">
        <f>+AF76+AF110+AF124+AF137-AF25</f>
        <v>0</v>
      </c>
      <c r="AG145" s="215"/>
      <c r="AH145" s="213">
        <f>+AH76+AH110+AH124+AH137-AH25</f>
        <v>0</v>
      </c>
      <c r="AI145" s="213">
        <f>+AI76+AI110+AI124+AI137-AI25</f>
        <v>0</v>
      </c>
      <c r="AJ145" s="339">
        <f>+AJ76+AJ110+AJ124+AJ137-AJ25</f>
        <v>0</v>
      </c>
      <c r="AK145" s="213">
        <f>+AK76+AK110+AK124+AK137-AK25</f>
        <v>0</v>
      </c>
      <c r="AL145" s="215"/>
    </row>
    <row r="146" spans="1:38" ht="15" customHeight="1" x14ac:dyDescent="0.4">
      <c r="A146" s="300"/>
      <c r="B146" s="511" t="s">
        <v>58</v>
      </c>
      <c r="C146" s="512"/>
      <c r="D146" s="36" t="s">
        <v>123</v>
      </c>
      <c r="E146" s="36" t="s">
        <v>280</v>
      </c>
      <c r="F146" s="36" t="s">
        <v>284</v>
      </c>
      <c r="G146" s="36" t="s">
        <v>294</v>
      </c>
      <c r="H146" s="104" t="s">
        <v>295</v>
      </c>
      <c r="I146" s="36" t="s">
        <v>296</v>
      </c>
      <c r="J146" s="36" t="s">
        <v>297</v>
      </c>
      <c r="K146" s="36" t="s">
        <v>298</v>
      </c>
      <c r="L146" s="34" t="s">
        <v>141</v>
      </c>
      <c r="M146" s="107" t="s">
        <v>142</v>
      </c>
      <c r="N146" s="34" t="s">
        <v>143</v>
      </c>
      <c r="O146" s="34" t="s">
        <v>144</v>
      </c>
      <c r="P146" s="34" t="s">
        <v>145</v>
      </c>
      <c r="Q146" s="34" t="s">
        <v>146</v>
      </c>
      <c r="R146" s="107" t="s">
        <v>147</v>
      </c>
      <c r="S146" s="34" t="s">
        <v>148</v>
      </c>
      <c r="T146" s="34" t="s">
        <v>149</v>
      </c>
      <c r="U146" s="34" t="s">
        <v>150</v>
      </c>
      <c r="V146" s="34" t="s">
        <v>151</v>
      </c>
      <c r="W146" s="107" t="s">
        <v>152</v>
      </c>
      <c r="X146" s="34" t="s">
        <v>153</v>
      </c>
      <c r="Y146" s="34" t="s">
        <v>154</v>
      </c>
      <c r="Z146" s="34" t="s">
        <v>155</v>
      </c>
      <c r="AA146" s="34" t="s">
        <v>156</v>
      </c>
      <c r="AB146" s="107" t="s">
        <v>157</v>
      </c>
      <c r="AC146" s="34" t="s">
        <v>289</v>
      </c>
      <c r="AD146" s="34" t="s">
        <v>290</v>
      </c>
      <c r="AE146" s="34" t="s">
        <v>291</v>
      </c>
      <c r="AF146" s="34" t="s">
        <v>292</v>
      </c>
      <c r="AG146" s="107" t="s">
        <v>293</v>
      </c>
      <c r="AH146" s="34" t="s">
        <v>322</v>
      </c>
      <c r="AI146" s="34" t="s">
        <v>323</v>
      </c>
      <c r="AJ146" s="34" t="s">
        <v>324</v>
      </c>
      <c r="AK146" s="34" t="s">
        <v>325</v>
      </c>
      <c r="AL146" s="107" t="s">
        <v>326</v>
      </c>
    </row>
    <row r="147" spans="1:38" s="47" customFormat="1" outlineLevel="1" x14ac:dyDescent="0.25">
      <c r="A147" s="366"/>
      <c r="B147" s="509" t="s">
        <v>119</v>
      </c>
      <c r="C147" s="510"/>
      <c r="D147" s="64"/>
      <c r="E147" s="64"/>
      <c r="F147" s="64"/>
      <c r="G147" s="64"/>
      <c r="H147" s="398"/>
      <c r="I147" s="64">
        <f t="shared" ref="I147:AL147" si="659">I16/D16-1</f>
        <v>7.0016735266180907E-2</v>
      </c>
      <c r="J147" s="64">
        <f t="shared" si="659"/>
        <v>-4.9192026514851106E-2</v>
      </c>
      <c r="K147" s="64">
        <f t="shared" si="659"/>
        <v>-0.38119595485856661</v>
      </c>
      <c r="L147" s="424">
        <f t="shared" si="659"/>
        <v>-0.11055098562324017</v>
      </c>
      <c r="M147" s="432">
        <f t="shared" si="659"/>
        <v>-0.12043591513697449</v>
      </c>
      <c r="N147" s="64">
        <f t="shared" si="659"/>
        <v>5.8086044669513726E-2</v>
      </c>
      <c r="O147" s="64">
        <f t="shared" si="659"/>
        <v>8.9377524299631528E-2</v>
      </c>
      <c r="P147" s="64">
        <f t="shared" si="659"/>
        <v>0.23251612106405783</v>
      </c>
      <c r="Q147" s="64">
        <f t="shared" si="659"/>
        <v>0.36827501663507878</v>
      </c>
      <c r="R147" s="62">
        <f t="shared" si="659"/>
        <v>0.17755563523472695</v>
      </c>
      <c r="S147" s="64">
        <f t="shared" si="659"/>
        <v>0.14572969157096738</v>
      </c>
      <c r="T147" s="64">
        <f t="shared" si="659"/>
        <v>5.9278216872905576E-2</v>
      </c>
      <c r="U147" s="64">
        <f t="shared" si="659"/>
        <v>5.5024194339733601E-2</v>
      </c>
      <c r="V147" s="64">
        <f t="shared" si="659"/>
        <v>5.9702222073101385E-2</v>
      </c>
      <c r="W147" s="62">
        <f t="shared" si="659"/>
        <v>8.2243705416267243E-2</v>
      </c>
      <c r="X147" s="64">
        <f t="shared" si="659"/>
        <v>5.8096090801323275E-2</v>
      </c>
      <c r="Y147" s="64">
        <f t="shared" si="659"/>
        <v>5.7293145406827506E-2</v>
      </c>
      <c r="Z147" s="64">
        <f t="shared" si="659"/>
        <v>5.7422819987994256E-2</v>
      </c>
      <c r="AA147" s="64">
        <f t="shared" si="659"/>
        <v>5.8052949625663208E-2</v>
      </c>
      <c r="AB147" s="62">
        <f t="shared" si="659"/>
        <v>5.7772097547206247E-2</v>
      </c>
      <c r="AC147" s="471">
        <f>AC16/X16-1</f>
        <v>5.7745758800641811E-2</v>
      </c>
      <c r="AD147" s="471">
        <f t="shared" si="659"/>
        <v>5.7233762083136241E-2</v>
      </c>
      <c r="AE147" s="471">
        <f t="shared" si="659"/>
        <v>6.0533238874486361E-2</v>
      </c>
      <c r="AF147" s="471">
        <f t="shared" si="659"/>
        <v>6.1636469798425297E-2</v>
      </c>
      <c r="AG147" s="472">
        <f t="shared" si="659"/>
        <v>5.928111166617045E-2</v>
      </c>
      <c r="AH147" s="471">
        <f t="shared" si="659"/>
        <v>6.397168665424946E-2</v>
      </c>
      <c r="AI147" s="471">
        <f t="shared" si="659"/>
        <v>6.3610206928602864E-2</v>
      </c>
      <c r="AJ147" s="471">
        <f t="shared" si="659"/>
        <v>6.6146237421016885E-2</v>
      </c>
      <c r="AK147" s="471">
        <f t="shared" si="659"/>
        <v>6.6118421036785779E-2</v>
      </c>
      <c r="AL147" s="472">
        <f t="shared" si="659"/>
        <v>6.4920055962427003E-2</v>
      </c>
    </row>
    <row r="148" spans="1:38" s="47" customFormat="1" outlineLevel="1" x14ac:dyDescent="0.25">
      <c r="A148" s="366"/>
      <c r="B148" s="509" t="s">
        <v>24</v>
      </c>
      <c r="C148" s="510"/>
      <c r="D148" s="61">
        <f t="shared" ref="D148:AL148" si="660">D25/D16</f>
        <v>0.15313522396610738</v>
      </c>
      <c r="E148" s="61">
        <f t="shared" si="660"/>
        <v>0.13601547756862614</v>
      </c>
      <c r="F148" s="61">
        <f t="shared" si="660"/>
        <v>0.16434119888612064</v>
      </c>
      <c r="G148" s="61">
        <f t="shared" si="660"/>
        <v>0.16054542759745088</v>
      </c>
      <c r="H148" s="63">
        <f t="shared" si="660"/>
        <v>0.15383309567461143</v>
      </c>
      <c r="I148" s="61">
        <f t="shared" si="660"/>
        <v>0.1718730185568752</v>
      </c>
      <c r="J148" s="61">
        <f t="shared" si="660"/>
        <v>8.1291592307820446E-2</v>
      </c>
      <c r="K148" s="61">
        <f t="shared" si="660"/>
        <v>-0.16671798394164022</v>
      </c>
      <c r="L148" s="61">
        <f t="shared" si="660"/>
        <v>-5.0745907112697497E-2</v>
      </c>
      <c r="M148" s="63">
        <f t="shared" si="660"/>
        <v>2.9969451358895671E-2</v>
      </c>
      <c r="N148" s="61">
        <f t="shared" si="660"/>
        <v>1.5045611140887083E-3</v>
      </c>
      <c r="O148" s="61">
        <f t="shared" si="660"/>
        <v>3.7186353596296816E-2</v>
      </c>
      <c r="P148" s="61">
        <f t="shared" si="660"/>
        <v>2.0121282760606707E-2</v>
      </c>
      <c r="Q148" s="61">
        <f t="shared" si="660"/>
        <v>0.17021621190425656</v>
      </c>
      <c r="R148" s="63">
        <f t="shared" si="660"/>
        <v>6.3977714076464534E-2</v>
      </c>
      <c r="S148" s="61">
        <f t="shared" si="660"/>
        <v>0.1682928809174071</v>
      </c>
      <c r="T148" s="61">
        <f t="shared" si="660"/>
        <v>0.142909840604972</v>
      </c>
      <c r="U148" s="61">
        <f t="shared" si="660"/>
        <v>0.12558379716359433</v>
      </c>
      <c r="V148" s="61">
        <f t="shared" si="660"/>
        <v>0.17841768616327411</v>
      </c>
      <c r="W148" s="63">
        <f t="shared" si="660"/>
        <v>0.15745629189681193</v>
      </c>
      <c r="X148" s="61">
        <f t="shared" si="660"/>
        <v>0.17543390245668619</v>
      </c>
      <c r="Y148" s="61">
        <f t="shared" si="660"/>
        <v>0.1483699773138879</v>
      </c>
      <c r="Z148" s="61">
        <f t="shared" si="660"/>
        <v>0.13049457145168608</v>
      </c>
      <c r="AA148" s="61">
        <f t="shared" si="660"/>
        <v>0.18165148772499054</v>
      </c>
      <c r="AB148" s="63">
        <f t="shared" si="660"/>
        <v>0.16265574666920499</v>
      </c>
      <c r="AC148" s="61">
        <f t="shared" si="660"/>
        <v>0.17921695568643398</v>
      </c>
      <c r="AD148" s="61">
        <f t="shared" si="660"/>
        <v>0.15269441940736983</v>
      </c>
      <c r="AE148" s="61">
        <f t="shared" si="660"/>
        <v>0.13607674070681744</v>
      </c>
      <c r="AF148" s="61">
        <f t="shared" si="660"/>
        <v>0.18505965733874546</v>
      </c>
      <c r="AG148" s="63">
        <f t="shared" si="660"/>
        <v>0.16679361669885981</v>
      </c>
      <c r="AH148" s="61">
        <f t="shared" si="660"/>
        <v>0.182535803008298</v>
      </c>
      <c r="AI148" s="61">
        <f t="shared" si="660"/>
        <v>0.15655483997972419</v>
      </c>
      <c r="AJ148" s="61">
        <f t="shared" si="660"/>
        <v>0.14106489769114086</v>
      </c>
      <c r="AK148" s="61">
        <f t="shared" si="660"/>
        <v>0.18805673042505985</v>
      </c>
      <c r="AL148" s="63">
        <f t="shared" si="660"/>
        <v>0.17045291519522826</v>
      </c>
    </row>
    <row r="149" spans="1:38" s="47" customFormat="1" outlineLevel="1" x14ac:dyDescent="0.25">
      <c r="A149" s="366"/>
      <c r="B149" s="509" t="s">
        <v>246</v>
      </c>
      <c r="C149" s="510"/>
      <c r="D149" s="61">
        <f t="shared" ref="D149:AL149" si="661">+D27/D16</f>
        <v>0.17394123056975294</v>
      </c>
      <c r="E149" s="61">
        <f t="shared" si="661"/>
        <v>0.15843892227913536</v>
      </c>
      <c r="F149" s="61">
        <f t="shared" si="661"/>
        <v>0.18270555474131628</v>
      </c>
      <c r="G149" s="61">
        <f t="shared" si="661"/>
        <v>0.17201719282644154</v>
      </c>
      <c r="H149" s="63">
        <f t="shared" si="661"/>
        <v>0.17201964645435841</v>
      </c>
      <c r="I149" s="61">
        <f t="shared" si="661"/>
        <v>0.1819616463062376</v>
      </c>
      <c r="J149" s="61">
        <f t="shared" si="661"/>
        <v>9.2432910252347358E-2</v>
      </c>
      <c r="K149" s="61">
        <f t="shared" si="661"/>
        <v>-0.12558205632268285</v>
      </c>
      <c r="L149" s="61">
        <f t="shared" si="661"/>
        <v>-1.9578352763399753E-2</v>
      </c>
      <c r="M149" s="63">
        <f t="shared" si="661"/>
        <v>5.1376199189383409E-2</v>
      </c>
      <c r="N149" s="61">
        <f t="shared" si="661"/>
        <v>1.7837881977907009E-2</v>
      </c>
      <c r="O149" s="61">
        <f t="shared" si="661"/>
        <v>5.5671015392893312E-2</v>
      </c>
      <c r="P149" s="61">
        <f t="shared" si="661"/>
        <v>4.2825974896770445E-2</v>
      </c>
      <c r="Q149" s="61">
        <f t="shared" si="661"/>
        <v>0.17140285593559051</v>
      </c>
      <c r="R149" s="63">
        <f t="shared" si="661"/>
        <v>7.7500530505100723E-2</v>
      </c>
      <c r="S149" s="61">
        <f t="shared" si="661"/>
        <v>0.18250068122469315</v>
      </c>
      <c r="T149" s="61">
        <f t="shared" si="661"/>
        <v>0.16149253612773784</v>
      </c>
      <c r="U149" s="61">
        <f t="shared" si="661"/>
        <v>0.15040836445071418</v>
      </c>
      <c r="V149" s="61">
        <f t="shared" si="661"/>
        <v>0.19354361124561489</v>
      </c>
      <c r="W149" s="63">
        <f t="shared" si="661"/>
        <v>0.17491324925652296</v>
      </c>
      <c r="X149" s="61">
        <f t="shared" si="661"/>
        <v>0.18913067245815957</v>
      </c>
      <c r="Y149" s="61">
        <f t="shared" si="661"/>
        <v>0.16545003112051579</v>
      </c>
      <c r="Z149" s="61">
        <f t="shared" si="661"/>
        <v>0.15210711181993747</v>
      </c>
      <c r="AA149" s="61">
        <f t="shared" si="661"/>
        <v>0.19537915332419711</v>
      </c>
      <c r="AB149" s="63">
        <f t="shared" si="661"/>
        <v>0.17861107633693121</v>
      </c>
      <c r="AC149" s="61">
        <f t="shared" si="661"/>
        <v>0.19246053799493026</v>
      </c>
      <c r="AD149" s="61">
        <f t="shared" si="661"/>
        <v>0.16926911363528441</v>
      </c>
      <c r="AE149" s="61">
        <f t="shared" si="661"/>
        <v>0.15688910601535477</v>
      </c>
      <c r="AF149" s="61">
        <f t="shared" si="661"/>
        <v>0.19806548711827046</v>
      </c>
      <c r="AG149" s="63">
        <f t="shared" si="661"/>
        <v>0.18214083358717503</v>
      </c>
      <c r="AH149" s="61">
        <f t="shared" si="661"/>
        <v>0.19488858321838431</v>
      </c>
      <c r="AI149" s="61">
        <f t="shared" si="661"/>
        <v>0.17196859713732796</v>
      </c>
      <c r="AJ149" s="61">
        <f t="shared" si="661"/>
        <v>0.1604158603804631</v>
      </c>
      <c r="AK149" s="61">
        <f t="shared" si="661"/>
        <v>0.20026518830170978</v>
      </c>
      <c r="AL149" s="63">
        <f t="shared" si="661"/>
        <v>0.1847690587258804</v>
      </c>
    </row>
    <row r="150" spans="1:38" s="47" customFormat="1" outlineLevel="1" x14ac:dyDescent="0.25">
      <c r="A150" s="366"/>
      <c r="B150" s="509" t="s">
        <v>2</v>
      </c>
      <c r="C150" s="510"/>
      <c r="D150" s="61">
        <f t="shared" ref="D150:K150" si="662">D32/D31</f>
        <v>0.2124287933713101</v>
      </c>
      <c r="E150" s="61">
        <f t="shared" si="662"/>
        <v>0.1965853658536586</v>
      </c>
      <c r="F150" s="61">
        <f t="shared" si="662"/>
        <v>0.18110799689903978</v>
      </c>
      <c r="G150" s="334">
        <f t="shared" si="662"/>
        <v>0.20083682008368189</v>
      </c>
      <c r="H150" s="398">
        <f t="shared" si="662"/>
        <v>0.19515471765706843</v>
      </c>
      <c r="I150" s="334">
        <f t="shared" si="662"/>
        <v>0.22600104913446431</v>
      </c>
      <c r="J150" s="334">
        <f t="shared" si="662"/>
        <v>0.16760635571501836</v>
      </c>
      <c r="K150" s="334">
        <f t="shared" si="662"/>
        <v>0.16490147783251249</v>
      </c>
      <c r="L150" s="426">
        <v>0.25</v>
      </c>
      <c r="M150" s="63">
        <f>M32/M31</f>
        <v>0.28215213551532314</v>
      </c>
      <c r="N150" s="72">
        <v>0.25</v>
      </c>
      <c r="O150" s="72">
        <v>0.25</v>
      </c>
      <c r="P150" s="72">
        <v>0.25</v>
      </c>
      <c r="Q150" s="72">
        <v>0.25</v>
      </c>
      <c r="R150" s="63">
        <f>R32/R31</f>
        <v>0.25000000000000161</v>
      </c>
      <c r="S150" s="72">
        <f>AVERAGE(N150,O150,P150,Q150)-0.165057231271624%</f>
        <v>0.24834942768728377</v>
      </c>
      <c r="T150" s="72">
        <f>AVERAGE(O150,P150,Q150,S150)-0.165057231271624%</f>
        <v>0.2479367846091047</v>
      </c>
      <c r="U150" s="72">
        <f>AVERAGE(P150,Q150,S150,T150)-0.165057231271624%</f>
        <v>0.24742098076138089</v>
      </c>
      <c r="V150" s="72">
        <f>AVERAGE(Q150,S150,T150,U150)-0.165057231271624%</f>
        <v>0.2467762259517261</v>
      </c>
      <c r="W150" s="63">
        <f>W32/W31</f>
        <v>0.24760056722206925</v>
      </c>
      <c r="X150" s="72">
        <f>AVERAGE(S150,T150,U150,V150)</f>
        <v>0.24762085475237386</v>
      </c>
      <c r="Y150" s="72">
        <f>AVERAGE(T150,U150,V150,X150)</f>
        <v>0.24743871151864638</v>
      </c>
      <c r="Z150" s="72">
        <f>AVERAGE(U150,V150,X150,Y150)</f>
        <v>0.24731419324603179</v>
      </c>
      <c r="AA150" s="72">
        <f>AVERAGE(V150,X150,Y150,Z150)</f>
        <v>0.24728749636719452</v>
      </c>
      <c r="AB150" s="63">
        <f>AB32/AB31</f>
        <v>0.24742860206826081</v>
      </c>
      <c r="AC150" s="72">
        <f>AVERAGE(X150,Y150,Z150,AA150)</f>
        <v>0.24741531397106162</v>
      </c>
      <c r="AD150" s="72">
        <f>AVERAGE(Y150,Z150,AA150,AC150)</f>
        <v>0.24736392877573357</v>
      </c>
      <c r="AE150" s="72">
        <f>AVERAGE(Z150,AA150,AC150,AD150)</f>
        <v>0.24734523309000536</v>
      </c>
      <c r="AF150" s="72">
        <f>AVERAGE(AA150,AC150,AD150,AE150)</f>
        <v>0.24735299305099875</v>
      </c>
      <c r="AG150" s="63">
        <f>AG32/AG31</f>
        <v>0.24737377325018592</v>
      </c>
      <c r="AH150" s="72">
        <f>AVERAGE(AC150,AD150,AE150,AF150)</f>
        <v>0.24736936722194983</v>
      </c>
      <c r="AI150" s="72">
        <f>AVERAGE(AD150,AE150,AF150,AH150)</f>
        <v>0.24735788053467186</v>
      </c>
      <c r="AJ150" s="72">
        <f>AVERAGE(AE150,AF150,AH150,AI150)</f>
        <v>0.24735636847440645</v>
      </c>
      <c r="AK150" s="72">
        <f>AVERAGE(AF150,AH150,AI150,AJ150)</f>
        <v>0.24735915232050673</v>
      </c>
      <c r="AL150" s="63">
        <f>AL32/AL31</f>
        <v>0.24736165541805821</v>
      </c>
    </row>
    <row r="151" spans="1:38" s="47" customFormat="1" outlineLevel="1" x14ac:dyDescent="0.25">
      <c r="A151" s="366"/>
      <c r="B151" s="509" t="s">
        <v>247</v>
      </c>
      <c r="C151" s="510"/>
      <c r="D151" s="61"/>
      <c r="E151" s="61">
        <f>+E29/((E184+E185+E190)+(D184+D185+D190)/2)</f>
        <v>3.0327214684756584E-3</v>
      </c>
      <c r="F151" s="61">
        <f>+F29/((F184+F185+F190)+(E184+E185+E190)/2)</f>
        <v>6.4321029136466161E-3</v>
      </c>
      <c r="G151" s="61">
        <f>+G29/((G184+G185+G190)+(F184+F185+F190)/2)</f>
        <v>2.9603261807251862E-3</v>
      </c>
      <c r="H151" s="63"/>
      <c r="I151" s="61">
        <f>+I29/((I184+I185+I190)+(G184+G185+G190)/2)</f>
        <v>3.3143988743550958E-3</v>
      </c>
      <c r="J151" s="61">
        <f t="shared" ref="J151" si="663">+J29/((J184+J185+J190)+(I184+I185+I190)/2)</f>
        <v>4.4659305324505627E-4</v>
      </c>
      <c r="K151" s="61">
        <f>+K29/((K184+K185+K190)+(J184+J185+J190)/2)</f>
        <v>2.1779393606804753E-3</v>
      </c>
      <c r="L151" s="73">
        <f>AVERAGE(K151,J151,I151,G151)</f>
        <v>2.2248143672514535E-3</v>
      </c>
      <c r="M151" s="63">
        <f>+M29/((M184+M185+M190)+(H184+H185+H190)/2)</f>
        <v>8.4333523662817097E-3</v>
      </c>
      <c r="N151" s="73">
        <f>AVERAGE(L151,K151,J151,I151)</f>
        <v>2.04093641388302E-3</v>
      </c>
      <c r="O151" s="73">
        <f>AVERAGE(N151,L151,K151,J151)</f>
        <v>1.7225707987650013E-3</v>
      </c>
      <c r="P151" s="73">
        <f>AVERAGE(O151,N151,L151,K151)</f>
        <v>2.0415652351449876E-3</v>
      </c>
      <c r="Q151" s="73">
        <f>AVERAGE(P151,O151,N151,L151)</f>
        <v>2.0074717037611156E-3</v>
      </c>
      <c r="R151" s="63">
        <f>+R29/((R184+R185+R190)+(M184+M185+M190)/2)</f>
        <v>8.1927109116202417E-3</v>
      </c>
      <c r="S151" s="73">
        <f>AVERAGE(Q151,P151,O151,N151)</f>
        <v>1.9531360378885311E-3</v>
      </c>
      <c r="T151" s="73">
        <f>AVERAGE(S151,Q151,P151,O151)</f>
        <v>1.9311859438899091E-3</v>
      </c>
      <c r="U151" s="73">
        <f>AVERAGE(T151,S151,Q151,P151)</f>
        <v>1.983339730171136E-3</v>
      </c>
      <c r="V151" s="73">
        <f>AVERAGE(U151,T151,S151,Q151)</f>
        <v>1.9687833539276728E-3</v>
      </c>
      <c r="W151" s="63">
        <f>+W29/((W184+W185+W190)+(R184+R185+R190)/2)</f>
        <v>-4.3338245480045957E-3</v>
      </c>
      <c r="X151" s="73">
        <f>AVERAGE(V151,U151,T151,S151)</f>
        <v>1.9591112664693123E-3</v>
      </c>
      <c r="Y151" s="73">
        <f>AVERAGE(X151,V151,U151,T151)</f>
        <v>1.9606050736145075E-3</v>
      </c>
      <c r="Z151" s="73">
        <f>AVERAGE(Y151,X151,V151,U151)</f>
        <v>1.9679598560456571E-3</v>
      </c>
      <c r="AA151" s="73">
        <f>AVERAGE(Z151,Y151,X151,V151)</f>
        <v>1.9641148875142872E-3</v>
      </c>
      <c r="AB151" s="63">
        <f>+AB29/((AB184+AB185+AB190)+(W184+W185+W190)/2)</f>
        <v>3.1817009959140903E-3</v>
      </c>
      <c r="AC151" s="73">
        <f>AVERAGE(AA151,Z151,Y151,X151)</f>
        <v>1.962947770910941E-3</v>
      </c>
      <c r="AD151" s="73">
        <f>AVERAGE(AC151,AA151,Z151,Y151)</f>
        <v>1.9639068970213483E-3</v>
      </c>
      <c r="AE151" s="73">
        <f>AVERAGE(AD151,AC151,AA151,Z151)</f>
        <v>1.9647323528730583E-3</v>
      </c>
      <c r="AF151" s="73">
        <f>AVERAGE(AE151,AD151,AC151,AA151)</f>
        <v>1.9639254770799086E-3</v>
      </c>
      <c r="AG151" s="63">
        <f>+AG29/((AG184+AG185+AG190)+(AB184+AB185+AB190)/2)</f>
        <v>3.7902915864366764E-3</v>
      </c>
      <c r="AH151" s="73">
        <f>AVERAGE(AF151,AE151,AD151,AC151)</f>
        <v>1.963878124471314E-3</v>
      </c>
      <c r="AI151" s="73">
        <f>AVERAGE(AH151,AF151,AE151,AD151)</f>
        <v>1.9641107128614073E-3</v>
      </c>
      <c r="AJ151" s="73">
        <f>AVERAGE(AI151,AH151,AF151,AE151)</f>
        <v>1.9641616668214217E-3</v>
      </c>
      <c r="AK151" s="73">
        <f>AVERAGE(AJ151,AI151,AH151,AF151)</f>
        <v>1.9640189953085128E-3</v>
      </c>
      <c r="AL151" s="63">
        <f>+AL29/((AL184+AL185+AL190)+(AG184+AG185+AG190)/2)</f>
        <v>3.978820169149677E-3</v>
      </c>
    </row>
    <row r="152" spans="1:38" s="47" customFormat="1" outlineLevel="1" x14ac:dyDescent="0.25">
      <c r="A152" s="366"/>
      <c r="B152" s="509" t="s">
        <v>248</v>
      </c>
      <c r="C152" s="510"/>
      <c r="D152" s="61"/>
      <c r="E152" s="61">
        <f>-E30/((((E206+E209)+(D206+D209))/2))</f>
        <v>8.0557251242696429E-3</v>
      </c>
      <c r="F152" s="61">
        <f>-F30/((((F206+F209)+(E206+E209))/2))</f>
        <v>8.4807318557490342E-3</v>
      </c>
      <c r="G152" s="61">
        <f>-G30/((((G206+G209)+(F206+F209))/2))</f>
        <v>8.572925858076421E-3</v>
      </c>
      <c r="H152" s="63"/>
      <c r="I152" s="61">
        <f>-I30/((((I206+I209)+(G206+G209))/2))</f>
        <v>8.0554679008449908E-3</v>
      </c>
      <c r="J152" s="61">
        <f t="shared" ref="J152" si="664">-J30/((((J206+J209)+(I206+I209))/2))</f>
        <v>7.730372102084551E-3</v>
      </c>
      <c r="K152" s="61">
        <f>-K30/((((K206+K209)+(J206+J209))/2))</f>
        <v>7.8322294946980078E-3</v>
      </c>
      <c r="L152" s="73">
        <f>K152</f>
        <v>7.8322294946980078E-3</v>
      </c>
      <c r="M152" s="63">
        <f>-M30/((((M206+M209)+(H206+H209))/2))</f>
        <v>3.2199010742146421E-2</v>
      </c>
      <c r="N152" s="73">
        <f>AVERAGE(L152,K152,J152,I152)</f>
        <v>7.8625747480813891E-3</v>
      </c>
      <c r="O152" s="73">
        <f>AVERAGE(N152,L152,K152,J152)</f>
        <v>7.8143514598904892E-3</v>
      </c>
      <c r="P152" s="73">
        <f>AVERAGE(O152,N152,L152,K152)</f>
        <v>7.8353462993419731E-3</v>
      </c>
      <c r="Q152" s="73">
        <f>AVERAGE(P152,O152,N152,L152)</f>
        <v>7.8361255005029648E-3</v>
      </c>
      <c r="R152" s="63">
        <f>-R30/((((R206+R209)+(M206+M209))/2))</f>
        <v>3.1791667995090117E-2</v>
      </c>
      <c r="S152" s="73">
        <f>AVERAGE(Q152,P152,O152,N152)</f>
        <v>7.837099501954204E-3</v>
      </c>
      <c r="T152" s="73">
        <f>AVERAGE(S152,Q152,P152,O152)</f>
        <v>7.8307306904224078E-3</v>
      </c>
      <c r="U152" s="73">
        <f>AVERAGE(T152,S152,Q152,P152)</f>
        <v>7.834825498055387E-3</v>
      </c>
      <c r="V152" s="73">
        <f>AVERAGE(U152,T152,S152,Q152)</f>
        <v>7.8346952977337396E-3</v>
      </c>
      <c r="W152" s="63">
        <f>-W30/((((W206+W209)+(R206+R209))/2))</f>
        <v>3.1614296370415296E-2</v>
      </c>
      <c r="X152" s="73">
        <f>AVERAGE(V152,U152,T152,S152)</f>
        <v>7.8343377470414359E-3</v>
      </c>
      <c r="Y152" s="73">
        <f>AVERAGE(X152,V152,U152,T152)</f>
        <v>7.8336473083132421E-3</v>
      </c>
      <c r="Z152" s="73">
        <f>AVERAGE(Y152,X152,V152,U152)</f>
        <v>7.8343764627859507E-3</v>
      </c>
      <c r="AA152" s="73">
        <f>AVERAGE(Z152,Y152,X152,V152)</f>
        <v>7.8342642039685925E-3</v>
      </c>
      <c r="AB152" s="63">
        <f>-AB30/((((AB206+AB209)+(W206+W209))/2))</f>
        <v>3.1634597260084434E-2</v>
      </c>
      <c r="AC152" s="73">
        <f>AVERAGE(AA152,Z152,Y152,X152)</f>
        <v>7.8341564305273066E-3</v>
      </c>
      <c r="AD152" s="73">
        <f>AVERAGE(AC152,AA152,Z152,Y152)</f>
        <v>7.8341111013987726E-3</v>
      </c>
      <c r="AE152" s="73">
        <f>AVERAGE(AD152,AC152,AA152,Z152)</f>
        <v>7.834227049670156E-3</v>
      </c>
      <c r="AF152" s="73">
        <f>AVERAGE(AE152,AD152,AC152,AA152)</f>
        <v>7.8341896963912069E-3</v>
      </c>
      <c r="AG152" s="63">
        <f>-AG30/((((AG206+AG209)+(AB206+AB209))/2))</f>
        <v>3.1845693075970745E-2</v>
      </c>
      <c r="AH152" s="73">
        <f>AVERAGE(AF152,AE152,AD152,AC152)</f>
        <v>7.8341710694968605E-3</v>
      </c>
      <c r="AI152" s="73">
        <f>AVERAGE(AH152,AF152,AE152,AD152)</f>
        <v>7.8341747292392482E-3</v>
      </c>
      <c r="AJ152" s="73">
        <f>AVERAGE(AI152,AH152,AF152,AE152)</f>
        <v>7.8341906361993688E-3</v>
      </c>
      <c r="AK152" s="73">
        <f>AVERAGE(AJ152,AI152,AH152,AF152)</f>
        <v>7.8341815328316702E-3</v>
      </c>
      <c r="AL152" s="63">
        <f>-AL30/((((AL206+AL209)+(AG206+AG209))/2))</f>
        <v>3.2560475231586422E-2</v>
      </c>
    </row>
    <row r="153" spans="1:38" s="47" customFormat="1" outlineLevel="1" x14ac:dyDescent="0.25">
      <c r="A153" s="366"/>
      <c r="B153" s="415" t="s">
        <v>355</v>
      </c>
      <c r="C153" s="416"/>
      <c r="D153" s="61"/>
      <c r="E153" s="61"/>
      <c r="F153" s="61"/>
      <c r="G153" s="61"/>
      <c r="H153" s="63"/>
      <c r="I153" s="61">
        <f>I42/D42-1</f>
        <v>5.9389868457878192E-2</v>
      </c>
      <c r="J153" s="61">
        <f t="shared" ref="J153:AL153" si="665">J42/E42-1</f>
        <v>-0.47460546003783222</v>
      </c>
      <c r="K153" s="61">
        <f t="shared" si="665"/>
        <v>-1.5922286955663072</v>
      </c>
      <c r="L153" s="325">
        <f t="shared" si="665"/>
        <v>-1.2206172473174171</v>
      </c>
      <c r="M153" s="398">
        <f t="shared" si="665"/>
        <v>-0.83513975075713986</v>
      </c>
      <c r="N153" s="325">
        <f t="shared" si="665"/>
        <v>-0.98238379248759433</v>
      </c>
      <c r="O153" s="325">
        <f t="shared" si="665"/>
        <v>-0.47508670504023931</v>
      </c>
      <c r="P153" s="325">
        <f t="shared" si="665"/>
        <v>-1.1612525496193524</v>
      </c>
      <c r="Q153" s="325">
        <f t="shared" si="665"/>
        <v>-6.5914929739865968</v>
      </c>
      <c r="R153" s="63">
        <f t="shared" si="665"/>
        <v>1.3870223949797271</v>
      </c>
      <c r="S153" s="325">
        <f t="shared" si="665"/>
        <v>69.094313393683436</v>
      </c>
      <c r="T153" s="325">
        <f t="shared" si="665"/>
        <v>3.1425296149798134</v>
      </c>
      <c r="U153" s="325">
        <f t="shared" si="665"/>
        <v>5.6217077659331132</v>
      </c>
      <c r="V153" s="325">
        <f t="shared" si="665"/>
        <v>0.26630717529986536</v>
      </c>
      <c r="W153" s="398">
        <f t="shared" si="665"/>
        <v>1.9103508787010806</v>
      </c>
      <c r="X153" s="325">
        <f t="shared" si="665"/>
        <v>0.14041694794220927</v>
      </c>
      <c r="Y153" s="325">
        <f t="shared" si="665"/>
        <v>0.12894884632995707</v>
      </c>
      <c r="Z153" s="325">
        <f t="shared" si="665"/>
        <v>0.11737335974343677</v>
      </c>
      <c r="AA153" s="325">
        <f t="shared" si="665"/>
        <v>0.10618090243379541</v>
      </c>
      <c r="AB153" s="63">
        <f t="shared" si="665"/>
        <v>0.12305420924715205</v>
      </c>
      <c r="AC153" s="325">
        <f t="shared" si="665"/>
        <v>0.11655529798212649</v>
      </c>
      <c r="AD153" s="325">
        <f t="shared" si="665"/>
        <v>0.12714237012891161</v>
      </c>
      <c r="AE153" s="325">
        <f t="shared" si="665"/>
        <v>0.14807137768728817</v>
      </c>
      <c r="AF153" s="325">
        <f t="shared" si="665"/>
        <v>0.11699190139531623</v>
      </c>
      <c r="AG153" s="398">
        <f t="shared" si="665"/>
        <v>0.12371961121856723</v>
      </c>
      <c r="AH153" s="325">
        <f t="shared" si="665"/>
        <v>0.11848968059142195</v>
      </c>
      <c r="AI153" s="325">
        <f t="shared" si="665"/>
        <v>0.12810428002381946</v>
      </c>
      <c r="AJ153" s="325">
        <f t="shared" si="665"/>
        <v>0.14769454014507399</v>
      </c>
      <c r="AK153" s="325">
        <f t="shared" si="665"/>
        <v>0.12211623910561786</v>
      </c>
      <c r="AL153" s="63">
        <f t="shared" si="665"/>
        <v>0.12623624576687154</v>
      </c>
    </row>
    <row r="154" spans="1:38" s="47" customFormat="1" outlineLevel="1" x14ac:dyDescent="0.25">
      <c r="A154" s="366"/>
      <c r="B154" s="415" t="s">
        <v>356</v>
      </c>
      <c r="C154" s="416"/>
      <c r="D154" s="61"/>
      <c r="E154" s="61"/>
      <c r="F154" s="61"/>
      <c r="G154" s="61"/>
      <c r="H154" s="63"/>
      <c r="I154" s="61">
        <f>I257/D257-1</f>
        <v>-0.22820512820512895</v>
      </c>
      <c r="J154" s="61">
        <f t="shared" ref="J154:AL154" si="666">J257/E257-1</f>
        <v>-4.4869364754098413</v>
      </c>
      <c r="K154" s="61">
        <f t="shared" si="666"/>
        <v>-1.314434752864716</v>
      </c>
      <c r="L154" s="325">
        <f t="shared" si="666"/>
        <v>-0.77441512681800972</v>
      </c>
      <c r="M154" s="398">
        <f t="shared" si="666"/>
        <v>-0.92924951990866378</v>
      </c>
      <c r="N154" s="325">
        <f t="shared" si="666"/>
        <v>-0.67413593127534488</v>
      </c>
      <c r="O154" s="325">
        <f t="shared" si="666"/>
        <v>-1.2608724192710996</v>
      </c>
      <c r="P154" s="325">
        <f t="shared" si="666"/>
        <v>-2.7910793229840527</v>
      </c>
      <c r="Q154" s="325">
        <f t="shared" si="666"/>
        <v>3.3491754867866765</v>
      </c>
      <c r="R154" s="63">
        <f t="shared" si="666"/>
        <v>6.5592628473042067</v>
      </c>
      <c r="S154" s="325">
        <f t="shared" si="666"/>
        <v>2.6280696338287108</v>
      </c>
      <c r="T154" s="325">
        <f t="shared" si="666"/>
        <v>1.1779491904472916</v>
      </c>
      <c r="U154" s="325">
        <f t="shared" si="666"/>
        <v>0.39978501687256829</v>
      </c>
      <c r="V154" s="325">
        <f t="shared" si="666"/>
        <v>9.9584721767171036E-2</v>
      </c>
      <c r="W154" s="398">
        <f t="shared" si="666"/>
        <v>0.87518812127761159</v>
      </c>
      <c r="X154" s="325">
        <f t="shared" si="666"/>
        <v>-5.720261555593098E-2</v>
      </c>
      <c r="Y154" s="325">
        <f t="shared" si="666"/>
        <v>0.11494461040699733</v>
      </c>
      <c r="Z154" s="325">
        <f t="shared" si="666"/>
        <v>0.13737102736780549</v>
      </c>
      <c r="AA154" s="325">
        <f t="shared" si="666"/>
        <v>0.17519017333588405</v>
      </c>
      <c r="AB154" s="63">
        <f t="shared" si="666"/>
        <v>5.9428600330179604E-2</v>
      </c>
      <c r="AC154" s="325">
        <f t="shared" si="666"/>
        <v>6.9875854686993089E-2</v>
      </c>
      <c r="AD154" s="325">
        <f t="shared" si="666"/>
        <v>8.0017323540723329E-2</v>
      </c>
      <c r="AE154" s="325">
        <f t="shared" si="666"/>
        <v>6.84230636130434E-2</v>
      </c>
      <c r="AF154" s="325">
        <f t="shared" si="666"/>
        <v>7.4092342567215974E-2</v>
      </c>
      <c r="AG154" s="398">
        <f t="shared" si="666"/>
        <v>7.2327381687447456E-2</v>
      </c>
      <c r="AH154" s="325">
        <f t="shared" si="666"/>
        <v>7.3544245138378095E-2</v>
      </c>
      <c r="AI154" s="325">
        <f t="shared" si="666"/>
        <v>8.3651641527838549E-2</v>
      </c>
      <c r="AJ154" s="325">
        <f t="shared" si="666"/>
        <v>9.4479218080101068E-2</v>
      </c>
      <c r="AK154" s="325">
        <f t="shared" si="666"/>
        <v>7.5639044530185107E-2</v>
      </c>
      <c r="AL154" s="63">
        <f t="shared" si="666"/>
        <v>7.9809654618330228E-2</v>
      </c>
    </row>
    <row r="155" spans="1:38" s="47" customFormat="1" outlineLevel="1" x14ac:dyDescent="0.25">
      <c r="A155" s="366"/>
      <c r="B155" s="415" t="s">
        <v>357</v>
      </c>
      <c r="C155" s="416"/>
      <c r="D155" s="61"/>
      <c r="E155" s="61"/>
      <c r="F155" s="61"/>
      <c r="G155" s="61"/>
      <c r="H155" s="63"/>
      <c r="I155" s="61">
        <f>I277/D277-1</f>
        <v>-0.24665676658636615</v>
      </c>
      <c r="J155" s="61">
        <f>J277/E277-1</f>
        <v>-57.552084279702278</v>
      </c>
      <c r="K155" s="61">
        <f t="shared" ref="K155:AL155" si="667">K277/F277-1</f>
        <v>-1.830171628942564</v>
      </c>
      <c r="L155" s="325">
        <f t="shared" si="667"/>
        <v>-1.0262141722882994</v>
      </c>
      <c r="M155" s="398">
        <f t="shared" si="667"/>
        <v>-1.237058050138744</v>
      </c>
      <c r="N155" s="325">
        <f t="shared" si="667"/>
        <v>-0.84879986536776098</v>
      </c>
      <c r="O155" s="325">
        <f t="shared" si="667"/>
        <v>-1.0194066930412686</v>
      </c>
      <c r="P155" s="325">
        <f t="shared" si="667"/>
        <v>-1.6262628910285746</v>
      </c>
      <c r="Q155" s="325">
        <f t="shared" si="667"/>
        <v>-39.750740863035254</v>
      </c>
      <c r="R155" s="63">
        <f t="shared" si="667"/>
        <v>-2.6195721324626819</v>
      </c>
      <c r="S155" s="325">
        <f t="shared" si="667"/>
        <v>6.6188874990585962</v>
      </c>
      <c r="T155" s="325">
        <f t="shared" si="667"/>
        <v>12.683362033206558</v>
      </c>
      <c r="U155" s="325">
        <f t="shared" si="667"/>
        <v>0.62318727650551287</v>
      </c>
      <c r="V155" s="325">
        <f t="shared" si="667"/>
        <v>0.13657625423175102</v>
      </c>
      <c r="W155" s="398">
        <f t="shared" si="667"/>
        <v>1.6958161361140456</v>
      </c>
      <c r="X155" s="325">
        <f t="shared" si="667"/>
        <v>-3.9599092672848668E-2</v>
      </c>
      <c r="Y155" s="325">
        <f t="shared" si="667"/>
        <v>0.30206141265298792</v>
      </c>
      <c r="Z155" s="325">
        <f t="shared" si="667"/>
        <v>0.238308905828855</v>
      </c>
      <c r="AA155" s="325">
        <f t="shared" si="667"/>
        <v>0.35336972110430698</v>
      </c>
      <c r="AB155" s="63">
        <f t="shared" si="667"/>
        <v>0.13601294084267068</v>
      </c>
      <c r="AC155" s="325">
        <f t="shared" si="667"/>
        <v>6.6598829583731201E-2</v>
      </c>
      <c r="AD155" s="325">
        <f t="shared" si="667"/>
        <v>7.2888760100108696E-2</v>
      </c>
      <c r="AE155" s="325">
        <f t="shared" si="667"/>
        <v>5.6501974221090823E-2</v>
      </c>
      <c r="AF155" s="325">
        <f t="shared" si="667"/>
        <v>6.6664714505820566E-2</v>
      </c>
      <c r="AG155" s="398">
        <f t="shared" si="667"/>
        <v>6.5440205221505954E-2</v>
      </c>
      <c r="AH155" s="325">
        <f t="shared" si="667"/>
        <v>6.8318041017502384E-2</v>
      </c>
      <c r="AI155" s="325">
        <f t="shared" si="667"/>
        <v>6.9403251755964623E-2</v>
      </c>
      <c r="AJ155" s="325">
        <f t="shared" si="667"/>
        <v>8.2693677963539214E-2</v>
      </c>
      <c r="AK155" s="325">
        <f t="shared" si="667"/>
        <v>6.1759779885053101E-2</v>
      </c>
      <c r="AL155" s="63">
        <f t="shared" si="667"/>
        <v>6.973878124060251E-2</v>
      </c>
    </row>
    <row r="156" spans="1:38" ht="18" x14ac:dyDescent="0.4">
      <c r="A156" s="300"/>
      <c r="B156" s="511" t="s">
        <v>345</v>
      </c>
      <c r="C156" s="512"/>
      <c r="D156" s="36" t="s">
        <v>123</v>
      </c>
      <c r="E156" s="36" t="s">
        <v>280</v>
      </c>
      <c r="F156" s="36" t="s">
        <v>284</v>
      </c>
      <c r="G156" s="36" t="s">
        <v>294</v>
      </c>
      <c r="H156" s="104" t="s">
        <v>295</v>
      </c>
      <c r="I156" s="36" t="s">
        <v>296</v>
      </c>
      <c r="J156" s="36" t="s">
        <v>297</v>
      </c>
      <c r="K156" s="36" t="s">
        <v>298</v>
      </c>
      <c r="L156" s="34" t="s">
        <v>141</v>
      </c>
      <c r="M156" s="107" t="s">
        <v>142</v>
      </c>
      <c r="N156" s="34" t="s">
        <v>143</v>
      </c>
      <c r="O156" s="34" t="s">
        <v>144</v>
      </c>
      <c r="P156" s="34" t="s">
        <v>145</v>
      </c>
      <c r="Q156" s="34" t="s">
        <v>146</v>
      </c>
      <c r="R156" s="107" t="s">
        <v>147</v>
      </c>
      <c r="S156" s="34" t="s">
        <v>148</v>
      </c>
      <c r="T156" s="34" t="s">
        <v>149</v>
      </c>
      <c r="U156" s="34" t="s">
        <v>150</v>
      </c>
      <c r="V156" s="34" t="s">
        <v>151</v>
      </c>
      <c r="W156" s="107" t="s">
        <v>152</v>
      </c>
      <c r="X156" s="34" t="s">
        <v>153</v>
      </c>
      <c r="Y156" s="34" t="s">
        <v>154</v>
      </c>
      <c r="Z156" s="34" t="s">
        <v>155</v>
      </c>
      <c r="AA156" s="34" t="s">
        <v>156</v>
      </c>
      <c r="AB156" s="107" t="s">
        <v>157</v>
      </c>
      <c r="AC156" s="34" t="s">
        <v>289</v>
      </c>
      <c r="AD156" s="34" t="s">
        <v>290</v>
      </c>
      <c r="AE156" s="34" t="s">
        <v>291</v>
      </c>
      <c r="AF156" s="34" t="s">
        <v>292</v>
      </c>
      <c r="AG156" s="107" t="s">
        <v>293</v>
      </c>
      <c r="AH156" s="34" t="s">
        <v>322</v>
      </c>
      <c r="AI156" s="34" t="s">
        <v>323</v>
      </c>
      <c r="AJ156" s="34" t="s">
        <v>324</v>
      </c>
      <c r="AK156" s="34" t="s">
        <v>325</v>
      </c>
      <c r="AL156" s="107" t="s">
        <v>326</v>
      </c>
    </row>
    <row r="157" spans="1:38" outlineLevel="1" x14ac:dyDescent="0.25">
      <c r="A157" s="300"/>
      <c r="B157" s="509" t="s">
        <v>54</v>
      </c>
      <c r="C157" s="510"/>
      <c r="D157" s="61"/>
      <c r="E157" s="61">
        <f>(E38+E161+E164+E167)/D38-1</f>
        <v>2.777764747303535E-2</v>
      </c>
      <c r="F157" s="61">
        <f>(F38+F161+F164+F167)/E38-1</f>
        <v>-1.7269004124131682E-2</v>
      </c>
      <c r="G157" s="61">
        <f>(G38+G161+G164+G167)/F38-1</f>
        <v>1.9258933156590885E-2</v>
      </c>
      <c r="H157" s="22"/>
      <c r="I157" s="61">
        <f>(I38+I161+I164+I167)/G38-1</f>
        <v>-1.436336111538794E-2</v>
      </c>
      <c r="J157" s="61">
        <f>(J38+J161+J164+J167)/I38-1</f>
        <v>-1.1333810572689007E-3</v>
      </c>
      <c r="K157" s="61">
        <f>(K38+K161+K164+K167)/J38-1</f>
        <v>-2.8161802355349819E-3</v>
      </c>
      <c r="L157" s="73">
        <f t="shared" ref="L157:L158" si="668">AVERAGE(G157,I157,J157,K157)</f>
        <v>2.3650268709976552E-4</v>
      </c>
      <c r="M157" s="22"/>
      <c r="N157" s="73">
        <f t="shared" ref="N157:N158" si="669">AVERAGE(I157,J157,K157,L157)</f>
        <v>-4.5191049302730144E-3</v>
      </c>
      <c r="O157" s="73">
        <f t="shared" ref="O157:O158" si="670">AVERAGE(J157,K157,L157,N157)</f>
        <v>-2.0580408839942829E-3</v>
      </c>
      <c r="P157" s="73">
        <f t="shared" ref="P157:P158" si="671">AVERAGE(K157,L157,N157,O157)</f>
        <v>-2.2892058406756284E-3</v>
      </c>
      <c r="Q157" s="73">
        <f t="shared" ref="Q157:Q158" si="672">AVERAGE(L157,N157,O157,P157)</f>
        <v>-2.1574622419607901E-3</v>
      </c>
      <c r="R157" s="22"/>
      <c r="S157" s="73">
        <f t="shared" ref="S157:S158" si="673">AVERAGE(N157,O157,P157,Q157)</f>
        <v>-2.7559534742259291E-3</v>
      </c>
      <c r="T157" s="73">
        <f t="shared" ref="T157:T158" si="674">AVERAGE(O157,P157,Q157,S157)</f>
        <v>-2.315165610214158E-3</v>
      </c>
      <c r="U157" s="73">
        <f t="shared" ref="U157:U158" si="675">AVERAGE(P157,Q157,S157,T157)</f>
        <v>-2.3794467917691263E-3</v>
      </c>
      <c r="V157" s="73">
        <f t="shared" ref="V157:V158" si="676">AVERAGE(Q157,S157,T157,U157)</f>
        <v>-2.4020070295425007E-3</v>
      </c>
      <c r="W157" s="22"/>
      <c r="X157" s="73">
        <f t="shared" ref="X157:X158" si="677">AVERAGE(S157,T157,U157,V157)</f>
        <v>-2.4631432264379284E-3</v>
      </c>
      <c r="Y157" s="73">
        <f t="shared" ref="Y157:Y158" si="678">AVERAGE(T157,U157,V157,X157)</f>
        <v>-2.3899406644909285E-3</v>
      </c>
      <c r="Z157" s="73">
        <f t="shared" ref="Z157:Z158" si="679">AVERAGE(U157,V157,X157,Y157)</f>
        <v>-2.408634428060121E-3</v>
      </c>
      <c r="AA157" s="73">
        <f t="shared" ref="AA157:AA158" si="680">AVERAGE(V157,X157,Y157,Z157)</f>
        <v>-2.4159313371328699E-3</v>
      </c>
      <c r="AB157" s="22"/>
      <c r="AC157" s="73">
        <f t="shared" ref="AC157:AC158" si="681">AVERAGE(X157,Y157,Z157,AA157)</f>
        <v>-2.4194124140304619E-3</v>
      </c>
      <c r="AD157" s="73">
        <f t="shared" ref="AD157:AD158" si="682">AVERAGE(Y157,Z157,AA157,AC157)</f>
        <v>-2.4084797109285953E-3</v>
      </c>
      <c r="AE157" s="73">
        <f t="shared" ref="AE157:AE158" si="683">AVERAGE(Z157,AA157,AC157,AD157)</f>
        <v>-2.4131144725380122E-3</v>
      </c>
      <c r="AF157" s="73">
        <f t="shared" ref="AF157:AF158" si="684">AVERAGE(AA157,AC157,AD157,AE157)</f>
        <v>-2.4142344836574851E-3</v>
      </c>
      <c r="AG157" s="22"/>
      <c r="AH157" s="73">
        <f t="shared" ref="AH157:AH158" si="685">AVERAGE(AC157,AD157,AE157,AF157)</f>
        <v>-2.4138102702886384E-3</v>
      </c>
      <c r="AI157" s="73">
        <f t="shared" ref="AI157:AI158" si="686">AVERAGE(AD157,AE157,AF157,AH157)</f>
        <v>-2.4124097343531828E-3</v>
      </c>
      <c r="AJ157" s="73">
        <f t="shared" ref="AJ157:AJ158" si="687">AVERAGE(AE157,AF157,AH157,AI157)</f>
        <v>-2.4133922402093297E-3</v>
      </c>
      <c r="AK157" s="73">
        <f t="shared" ref="AK157:AK158" si="688">AVERAGE(AF157,AH157,AI157,AJ157)</f>
        <v>-2.413461682127159E-3</v>
      </c>
      <c r="AL157" s="22"/>
    </row>
    <row r="158" spans="1:38" outlineLevel="1" x14ac:dyDescent="0.25">
      <c r="A158" s="300"/>
      <c r="B158" s="509" t="s">
        <v>55</v>
      </c>
      <c r="C158" s="510"/>
      <c r="D158" s="61"/>
      <c r="E158" s="61">
        <f>(E39+E161+E164+E167)/D39-1</f>
        <v>2.7604785512613583E-2</v>
      </c>
      <c r="F158" s="61">
        <f>(F39+F161+F164+F167)/E39-1</f>
        <v>-1.6710442080933863E-2</v>
      </c>
      <c r="G158" s="61">
        <f>(G39+G161+G164+G167)/F39-1</f>
        <v>1.9089589576967603E-2</v>
      </c>
      <c r="H158" s="22"/>
      <c r="I158" s="61">
        <f>(I39+I161+I164+I167)/G39-1</f>
        <v>-1.5386652077945762E-2</v>
      </c>
      <c r="J158" s="61">
        <f>(J39+J161+J164+J167)/I39-1</f>
        <v>-2.5506658270361138E-3</v>
      </c>
      <c r="K158" s="61">
        <f>(K39+K161+K164+K167)/J39-1</f>
        <v>-1.0332853392055585E-2</v>
      </c>
      <c r="L158" s="73">
        <f t="shared" si="668"/>
        <v>-2.2951454300174645E-3</v>
      </c>
      <c r="M158" s="22"/>
      <c r="N158" s="73">
        <f t="shared" si="669"/>
        <v>-7.6413291817637313E-3</v>
      </c>
      <c r="O158" s="73">
        <f t="shared" si="670"/>
        <v>-5.7049984577182238E-3</v>
      </c>
      <c r="P158" s="73">
        <f t="shared" si="671"/>
        <v>-6.4935816153887512E-3</v>
      </c>
      <c r="Q158" s="73">
        <f t="shared" si="672"/>
        <v>-5.5337636712220429E-3</v>
      </c>
      <c r="R158" s="22"/>
      <c r="S158" s="73">
        <f t="shared" si="673"/>
        <v>-6.3434182315231877E-3</v>
      </c>
      <c r="T158" s="73">
        <f t="shared" si="674"/>
        <v>-6.0189404939630514E-3</v>
      </c>
      <c r="U158" s="73">
        <f t="shared" si="675"/>
        <v>-6.0974260030242583E-3</v>
      </c>
      <c r="V158" s="73">
        <f t="shared" si="676"/>
        <v>-5.9983870999331347E-3</v>
      </c>
      <c r="W158" s="22"/>
      <c r="X158" s="73">
        <f t="shared" si="677"/>
        <v>-6.1145429571109085E-3</v>
      </c>
      <c r="Y158" s="73">
        <f t="shared" si="678"/>
        <v>-6.0573241385078382E-3</v>
      </c>
      <c r="Z158" s="73">
        <f t="shared" si="679"/>
        <v>-6.0669200496440354E-3</v>
      </c>
      <c r="AA158" s="73">
        <f t="shared" si="680"/>
        <v>-6.0592935612989798E-3</v>
      </c>
      <c r="AB158" s="22"/>
      <c r="AC158" s="73">
        <f t="shared" si="681"/>
        <v>-6.07452017664044E-3</v>
      </c>
      <c r="AD158" s="73">
        <f t="shared" si="682"/>
        <v>-6.0645144815228234E-3</v>
      </c>
      <c r="AE158" s="73">
        <f t="shared" si="683"/>
        <v>-6.0663120672765688E-3</v>
      </c>
      <c r="AF158" s="73">
        <f t="shared" si="684"/>
        <v>-6.0661600716847026E-3</v>
      </c>
      <c r="AG158" s="22"/>
      <c r="AH158" s="73">
        <f t="shared" si="685"/>
        <v>-6.0678766992811328E-3</v>
      </c>
      <c r="AI158" s="73">
        <f t="shared" si="686"/>
        <v>-6.0662158299413065E-3</v>
      </c>
      <c r="AJ158" s="73">
        <f t="shared" si="687"/>
        <v>-6.0666411670459277E-3</v>
      </c>
      <c r="AK158" s="73">
        <f t="shared" si="688"/>
        <v>-6.0667234419882676E-3</v>
      </c>
      <c r="AL158" s="22"/>
    </row>
    <row r="159" spans="1:38" outlineLevel="1" x14ac:dyDescent="0.25">
      <c r="A159" s="300"/>
      <c r="B159" s="509" t="s">
        <v>352</v>
      </c>
      <c r="C159" s="510"/>
      <c r="D159" s="76"/>
      <c r="E159" s="318">
        <v>69.922678056926543</v>
      </c>
      <c r="F159" s="318">
        <v>83.13076202744692</v>
      </c>
      <c r="G159" s="318">
        <v>92.52</v>
      </c>
      <c r="H159" s="77"/>
      <c r="I159" s="318">
        <v>85.23</v>
      </c>
      <c r="J159" s="318">
        <v>78.08</v>
      </c>
      <c r="K159" s="318">
        <v>0</v>
      </c>
      <c r="L159" s="486">
        <v>80</v>
      </c>
      <c r="M159" s="77"/>
      <c r="N159" s="486">
        <v>82</v>
      </c>
      <c r="O159" s="486">
        <v>84</v>
      </c>
      <c r="P159" s="486">
        <v>86</v>
      </c>
      <c r="Q159" s="486">
        <v>95</v>
      </c>
      <c r="R159" s="77"/>
      <c r="S159" s="78">
        <f>+Q159</f>
        <v>95</v>
      </c>
      <c r="T159" s="78">
        <f>+S159</f>
        <v>95</v>
      </c>
      <c r="U159" s="78">
        <f>+T159</f>
        <v>95</v>
      </c>
      <c r="V159" s="78">
        <f>+U159</f>
        <v>95</v>
      </c>
      <c r="W159" s="77"/>
      <c r="X159" s="78">
        <f>+V159</f>
        <v>95</v>
      </c>
      <c r="Y159" s="78">
        <f>+X159</f>
        <v>95</v>
      </c>
      <c r="Z159" s="78">
        <f>+Y159</f>
        <v>95</v>
      </c>
      <c r="AA159" s="78">
        <f>+Z159</f>
        <v>95</v>
      </c>
      <c r="AB159" s="77"/>
      <c r="AC159" s="78">
        <f>+AA159</f>
        <v>95</v>
      </c>
      <c r="AD159" s="78">
        <f>+AC159</f>
        <v>95</v>
      </c>
      <c r="AE159" s="78">
        <f>+AD159</f>
        <v>95</v>
      </c>
      <c r="AF159" s="78">
        <f>+AE159</f>
        <v>95</v>
      </c>
      <c r="AG159" s="77"/>
      <c r="AH159" s="78">
        <f>+AF159</f>
        <v>95</v>
      </c>
      <c r="AI159" s="78">
        <f>+AH159</f>
        <v>95</v>
      </c>
      <c r="AJ159" s="78">
        <f>+AI159</f>
        <v>95</v>
      </c>
      <c r="AK159" s="78">
        <f>+AJ159</f>
        <v>95</v>
      </c>
      <c r="AL159" s="77"/>
    </row>
    <row r="160" spans="1:38" outlineLevel="1" x14ac:dyDescent="0.25">
      <c r="A160" s="300"/>
      <c r="B160" s="509" t="s">
        <v>353</v>
      </c>
      <c r="C160" s="510"/>
      <c r="D160" s="38"/>
      <c r="E160" s="307">
        <v>713.2</v>
      </c>
      <c r="F160" s="307">
        <f>954.3-713.2</f>
        <v>241.09999999999991</v>
      </c>
      <c r="G160" s="302">
        <v>2177.1942404399997</v>
      </c>
      <c r="H160" s="39">
        <f>+SUM(D160:G160)</f>
        <v>3131.4942404399999</v>
      </c>
      <c r="I160" s="302">
        <v>1107.9389472300002</v>
      </c>
      <c r="J160" s="302">
        <v>567.02921856000012</v>
      </c>
      <c r="K160" s="302">
        <v>0</v>
      </c>
      <c r="L160" s="71">
        <v>100</v>
      </c>
      <c r="M160" s="39">
        <f>+SUM(I160:L160)</f>
        <v>1774.9681657900003</v>
      </c>
      <c r="N160" s="71">
        <v>100</v>
      </c>
      <c r="O160" s="71">
        <v>100</v>
      </c>
      <c r="P160" s="71">
        <v>100</v>
      </c>
      <c r="Q160" s="71">
        <v>100</v>
      </c>
      <c r="R160" s="39">
        <f>+SUM(N160:Q160)</f>
        <v>400</v>
      </c>
      <c r="S160" s="71">
        <v>100</v>
      </c>
      <c r="T160" s="71">
        <v>100</v>
      </c>
      <c r="U160" s="71">
        <v>100</v>
      </c>
      <c r="V160" s="71">
        <v>100</v>
      </c>
      <c r="W160" s="39">
        <f>+SUM(S160:V160)</f>
        <v>400</v>
      </c>
      <c r="X160" s="71">
        <v>100</v>
      </c>
      <c r="Y160" s="71">
        <v>100</v>
      </c>
      <c r="Z160" s="71">
        <v>100</v>
      </c>
      <c r="AA160" s="71">
        <v>100</v>
      </c>
      <c r="AB160" s="39">
        <f>+SUM(X160:AA160)</f>
        <v>400</v>
      </c>
      <c r="AC160" s="71">
        <v>100</v>
      </c>
      <c r="AD160" s="71">
        <v>100</v>
      </c>
      <c r="AE160" s="71">
        <v>100</v>
      </c>
      <c r="AF160" s="71">
        <v>100</v>
      </c>
      <c r="AG160" s="39">
        <f>+SUM(AC160:AF160)</f>
        <v>400</v>
      </c>
      <c r="AH160" s="71">
        <v>100</v>
      </c>
      <c r="AI160" s="71">
        <v>100</v>
      </c>
      <c r="AJ160" s="71">
        <v>100</v>
      </c>
      <c r="AK160" s="71">
        <v>100</v>
      </c>
      <c r="AL160" s="39">
        <f>+SUM(AH160:AK160)</f>
        <v>400</v>
      </c>
    </row>
    <row r="161" spans="1:38" outlineLevel="1" x14ac:dyDescent="0.25">
      <c r="A161" s="300"/>
      <c r="B161" s="509" t="s">
        <v>354</v>
      </c>
      <c r="C161" s="510"/>
      <c r="D161" s="406"/>
      <c r="E161" s="406">
        <f>IF((E160)&gt;0,(E160/E159),0)</f>
        <v>10.199838161509755</v>
      </c>
      <c r="F161" s="409">
        <f>IF((F160)&gt;0,(F160/F159),0)</f>
        <v>2.9002500893760241</v>
      </c>
      <c r="G161" s="409">
        <f>IF((G160)&gt;0,(G160/G159),0)</f>
        <v>23.532146999999998</v>
      </c>
      <c r="H161" s="194">
        <f>+SUM(D161:G161)</f>
        <v>36.632235250885778</v>
      </c>
      <c r="I161" s="406">
        <f>IF((I160)&gt;0,(I160/I159),0)</f>
        <v>12.999401000000001</v>
      </c>
      <c r="J161" s="409">
        <f>IF((J160)&gt;0,(J160/J159),0)</f>
        <v>7.262157000000002</v>
      </c>
      <c r="K161" s="406">
        <f>IF((K160)&gt;0,(K160/K159),0)</f>
        <v>0</v>
      </c>
      <c r="L161" s="406">
        <f>IF((L160)&gt;0,(L160/L159),0)</f>
        <v>1.25</v>
      </c>
      <c r="M161" s="194">
        <f>+SUM(I161:L161)</f>
        <v>21.511558000000001</v>
      </c>
      <c r="N161" s="406">
        <f>IF((N160)&gt;0,(N160/N159),0)</f>
        <v>1.2195121951219512</v>
      </c>
      <c r="O161" s="406">
        <f>IF((O160)&gt;0,(O160/O159),0)</f>
        <v>1.1904761904761905</v>
      </c>
      <c r="P161" s="406">
        <f>IF((P160)&gt;0,(P160/P159),0)</f>
        <v>1.1627906976744187</v>
      </c>
      <c r="Q161" s="406">
        <f>IF((Q160)&gt;0,(Q160/Q159),0)</f>
        <v>1.0526315789473684</v>
      </c>
      <c r="R161" s="194">
        <f>+SUM(N161:Q161)</f>
        <v>4.6254106622199282</v>
      </c>
      <c r="S161" s="406">
        <f>IF((S160)&gt;0,(S160/S159),0)</f>
        <v>1.0526315789473684</v>
      </c>
      <c r="T161" s="406">
        <f>IF((T160)&gt;0,(T160/T159),0)</f>
        <v>1.0526315789473684</v>
      </c>
      <c r="U161" s="406">
        <f>IF((U160)&gt;0,(U160/U159),0)</f>
        <v>1.0526315789473684</v>
      </c>
      <c r="V161" s="406">
        <f>IF((V160)&gt;0,(V160/V159),0)</f>
        <v>1.0526315789473684</v>
      </c>
      <c r="W161" s="194">
        <f>+SUM(S161:V161)</f>
        <v>4.2105263157894735</v>
      </c>
      <c r="X161" s="406">
        <f>IF((X160)&gt;0,(X160/X159),0)</f>
        <v>1.0526315789473684</v>
      </c>
      <c r="Y161" s="406">
        <f>IF((Y160)&gt;0,(Y160/Y159),0)</f>
        <v>1.0526315789473684</v>
      </c>
      <c r="Z161" s="406">
        <f>IF((Z160)&gt;0,(Z160/Z159),0)</f>
        <v>1.0526315789473684</v>
      </c>
      <c r="AA161" s="406">
        <f>IF((AA160)&gt;0,(AA160/AA159),0)</f>
        <v>1.0526315789473684</v>
      </c>
      <c r="AB161" s="194">
        <f>+SUM(X161:AA161)</f>
        <v>4.2105263157894735</v>
      </c>
      <c r="AC161" s="406">
        <f>IF((AC160)&gt;0,(AC160/AC159),0)</f>
        <v>1.0526315789473684</v>
      </c>
      <c r="AD161" s="406">
        <f>IF((AD160)&gt;0,(AD160/AD159),0)</f>
        <v>1.0526315789473684</v>
      </c>
      <c r="AE161" s="406">
        <f>IF((AE160)&gt;0,(AE160/AE159),0)</f>
        <v>1.0526315789473684</v>
      </c>
      <c r="AF161" s="406">
        <f>IF((AF160)&gt;0,(AF160/AF159),0)</f>
        <v>1.0526315789473684</v>
      </c>
      <c r="AG161" s="194">
        <f>+SUM(AC161:AF161)</f>
        <v>4.2105263157894735</v>
      </c>
      <c r="AH161" s="406">
        <f>IF((AH160)&gt;0,(AH160/AH159),0)</f>
        <v>1.0526315789473684</v>
      </c>
      <c r="AI161" s="406">
        <f>IF((AI160)&gt;0,(AI160/AI159),0)</f>
        <v>1.0526315789473684</v>
      </c>
      <c r="AJ161" s="406">
        <f>IF((AJ160)&gt;0,(AJ160/AJ159),0)</f>
        <v>1.0526315789473684</v>
      </c>
      <c r="AK161" s="406">
        <f>IF((AK160)&gt;0,(AK160/AK159),0)</f>
        <v>1.0526315789473684</v>
      </c>
      <c r="AL161" s="194">
        <f>+SUM(AH161:AK161)</f>
        <v>4.2105263157894735</v>
      </c>
    </row>
    <row r="162" spans="1:38" outlineLevel="1" x14ac:dyDescent="0.25">
      <c r="A162" s="300"/>
      <c r="B162" s="490" t="s">
        <v>346</v>
      </c>
      <c r="C162" s="491"/>
      <c r="D162" s="410">
        <v>55.58</v>
      </c>
      <c r="E162" s="411">
        <v>65.03</v>
      </c>
      <c r="F162" s="265"/>
      <c r="G162" s="265"/>
      <c r="H162" s="240"/>
      <c r="I162" s="265"/>
      <c r="J162" s="265"/>
      <c r="K162" s="265"/>
      <c r="L162" s="265"/>
      <c r="M162" s="240"/>
      <c r="N162" s="487">
        <f>+N159/L159-1</f>
        <v>2.4999999999999911E-2</v>
      </c>
      <c r="O162" s="487">
        <f>+O159/N159-1</f>
        <v>2.4390243902439046E-2</v>
      </c>
      <c r="P162" s="487">
        <f>+P159/O159-1</f>
        <v>2.3809523809523725E-2</v>
      </c>
      <c r="Q162" s="487">
        <f>+Q159/P159-1</f>
        <v>0.10465116279069764</v>
      </c>
      <c r="R162" s="240"/>
      <c r="S162" s="265"/>
      <c r="T162" s="265"/>
      <c r="U162" s="265"/>
      <c r="V162" s="265"/>
      <c r="W162" s="240"/>
      <c r="X162" s="265"/>
      <c r="Y162" s="265"/>
      <c r="Z162" s="265"/>
      <c r="AA162" s="265"/>
      <c r="AB162" s="240"/>
      <c r="AC162" s="265"/>
      <c r="AD162" s="265"/>
      <c r="AE162" s="265"/>
      <c r="AF162" s="265"/>
      <c r="AG162" s="240"/>
      <c r="AH162" s="265"/>
      <c r="AI162" s="265"/>
      <c r="AJ162" s="265"/>
      <c r="AK162" s="265"/>
      <c r="AL162" s="240"/>
    </row>
    <row r="163" spans="1:38" outlineLevel="1" x14ac:dyDescent="0.25">
      <c r="A163" s="300"/>
      <c r="B163" s="492" t="s">
        <v>347</v>
      </c>
      <c r="C163" s="493"/>
      <c r="D163" s="412">
        <f>71.968334*55.58</f>
        <v>4000.0000037199998</v>
      </c>
      <c r="E163" s="413">
        <v>318.64700000000005</v>
      </c>
      <c r="F163" s="406"/>
      <c r="G163" s="406"/>
      <c r="H163" s="194"/>
      <c r="I163" s="406"/>
      <c r="J163" s="406"/>
      <c r="K163" s="406"/>
      <c r="L163" s="406"/>
      <c r="M163" s="194"/>
      <c r="N163" s="406"/>
      <c r="O163" s="406"/>
      <c r="P163" s="406"/>
      <c r="Q163" s="406"/>
      <c r="R163" s="194"/>
      <c r="S163" s="406"/>
      <c r="T163" s="406"/>
      <c r="U163" s="406"/>
      <c r="V163" s="406"/>
      <c r="W163" s="194"/>
      <c r="X163" s="406"/>
      <c r="Y163" s="406"/>
      <c r="Z163" s="406"/>
      <c r="AA163" s="406"/>
      <c r="AB163" s="194"/>
      <c r="AC163" s="406"/>
      <c r="AD163" s="406"/>
      <c r="AE163" s="406"/>
      <c r="AF163" s="406"/>
      <c r="AG163" s="194"/>
      <c r="AH163" s="406"/>
      <c r="AI163" s="406"/>
      <c r="AJ163" s="406"/>
      <c r="AK163" s="406"/>
      <c r="AL163" s="194"/>
    </row>
    <row r="164" spans="1:38" outlineLevel="1" x14ac:dyDescent="0.25">
      <c r="A164" s="300"/>
      <c r="B164" s="494" t="s">
        <v>348</v>
      </c>
      <c r="C164" s="495"/>
      <c r="D164" s="414">
        <f>IF((D163)&gt;0,(D163/D162),0)</f>
        <v>71.968333999999999</v>
      </c>
      <c r="E164" s="407">
        <f>IF((E163)&gt;0,(E163/E162),0)</f>
        <v>4.9000000000000004</v>
      </c>
      <c r="F164" s="407"/>
      <c r="G164" s="407"/>
      <c r="H164" s="408"/>
      <c r="I164" s="407"/>
      <c r="J164" s="407"/>
      <c r="K164" s="407"/>
      <c r="L164" s="407"/>
      <c r="M164" s="408"/>
      <c r="N164" s="407"/>
      <c r="O164" s="407"/>
      <c r="P164" s="407"/>
      <c r="Q164" s="407"/>
      <c r="R164" s="408"/>
      <c r="S164" s="407"/>
      <c r="T164" s="407"/>
      <c r="U164" s="407"/>
      <c r="V164" s="407"/>
      <c r="W164" s="408"/>
      <c r="X164" s="407"/>
      <c r="Y164" s="407"/>
      <c r="Z164" s="407"/>
      <c r="AA164" s="407"/>
      <c r="AB164" s="408"/>
      <c r="AC164" s="407"/>
      <c r="AD164" s="407"/>
      <c r="AE164" s="407"/>
      <c r="AF164" s="407"/>
      <c r="AG164" s="408"/>
      <c r="AH164" s="407"/>
      <c r="AI164" s="407"/>
      <c r="AJ164" s="407"/>
      <c r="AK164" s="407"/>
      <c r="AL164" s="408"/>
    </row>
    <row r="165" spans="1:38" outlineLevel="1" x14ac:dyDescent="0.25">
      <c r="A165" s="300"/>
      <c r="B165" s="349" t="s">
        <v>349</v>
      </c>
      <c r="C165" s="350"/>
      <c r="D165" s="406"/>
      <c r="E165" s="76">
        <v>71.959999999999994</v>
      </c>
      <c r="F165" s="76">
        <v>76.5</v>
      </c>
      <c r="G165" s="406"/>
      <c r="H165" s="194"/>
      <c r="I165" s="406"/>
      <c r="J165" s="406"/>
      <c r="K165" s="406"/>
      <c r="L165" s="406"/>
      <c r="M165" s="194"/>
      <c r="N165" s="406"/>
      <c r="O165" s="406"/>
      <c r="P165" s="406"/>
      <c r="Q165" s="406"/>
      <c r="R165" s="194"/>
      <c r="S165" s="406"/>
      <c r="T165" s="406"/>
      <c r="U165" s="406"/>
      <c r="V165" s="406"/>
      <c r="W165" s="194"/>
      <c r="X165" s="406"/>
      <c r="Y165" s="406"/>
      <c r="Z165" s="406"/>
      <c r="AA165" s="406"/>
      <c r="AB165" s="194"/>
      <c r="AC165" s="406"/>
      <c r="AD165" s="406"/>
      <c r="AE165" s="406"/>
      <c r="AF165" s="406"/>
      <c r="AG165" s="194"/>
      <c r="AH165" s="406"/>
      <c r="AI165" s="406"/>
      <c r="AJ165" s="406"/>
      <c r="AK165" s="406"/>
      <c r="AL165" s="194"/>
    </row>
    <row r="166" spans="1:38" outlineLevel="1" x14ac:dyDescent="0.25">
      <c r="A166" s="300"/>
      <c r="B166" s="349" t="s">
        <v>350</v>
      </c>
      <c r="C166" s="350"/>
      <c r="D166" s="406"/>
      <c r="E166" s="38">
        <v>1597.5119999999997</v>
      </c>
      <c r="F166" s="38">
        <v>298.35000000000002</v>
      </c>
      <c r="G166" s="406"/>
      <c r="H166" s="194"/>
      <c r="I166" s="406"/>
      <c r="J166" s="406"/>
      <c r="K166" s="406"/>
      <c r="L166" s="406"/>
      <c r="M166" s="194"/>
      <c r="N166" s="406"/>
      <c r="O166" s="406"/>
      <c r="P166" s="406"/>
      <c r="Q166" s="406"/>
      <c r="R166" s="194"/>
      <c r="S166" s="406"/>
      <c r="T166" s="406"/>
      <c r="U166" s="406"/>
      <c r="V166" s="406"/>
      <c r="W166" s="194"/>
      <c r="X166" s="406"/>
      <c r="Y166" s="406"/>
      <c r="Z166" s="406"/>
      <c r="AA166" s="406"/>
      <c r="AB166" s="194"/>
      <c r="AC166" s="406"/>
      <c r="AD166" s="406"/>
      <c r="AE166" s="406"/>
      <c r="AF166" s="406"/>
      <c r="AG166" s="194"/>
      <c r="AH166" s="406"/>
      <c r="AI166" s="406"/>
      <c r="AJ166" s="406"/>
      <c r="AK166" s="406"/>
      <c r="AL166" s="194"/>
    </row>
    <row r="167" spans="1:38" outlineLevel="1" x14ac:dyDescent="0.25">
      <c r="A167" s="300"/>
      <c r="B167" s="349" t="s">
        <v>351</v>
      </c>
      <c r="C167" s="350"/>
      <c r="D167" s="406"/>
      <c r="E167" s="406">
        <f>IF((E166)&gt;0,(E166/E165),0)</f>
        <v>22.2</v>
      </c>
      <c r="F167" s="406">
        <f>IF((F166)&gt;0,(F166/F165),0)</f>
        <v>3.9000000000000004</v>
      </c>
      <c r="G167" s="406"/>
      <c r="H167" s="194"/>
      <c r="I167" s="406"/>
      <c r="J167" s="406"/>
      <c r="K167" s="406"/>
      <c r="L167" s="406"/>
      <c r="M167" s="194"/>
      <c r="N167" s="406"/>
      <c r="O167" s="406"/>
      <c r="P167" s="406"/>
      <c r="Q167" s="406"/>
      <c r="R167" s="194"/>
      <c r="S167" s="406"/>
      <c r="T167" s="406"/>
      <c r="U167" s="406"/>
      <c r="V167" s="406"/>
      <c r="W167" s="194"/>
      <c r="X167" s="406"/>
      <c r="Y167" s="406"/>
      <c r="Z167" s="406"/>
      <c r="AA167" s="406"/>
      <c r="AB167" s="194"/>
      <c r="AC167" s="406"/>
      <c r="AD167" s="406"/>
      <c r="AE167" s="406"/>
      <c r="AF167" s="406"/>
      <c r="AG167" s="194"/>
      <c r="AH167" s="406"/>
      <c r="AI167" s="406"/>
      <c r="AJ167" s="406"/>
      <c r="AK167" s="406"/>
      <c r="AL167" s="194"/>
    </row>
    <row r="168" spans="1:38" ht="18" x14ac:dyDescent="0.4">
      <c r="A168" s="300"/>
      <c r="B168" s="511" t="s">
        <v>78</v>
      </c>
      <c r="C168" s="512"/>
      <c r="D168" s="36" t="s">
        <v>123</v>
      </c>
      <c r="E168" s="36" t="s">
        <v>280</v>
      </c>
      <c r="F168" s="36" t="s">
        <v>284</v>
      </c>
      <c r="G168" s="36" t="s">
        <v>294</v>
      </c>
      <c r="H168" s="104" t="s">
        <v>295</v>
      </c>
      <c r="I168" s="36" t="s">
        <v>296</v>
      </c>
      <c r="J168" s="36" t="s">
        <v>297</v>
      </c>
      <c r="K168" s="36" t="s">
        <v>298</v>
      </c>
      <c r="L168" s="34" t="s">
        <v>141</v>
      </c>
      <c r="M168" s="107" t="s">
        <v>142</v>
      </c>
      <c r="N168" s="34" t="s">
        <v>143</v>
      </c>
      <c r="O168" s="34" t="s">
        <v>144</v>
      </c>
      <c r="P168" s="34" t="s">
        <v>145</v>
      </c>
      <c r="Q168" s="34" t="s">
        <v>146</v>
      </c>
      <c r="R168" s="107" t="s">
        <v>147</v>
      </c>
      <c r="S168" s="34" t="s">
        <v>148</v>
      </c>
      <c r="T168" s="34" t="s">
        <v>149</v>
      </c>
      <c r="U168" s="34" t="s">
        <v>150</v>
      </c>
      <c r="V168" s="34" t="s">
        <v>151</v>
      </c>
      <c r="W168" s="107" t="s">
        <v>152</v>
      </c>
      <c r="X168" s="34" t="s">
        <v>153</v>
      </c>
      <c r="Y168" s="34" t="s">
        <v>154</v>
      </c>
      <c r="Z168" s="34" t="s">
        <v>155</v>
      </c>
      <c r="AA168" s="34" t="s">
        <v>156</v>
      </c>
      <c r="AB168" s="107" t="s">
        <v>157</v>
      </c>
      <c r="AC168" s="34" t="s">
        <v>289</v>
      </c>
      <c r="AD168" s="34" t="s">
        <v>290</v>
      </c>
      <c r="AE168" s="34" t="s">
        <v>291</v>
      </c>
      <c r="AF168" s="34" t="s">
        <v>292</v>
      </c>
      <c r="AG168" s="107" t="s">
        <v>293</v>
      </c>
      <c r="AH168" s="34" t="s">
        <v>322</v>
      </c>
      <c r="AI168" s="34" t="s">
        <v>323</v>
      </c>
      <c r="AJ168" s="34" t="s">
        <v>324</v>
      </c>
      <c r="AK168" s="34" t="s">
        <v>325</v>
      </c>
      <c r="AL168" s="107" t="s">
        <v>326</v>
      </c>
    </row>
    <row r="169" spans="1:38" outlineLevel="1" x14ac:dyDescent="0.25">
      <c r="A169" s="300"/>
      <c r="B169" s="509" t="s">
        <v>208</v>
      </c>
      <c r="C169" s="510"/>
      <c r="D169" s="304">
        <f>-(22+5.3+0.6+20.9)</f>
        <v>-48.8</v>
      </c>
      <c r="E169" s="304">
        <v>-45.1</v>
      </c>
      <c r="F169" s="304">
        <v>-39.6</v>
      </c>
      <c r="G169" s="304">
        <f>-146.2+133.5</f>
        <v>-12.699999999999989</v>
      </c>
      <c r="H169" s="452">
        <f>SUM(D169:G169)</f>
        <v>-146.19999999999999</v>
      </c>
      <c r="I169" s="304">
        <v>-7.1</v>
      </c>
      <c r="J169" s="304">
        <v>0.1</v>
      </c>
      <c r="K169" s="307">
        <f>-K22</f>
        <v>-78.099999999999994</v>
      </c>
      <c r="L169" s="405">
        <f>-0.11*1169</f>
        <v>-128.59</v>
      </c>
      <c r="M169" s="39"/>
      <c r="N169" s="38">
        <f>-N22</f>
        <v>-89.411292327659538</v>
      </c>
      <c r="O169" s="38">
        <f>-O22</f>
        <v>-77.931906242225452</v>
      </c>
      <c r="P169" s="38">
        <f>-P22</f>
        <v>-60.436336314850969</v>
      </c>
      <c r="Q169" s="38">
        <f>-Q22</f>
        <v>-82.436522657687007</v>
      </c>
      <c r="R169" s="39"/>
      <c r="S169" s="38">
        <f>-S22</f>
        <v>-84.358473066914783</v>
      </c>
      <c r="T169" s="38">
        <f>-T22</f>
        <v>-71.880319507202458</v>
      </c>
      <c r="U169" s="38">
        <f>-U22</f>
        <v>-53.915050378699348</v>
      </c>
      <c r="V169" s="38">
        <f>-V22</f>
        <v>-86.278858010790785</v>
      </c>
      <c r="W169" s="39"/>
      <c r="X169" s="38">
        <f>-X22</f>
        <v>-88.670852369481196</v>
      </c>
      <c r="Y169" s="38">
        <f>-Y22</f>
        <v>-75.145033571051897</v>
      </c>
      <c r="Z169" s="38">
        <f>-Z22</f>
        <v>-56.04942820120273</v>
      </c>
      <c r="AA169" s="38">
        <f>-AA22</f>
        <v>-90.620715846069658</v>
      </c>
      <c r="AB169" s="39"/>
      <c r="AC169" s="38">
        <f>-AC22</f>
        <v>-92.814728510279565</v>
      </c>
      <c r="AD169" s="38">
        <f>-AD22</f>
        <v>-78.641421293469449</v>
      </c>
      <c r="AE169" s="38">
        <f>-AE22</f>
        <v>-58.68497706246189</v>
      </c>
      <c r="AF169" s="38">
        <f>-AF22</f>
        <v>-95.383869887505199</v>
      </c>
      <c r="AG169" s="39"/>
      <c r="AH169" s="38">
        <f>-AH22</f>
        <v>-97.8268936348924</v>
      </c>
      <c r="AI169" s="38">
        <f>-AI22</f>
        <v>-82.885236546911941</v>
      </c>
      <c r="AJ169" s="38">
        <f>-AJ22</f>
        <v>-61.787084557856488</v>
      </c>
      <c r="AK169" s="38">
        <f>-AK22</f>
        <v>-100.67571594781018</v>
      </c>
      <c r="AL169" s="39"/>
    </row>
    <row r="170" spans="1:38" outlineLevel="1" x14ac:dyDescent="0.25">
      <c r="A170" s="300"/>
      <c r="B170" s="84" t="s">
        <v>207</v>
      </c>
      <c r="C170" s="85"/>
      <c r="D170" s="304">
        <f>-(5.3+0.5)</f>
        <v>-5.8</v>
      </c>
      <c r="E170" s="304">
        <v>-4.3</v>
      </c>
      <c r="F170" s="304">
        <v>-2.2999999999999998</v>
      </c>
      <c r="G170" s="304">
        <v>-0.2</v>
      </c>
      <c r="H170" s="452">
        <f t="shared" ref="H170:H173" si="689">SUM(D170:G170)</f>
        <v>-12.599999999999998</v>
      </c>
      <c r="I170" s="304">
        <v>-5.6</v>
      </c>
      <c r="J170" s="304">
        <v>-6.8</v>
      </c>
      <c r="K170" s="307">
        <v>-35.04</v>
      </c>
      <c r="L170" s="405">
        <v>0</v>
      </c>
      <c r="M170" s="39"/>
      <c r="N170" s="38"/>
      <c r="O170" s="38"/>
      <c r="P170" s="38"/>
      <c r="Q170" s="38"/>
      <c r="R170" s="39"/>
      <c r="S170" s="38"/>
      <c r="T170" s="38"/>
      <c r="U170" s="38"/>
      <c r="V170" s="38"/>
      <c r="W170" s="39"/>
      <c r="X170" s="38"/>
      <c r="Y170" s="38"/>
      <c r="Z170" s="38"/>
      <c r="AA170" s="38"/>
      <c r="AB170" s="39"/>
      <c r="AC170" s="38"/>
      <c r="AD170" s="38"/>
      <c r="AE170" s="38"/>
      <c r="AF170" s="38"/>
      <c r="AG170" s="39"/>
      <c r="AH170" s="38"/>
      <c r="AI170" s="38"/>
      <c r="AJ170" s="38"/>
      <c r="AK170" s="38"/>
      <c r="AL170" s="39"/>
    </row>
    <row r="171" spans="1:38" outlineLevel="1" x14ac:dyDescent="0.25">
      <c r="A171" s="300"/>
      <c r="B171" s="509" t="s">
        <v>344</v>
      </c>
      <c r="C171" s="510"/>
      <c r="D171" s="304">
        <f>-(60.6-0.3)</f>
        <v>-60.300000000000004</v>
      </c>
      <c r="E171" s="304">
        <v>-68.2</v>
      </c>
      <c r="F171" s="304">
        <v>-69</v>
      </c>
      <c r="G171" s="304">
        <f>-262+197.5</f>
        <v>-64.5</v>
      </c>
      <c r="H171" s="452">
        <f>SUM(D171:G171)</f>
        <v>-262</v>
      </c>
      <c r="I171" s="304">
        <v>-58.9</v>
      </c>
      <c r="J171" s="304">
        <v>-60.1</v>
      </c>
      <c r="K171" s="307">
        <v>-60.54</v>
      </c>
      <c r="L171" s="405">
        <f>-0.05*1169</f>
        <v>-58.45</v>
      </c>
      <c r="M171" s="39"/>
      <c r="N171" s="38"/>
      <c r="O171" s="38"/>
      <c r="P171" s="38"/>
      <c r="Q171" s="38"/>
      <c r="R171" s="39"/>
      <c r="S171" s="38"/>
      <c r="T171" s="38"/>
      <c r="U171" s="38"/>
      <c r="V171" s="38"/>
      <c r="W171" s="39"/>
      <c r="X171" s="38"/>
      <c r="Y171" s="38"/>
      <c r="Z171" s="38"/>
      <c r="AA171" s="38"/>
      <c r="AB171" s="39"/>
      <c r="AC171" s="38"/>
      <c r="AD171" s="38"/>
      <c r="AE171" s="38"/>
      <c r="AF171" s="38"/>
      <c r="AG171" s="39"/>
      <c r="AH171" s="38"/>
      <c r="AI171" s="38"/>
      <c r="AJ171" s="38"/>
      <c r="AK171" s="38"/>
      <c r="AL171" s="39"/>
    </row>
    <row r="172" spans="1:38" outlineLevel="1" x14ac:dyDescent="0.25">
      <c r="A172" s="300"/>
      <c r="B172" s="84" t="s">
        <v>209</v>
      </c>
      <c r="C172" s="85"/>
      <c r="D172" s="304">
        <v>-23.1</v>
      </c>
      <c r="E172" s="304">
        <v>-23.8</v>
      </c>
      <c r="F172" s="304">
        <v>-14.4</v>
      </c>
      <c r="G172" s="304">
        <v>0</v>
      </c>
      <c r="H172" s="452">
        <f t="shared" si="689"/>
        <v>-61.300000000000004</v>
      </c>
      <c r="I172" s="304"/>
      <c r="J172" s="304"/>
      <c r="K172" s="302"/>
      <c r="L172" s="38"/>
      <c r="M172" s="39"/>
      <c r="N172" s="38"/>
      <c r="O172" s="38"/>
      <c r="P172" s="38"/>
      <c r="Q172" s="38"/>
      <c r="R172" s="39"/>
      <c r="S172" s="38"/>
      <c r="T172" s="38"/>
      <c r="U172" s="38"/>
      <c r="V172" s="38"/>
      <c r="W172" s="39"/>
      <c r="X172" s="38"/>
      <c r="Y172" s="38"/>
      <c r="Z172" s="38"/>
      <c r="AA172" s="38"/>
      <c r="AB172" s="39"/>
      <c r="AC172" s="38"/>
      <c r="AD172" s="38"/>
      <c r="AE172" s="38"/>
      <c r="AF172" s="38"/>
      <c r="AG172" s="39"/>
      <c r="AH172" s="38"/>
      <c r="AI172" s="38"/>
      <c r="AJ172" s="38"/>
      <c r="AK172" s="38"/>
      <c r="AL172" s="39"/>
    </row>
    <row r="173" spans="1:38" ht="17.25" outlineLevel="1" x14ac:dyDescent="0.4">
      <c r="A173" s="300"/>
      <c r="B173" s="84" t="s">
        <v>256</v>
      </c>
      <c r="C173" s="85"/>
      <c r="D173" s="399">
        <v>0</v>
      </c>
      <c r="E173" s="399">
        <v>0</v>
      </c>
      <c r="F173" s="399">
        <v>0</v>
      </c>
      <c r="G173" s="399">
        <v>0</v>
      </c>
      <c r="H173" s="453">
        <f t="shared" si="689"/>
        <v>0</v>
      </c>
      <c r="I173" s="399">
        <v>0</v>
      </c>
      <c r="J173" s="399">
        <v>0</v>
      </c>
      <c r="K173" s="317">
        <v>0</v>
      </c>
      <c r="L173" s="317">
        <v>0</v>
      </c>
      <c r="M173" s="39"/>
      <c r="N173" s="69">
        <f>AVERAGE(D174,E174,F174,G174,I174,J174,K174,L174)-N169</f>
        <v>-33.241207672340437</v>
      </c>
      <c r="O173" s="69">
        <f>AVERAGE(E174,F174,G174,I174,J174,K174,L174,N174)-O169</f>
        <v>-42.802156257774541</v>
      </c>
      <c r="P173" s="69">
        <f>AVERAGE(F174,G174,I174,J174,K174,L174,N174,O174)-P169</f>
        <v>-57.714483997649005</v>
      </c>
      <c r="Q173" s="69">
        <f>AVERAGE(G174,I174,J174,K174,L174,N174,O174,P174)-Q169</f>
        <v>-34.820650193875466</v>
      </c>
      <c r="R173" s="39"/>
      <c r="S173" s="69">
        <f>AVERAGE(I174,J174,K174,L174,N174,O174,P174,Q174)-S169</f>
        <v>-37.880846391093016</v>
      </c>
      <c r="T173" s="69">
        <f>AVERAGE(J174,K174,L174,N174,O174,P174,Q174,S174)-T169</f>
        <v>-56.688914883056313</v>
      </c>
      <c r="U173" s="69">
        <f>AVERAGE(K174,L174,N174,O174,P174,Q174,S174,T174)-U169</f>
        <v>-82.375338310341775</v>
      </c>
      <c r="V173" s="69">
        <f>AVERAGE(L174,N174,O174,P174,Q174,S174,T174,U174)-V169</f>
        <v>-45.337829264380488</v>
      </c>
      <c r="W173" s="39"/>
      <c r="X173" s="69">
        <f>AVERAGE(N174,O174,P174,Q174,S174,T174,U174,V174)-X169</f>
        <v>-36.017920815086484</v>
      </c>
      <c r="Y173" s="69">
        <f>AVERAGE(O174,P174,Q174,S174,T174,U174,V174,X174)-Y169</f>
        <v>-49.798273761586756</v>
      </c>
      <c r="Z173" s="69">
        <f>AVERAGE(P174,Q174,S174,T174,U174,V174,X174,Y174)-Z169</f>
        <v>-69.420034735515728</v>
      </c>
      <c r="AA173" s="69">
        <f>AVERAGE(Q174,S174,T174,U174,V174,X174,Y174,Z174)-AA169</f>
        <v>-35.763577418676107</v>
      </c>
      <c r="AB173" s="39"/>
      <c r="AC173" s="69">
        <f>AVERAGE(S174,T174,U174,V174,X174,Y174,Z174,AA174)-AC169</f>
        <v>-34.710454806114114</v>
      </c>
      <c r="AD173" s="69">
        <f>AVERAGE(T174,U174,V174,X174,Y174,Z174,AA174,AC174)-AD169</f>
        <v>-49.544495005222473</v>
      </c>
      <c r="AE173" s="69">
        <f>AVERAGE(U174,V174,X174,Y174,Z174,AA174,AC174,AD174)-AE169</f>
        <v>-69.453024474784172</v>
      </c>
      <c r="AF173" s="69">
        <f>AVERAGE(V174,X174,Y174,Z174,AA174,AC174,AD174,AE174)-AF169</f>
        <v>-31.735083255766497</v>
      </c>
      <c r="AG173" s="39"/>
      <c r="AH173" s="69">
        <f>AVERAGE(X174,Y174,Z174,AA174,AC174,AD174,AE174,AF174)-AH169</f>
        <v>-28.729842741891858</v>
      </c>
      <c r="AI173" s="69">
        <f>AVERAGE(Y174,Z174,AA174,AC174,AD174,AE174,AF174,AH174)-AI169</f>
        <v>-43.904995228899367</v>
      </c>
      <c r="AJ173" s="69">
        <f>AVERAGE(Z174,AA174,AC174,AD174,AE174,AF174,AH174,AI174)-AJ169</f>
        <v>-65.234012773351409</v>
      </c>
      <c r="AK173" s="69">
        <f>AVERAGE(AA174,AC174,AD174,AE174,AF174,AH174,AI174,AJ174)-AK169</f>
        <v>-26.539335682708895</v>
      </c>
      <c r="AL173" s="39"/>
    </row>
    <row r="174" spans="1:38" s="20" customFormat="1" outlineLevel="1" x14ac:dyDescent="0.25">
      <c r="A174" s="315"/>
      <c r="B174" s="344" t="s">
        <v>210</v>
      </c>
      <c r="C174" s="93"/>
      <c r="D174" s="195">
        <f t="shared" ref="D174:L174" si="690">SUM(D169:D173)</f>
        <v>-138</v>
      </c>
      <c r="E174" s="195">
        <f t="shared" si="690"/>
        <v>-141.4</v>
      </c>
      <c r="F174" s="195">
        <f t="shared" si="690"/>
        <v>-125.30000000000001</v>
      </c>
      <c r="G174" s="195">
        <f t="shared" si="690"/>
        <v>-77.399999999999991</v>
      </c>
      <c r="H174" s="196">
        <f t="shared" si="690"/>
        <v>-482.09999999999997</v>
      </c>
      <c r="I174" s="195">
        <f t="shared" si="690"/>
        <v>-71.599999999999994</v>
      </c>
      <c r="J174" s="195">
        <f t="shared" si="690"/>
        <v>-66.8</v>
      </c>
      <c r="K174" s="195">
        <f t="shared" si="690"/>
        <v>-173.67999999999998</v>
      </c>
      <c r="L174" s="195">
        <f t="shared" si="690"/>
        <v>-187.04000000000002</v>
      </c>
      <c r="M174" s="46"/>
      <c r="N174" s="195">
        <f>SUM(N169:N173)</f>
        <v>-122.65249999999997</v>
      </c>
      <c r="O174" s="195">
        <f>SUM(O169:O173)</f>
        <v>-120.73406249999999</v>
      </c>
      <c r="P174" s="195">
        <f>SUM(P169:P173)</f>
        <v>-118.15082031249997</v>
      </c>
      <c r="Q174" s="195">
        <f>SUM(Q169:Q173)</f>
        <v>-117.25717285156247</v>
      </c>
      <c r="R174" s="46"/>
      <c r="S174" s="195">
        <f>SUM(S169:S173)</f>
        <v>-122.2393194580078</v>
      </c>
      <c r="T174" s="195">
        <f>SUM(T169:T173)</f>
        <v>-128.56923439025877</v>
      </c>
      <c r="U174" s="195">
        <f>SUM(U169:U173)</f>
        <v>-136.29038868904112</v>
      </c>
      <c r="V174" s="195">
        <f>SUM(V169:V173)</f>
        <v>-131.61668727517127</v>
      </c>
      <c r="W174" s="46"/>
      <c r="X174" s="195">
        <f>SUM(X169:X173)</f>
        <v>-124.68877318456768</v>
      </c>
      <c r="Y174" s="195">
        <f>SUM(Y169:Y173)</f>
        <v>-124.94330733263865</v>
      </c>
      <c r="Z174" s="195">
        <f>SUM(Z169:Z173)</f>
        <v>-125.46946293671846</v>
      </c>
      <c r="AA174" s="195">
        <f>SUM(AA169:AA173)</f>
        <v>-126.38429326474576</v>
      </c>
      <c r="AB174" s="46"/>
      <c r="AC174" s="195">
        <f>SUM(AC169:AC173)</f>
        <v>-127.52518331639368</v>
      </c>
      <c r="AD174" s="195">
        <f>SUM(AD169:AD173)</f>
        <v>-128.18591629869192</v>
      </c>
      <c r="AE174" s="195">
        <f>SUM(AE169:AE173)</f>
        <v>-128.13800153724605</v>
      </c>
      <c r="AF174" s="195">
        <f>SUM(AF169:AF173)</f>
        <v>-127.1189531432717</v>
      </c>
      <c r="AG174" s="46"/>
      <c r="AH174" s="195">
        <f>SUM(AH169:AH173)</f>
        <v>-126.55673637678426</v>
      </c>
      <c r="AI174" s="195">
        <f>SUM(AI169:AI173)</f>
        <v>-126.79023177581131</v>
      </c>
      <c r="AJ174" s="195">
        <f>SUM(AJ169:AJ173)</f>
        <v>-127.0210973312079</v>
      </c>
      <c r="AK174" s="195">
        <f>SUM(AK169:AK173)</f>
        <v>-127.21505163051907</v>
      </c>
      <c r="AL174" s="46"/>
    </row>
    <row r="175" spans="1:38" ht="17.25" outlineLevel="1" x14ac:dyDescent="0.4">
      <c r="A175" s="300"/>
      <c r="B175" s="84" t="s">
        <v>368</v>
      </c>
      <c r="C175" s="85"/>
      <c r="D175" s="197">
        <v>0</v>
      </c>
      <c r="E175" s="197">
        <v>0</v>
      </c>
      <c r="F175" s="197">
        <v>0</v>
      </c>
      <c r="G175" s="197">
        <v>0</v>
      </c>
      <c r="H175" s="39"/>
      <c r="I175" s="197">
        <v>0</v>
      </c>
      <c r="J175" s="197">
        <v>0</v>
      </c>
      <c r="K175" s="197">
        <v>0</v>
      </c>
      <c r="L175" s="197">
        <v>0</v>
      </c>
      <c r="M175" s="39"/>
      <c r="N175" s="197">
        <v>0</v>
      </c>
      <c r="O175" s="197">
        <v>0</v>
      </c>
      <c r="P175" s="197">
        <v>0</v>
      </c>
      <c r="Q175" s="197">
        <f>-Q25/13</f>
        <v>-107.51343424466998</v>
      </c>
      <c r="R175" s="39"/>
      <c r="S175" s="197">
        <v>0</v>
      </c>
      <c r="T175" s="197">
        <v>0</v>
      </c>
      <c r="U175" s="197">
        <v>0</v>
      </c>
      <c r="V175" s="197">
        <v>0</v>
      </c>
      <c r="W175" s="39"/>
      <c r="X175" s="197">
        <v>0</v>
      </c>
      <c r="Y175" s="197">
        <v>0</v>
      </c>
      <c r="Z175" s="197">
        <v>0</v>
      </c>
      <c r="AA175" s="197">
        <v>0</v>
      </c>
      <c r="AB175" s="39"/>
      <c r="AC175" s="197">
        <v>0</v>
      </c>
      <c r="AD175" s="197">
        <v>0</v>
      </c>
      <c r="AE175" s="197">
        <v>0</v>
      </c>
      <c r="AF175" s="197">
        <v>0</v>
      </c>
      <c r="AG175" s="39"/>
      <c r="AH175" s="197">
        <v>0</v>
      </c>
      <c r="AI175" s="197">
        <v>0</v>
      </c>
      <c r="AJ175" s="197">
        <v>0</v>
      </c>
      <c r="AK175" s="197">
        <v>0</v>
      </c>
      <c r="AL175" s="39"/>
    </row>
    <row r="176" spans="1:38" s="20" customFormat="1" outlineLevel="1" x14ac:dyDescent="0.25">
      <c r="A176" s="315"/>
      <c r="B176" s="344" t="s">
        <v>211</v>
      </c>
      <c r="C176" s="93"/>
      <c r="D176" s="195">
        <f t="shared" ref="D176" si="691">-D174+D175</f>
        <v>138</v>
      </c>
      <c r="E176" s="195">
        <f t="shared" ref="E176:G176" si="692">-E174+E175</f>
        <v>141.4</v>
      </c>
      <c r="F176" s="195">
        <f t="shared" si="692"/>
        <v>125.30000000000001</v>
      </c>
      <c r="G176" s="195">
        <f t="shared" si="692"/>
        <v>77.399999999999991</v>
      </c>
      <c r="H176" s="46"/>
      <c r="I176" s="195">
        <f t="shared" ref="I176:L176" si="693">-I174+I175</f>
        <v>71.599999999999994</v>
      </c>
      <c r="J176" s="195">
        <f t="shared" si="693"/>
        <v>66.8</v>
      </c>
      <c r="K176" s="195">
        <f t="shared" si="693"/>
        <v>173.67999999999998</v>
      </c>
      <c r="L176" s="195">
        <f t="shared" si="693"/>
        <v>187.04000000000002</v>
      </c>
      <c r="M176" s="46"/>
      <c r="N176" s="195">
        <f t="shared" ref="N176:Q176" si="694">-N174+N175</f>
        <v>122.65249999999997</v>
      </c>
      <c r="O176" s="195">
        <f t="shared" si="694"/>
        <v>120.73406249999999</v>
      </c>
      <c r="P176" s="195">
        <f t="shared" si="694"/>
        <v>118.15082031249997</v>
      </c>
      <c r="Q176" s="195">
        <f t="shared" si="694"/>
        <v>9.7437386068924923</v>
      </c>
      <c r="R176" s="46"/>
      <c r="S176" s="195">
        <f t="shared" ref="S176:V176" si="695">-S174+S175</f>
        <v>122.2393194580078</v>
      </c>
      <c r="T176" s="195">
        <f t="shared" si="695"/>
        <v>128.56923439025877</v>
      </c>
      <c r="U176" s="195">
        <f t="shared" si="695"/>
        <v>136.29038868904112</v>
      </c>
      <c r="V176" s="195">
        <f t="shared" si="695"/>
        <v>131.61668727517127</v>
      </c>
      <c r="W176" s="46"/>
      <c r="X176" s="195">
        <f t="shared" ref="X176:AA176" si="696">-X174+X175</f>
        <v>124.68877318456768</v>
      </c>
      <c r="Y176" s="195">
        <f t="shared" si="696"/>
        <v>124.94330733263865</v>
      </c>
      <c r="Z176" s="195">
        <f t="shared" si="696"/>
        <v>125.46946293671846</v>
      </c>
      <c r="AA176" s="195">
        <f t="shared" si="696"/>
        <v>126.38429326474576</v>
      </c>
      <c r="AB176" s="46"/>
      <c r="AC176" s="195">
        <f t="shared" ref="AC176:AF176" si="697">-AC174+AC175</f>
        <v>127.52518331639368</v>
      </c>
      <c r="AD176" s="195">
        <f t="shared" si="697"/>
        <v>128.18591629869192</v>
      </c>
      <c r="AE176" s="195">
        <f t="shared" si="697"/>
        <v>128.13800153724605</v>
      </c>
      <c r="AF176" s="195">
        <f t="shared" si="697"/>
        <v>127.1189531432717</v>
      </c>
      <c r="AG176" s="46"/>
      <c r="AH176" s="195">
        <f t="shared" ref="AH176:AK176" si="698">-AH174+AH175</f>
        <v>126.55673637678426</v>
      </c>
      <c r="AI176" s="195">
        <f t="shared" si="698"/>
        <v>126.79023177581131</v>
      </c>
      <c r="AJ176" s="195">
        <f t="shared" si="698"/>
        <v>127.0210973312079</v>
      </c>
      <c r="AK176" s="195">
        <f t="shared" si="698"/>
        <v>127.21505163051907</v>
      </c>
      <c r="AL176" s="46"/>
    </row>
    <row r="177" spans="1:38" outlineLevel="1" x14ac:dyDescent="0.25">
      <c r="A177" s="300"/>
      <c r="B177" s="84" t="s">
        <v>212</v>
      </c>
      <c r="C177" s="85"/>
      <c r="D177" s="193">
        <v>0</v>
      </c>
      <c r="E177" s="302">
        <f>-0.02*E39</f>
        <v>-25.014000000000003</v>
      </c>
      <c r="F177" s="302">
        <f>0.49*F39</f>
        <v>599.27</v>
      </c>
      <c r="G177" s="302">
        <v>0</v>
      </c>
      <c r="H177" s="303"/>
      <c r="I177" s="302">
        <v>0</v>
      </c>
      <c r="J177" s="302">
        <v>0</v>
      </c>
      <c r="K177" s="302">
        <v>0</v>
      </c>
      <c r="L177" s="302">
        <v>0</v>
      </c>
      <c r="M177" s="39"/>
      <c r="N177" s="71">
        <v>0</v>
      </c>
      <c r="O177" s="71">
        <v>0</v>
      </c>
      <c r="P177" s="71">
        <v>0</v>
      </c>
      <c r="Q177" s="71">
        <v>0</v>
      </c>
      <c r="R177" s="39"/>
      <c r="S177" s="71">
        <v>0</v>
      </c>
      <c r="T177" s="71">
        <v>0</v>
      </c>
      <c r="U177" s="71">
        <v>0</v>
      </c>
      <c r="V177" s="71">
        <v>0</v>
      </c>
      <c r="W177" s="39"/>
      <c r="X177" s="71">
        <v>0</v>
      </c>
      <c r="Y177" s="71">
        <v>0</v>
      </c>
      <c r="Z177" s="71">
        <v>0</v>
      </c>
      <c r="AA177" s="71">
        <v>0</v>
      </c>
      <c r="AB177" s="39"/>
      <c r="AC177" s="71">
        <v>0</v>
      </c>
      <c r="AD177" s="71">
        <v>0</v>
      </c>
      <c r="AE177" s="71">
        <v>0</v>
      </c>
      <c r="AF177" s="71">
        <v>0</v>
      </c>
      <c r="AG177" s="39"/>
      <c r="AH177" s="71">
        <v>0</v>
      </c>
      <c r="AI177" s="71">
        <v>0</v>
      </c>
      <c r="AJ177" s="71">
        <v>0</v>
      </c>
      <c r="AK177" s="71">
        <v>0</v>
      </c>
      <c r="AL177" s="39"/>
    </row>
    <row r="178" spans="1:38" outlineLevel="1" x14ac:dyDescent="0.25">
      <c r="A178" s="300"/>
      <c r="B178" s="509" t="s">
        <v>218</v>
      </c>
      <c r="C178" s="510"/>
      <c r="D178" s="193">
        <v>-41.449999999998646</v>
      </c>
      <c r="E178" s="38">
        <v>79.193999999999548</v>
      </c>
      <c r="F178" s="38">
        <v>-55.109999999999197</v>
      </c>
      <c r="G178" s="38">
        <v>30</v>
      </c>
      <c r="H178" s="39"/>
      <c r="I178" s="38">
        <v>11</v>
      </c>
      <c r="J178" s="38">
        <v>23</v>
      </c>
      <c r="K178" s="38">
        <f>0.03*K39</f>
        <v>35.055</v>
      </c>
      <c r="L178" s="405">
        <f>0.04*1169</f>
        <v>46.76</v>
      </c>
      <c r="M178" s="39"/>
      <c r="N178" s="38">
        <f>+N176*N179</f>
        <v>24.530499999999996</v>
      </c>
      <c r="O178" s="38">
        <f>+O176*O179</f>
        <v>24.146812499999999</v>
      </c>
      <c r="P178" s="38">
        <f t="shared" ref="P178" si="699">+P176*P179</f>
        <v>23.630164062499997</v>
      </c>
      <c r="Q178" s="38">
        <f t="shared" ref="Q178" si="700">+Q176*Q179</f>
        <v>1.9487477213784985</v>
      </c>
      <c r="R178" s="39"/>
      <c r="S178" s="38">
        <f>+S176*S179</f>
        <v>24.44786389160156</v>
      </c>
      <c r="T178" s="38">
        <f>+T176*T179</f>
        <v>25.713846878051754</v>
      </c>
      <c r="U178" s="38">
        <f t="shared" ref="U178" si="701">+U176*U179</f>
        <v>27.258077737808225</v>
      </c>
      <c r="V178" s="38">
        <f t="shared" ref="V178" si="702">+V176*V179</f>
        <v>26.323337455034256</v>
      </c>
      <c r="W178" s="39"/>
      <c r="X178" s="38">
        <f>+X176*X179</f>
        <v>24.937754636913539</v>
      </c>
      <c r="Y178" s="38">
        <f>+Y176*Y179</f>
        <v>24.988661466527731</v>
      </c>
      <c r="Z178" s="38">
        <f t="shared" ref="Z178" si="703">+Z176*Z179</f>
        <v>25.093892587343692</v>
      </c>
      <c r="AA178" s="38">
        <f t="shared" ref="AA178" si="704">+AA176*AA179</f>
        <v>25.276858652949155</v>
      </c>
      <c r="AB178" s="39"/>
      <c r="AC178" s="38">
        <f>+AC176*AC179</f>
        <v>25.505036663278737</v>
      </c>
      <c r="AD178" s="38">
        <f>+AD176*AD179</f>
        <v>25.637183259738386</v>
      </c>
      <c r="AE178" s="38">
        <f t="shared" ref="AE178:AF178" si="705">+AE176*AE179</f>
        <v>25.627600307449214</v>
      </c>
      <c r="AF178" s="38">
        <f t="shared" si="705"/>
        <v>25.423790628654341</v>
      </c>
      <c r="AG178" s="39"/>
      <c r="AH178" s="38">
        <f>+AH176*AH179</f>
        <v>25.311347275356852</v>
      </c>
      <c r="AI178" s="38">
        <f>+AI176*AI179</f>
        <v>25.358046355162262</v>
      </c>
      <c r="AJ178" s="38">
        <f t="shared" ref="AJ178:AK178" si="706">+AJ176*AJ179</f>
        <v>25.404219466241582</v>
      </c>
      <c r="AK178" s="38">
        <f t="shared" si="706"/>
        <v>25.443010326103817</v>
      </c>
      <c r="AL178" s="39"/>
    </row>
    <row r="179" spans="1:38" outlineLevel="1" x14ac:dyDescent="0.25">
      <c r="A179" s="300"/>
      <c r="B179" s="95" t="s">
        <v>219</v>
      </c>
      <c r="C179" s="161"/>
      <c r="D179" s="262">
        <f t="shared" ref="D179:G179" si="707">D178/D176</f>
        <v>-0.30036231884056991</v>
      </c>
      <c r="E179" s="262">
        <f t="shared" si="707"/>
        <v>0.56007072135784686</v>
      </c>
      <c r="F179" s="262">
        <f t="shared" si="707"/>
        <v>-0.43982442138866074</v>
      </c>
      <c r="G179" s="262">
        <f t="shared" si="707"/>
        <v>0.38759689922480622</v>
      </c>
      <c r="H179" s="82"/>
      <c r="I179" s="262">
        <f t="shared" ref="I179:L179" si="708">I178/I176</f>
        <v>0.15363128491620112</v>
      </c>
      <c r="J179" s="262">
        <f t="shared" si="708"/>
        <v>0.34431137724550898</v>
      </c>
      <c r="K179" s="262">
        <f t="shared" si="708"/>
        <v>0.20183671119299865</v>
      </c>
      <c r="L179" s="262">
        <f t="shared" si="708"/>
        <v>0.24999999999999997</v>
      </c>
      <c r="M179" s="82"/>
      <c r="N179" s="263">
        <v>0.2</v>
      </c>
      <c r="O179" s="263">
        <v>0.2</v>
      </c>
      <c r="P179" s="263">
        <v>0.2</v>
      </c>
      <c r="Q179" s="263">
        <v>0.2</v>
      </c>
      <c r="R179" s="82"/>
      <c r="S179" s="263">
        <v>0.2</v>
      </c>
      <c r="T179" s="263">
        <v>0.2</v>
      </c>
      <c r="U179" s="263">
        <v>0.2</v>
      </c>
      <c r="V179" s="263">
        <v>0.2</v>
      </c>
      <c r="W179" s="82"/>
      <c r="X179" s="263">
        <v>0.2</v>
      </c>
      <c r="Y179" s="263">
        <v>0.2</v>
      </c>
      <c r="Z179" s="263">
        <v>0.2</v>
      </c>
      <c r="AA179" s="263">
        <v>0.2</v>
      </c>
      <c r="AB179" s="82"/>
      <c r="AC179" s="263">
        <v>0.2</v>
      </c>
      <c r="AD179" s="263">
        <v>0.2</v>
      </c>
      <c r="AE179" s="263">
        <v>0.2</v>
      </c>
      <c r="AF179" s="263">
        <v>0.2</v>
      </c>
      <c r="AG179" s="82"/>
      <c r="AH179" s="263">
        <v>0.2</v>
      </c>
      <c r="AI179" s="263">
        <v>0.2</v>
      </c>
      <c r="AJ179" s="263">
        <v>0.2</v>
      </c>
      <c r="AK179" s="263">
        <v>0.2</v>
      </c>
      <c r="AL179" s="82"/>
    </row>
    <row r="180" spans="1:38" x14ac:dyDescent="0.25">
      <c r="A180" s="300"/>
      <c r="B180" s="19"/>
      <c r="C180" s="19"/>
      <c r="D180" s="269"/>
      <c r="E180" s="124"/>
      <c r="F180" s="124"/>
      <c r="G180" s="124"/>
      <c r="H180" s="124"/>
      <c r="I180" s="124"/>
      <c r="J180" s="124"/>
      <c r="K180" s="124"/>
      <c r="L180" s="124"/>
      <c r="M180" s="124"/>
      <c r="N180" s="28"/>
      <c r="P180" s="3"/>
      <c r="Q180" s="3"/>
      <c r="R180" s="124"/>
      <c r="U180" s="3"/>
      <c r="V180" s="3"/>
      <c r="W180" s="124"/>
      <c r="Z180" s="3"/>
      <c r="AA180" s="3"/>
      <c r="AB180" s="124"/>
      <c r="AE180" s="3"/>
      <c r="AF180" s="3"/>
      <c r="AG180" s="124"/>
      <c r="AJ180" s="3"/>
      <c r="AK180" s="3"/>
      <c r="AL180" s="124"/>
    </row>
    <row r="181" spans="1:38" ht="15.75" x14ac:dyDescent="0.25">
      <c r="A181" s="300"/>
      <c r="B181" s="511" t="s">
        <v>121</v>
      </c>
      <c r="C181" s="512"/>
      <c r="D181" s="35" t="s">
        <v>110</v>
      </c>
      <c r="E181" s="35" t="s">
        <v>281</v>
      </c>
      <c r="F181" s="35" t="s">
        <v>283</v>
      </c>
      <c r="G181" s="35" t="s">
        <v>124</v>
      </c>
      <c r="H181" s="103" t="s">
        <v>124</v>
      </c>
      <c r="I181" s="35" t="s">
        <v>125</v>
      </c>
      <c r="J181" s="35" t="s">
        <v>126</v>
      </c>
      <c r="K181" s="35" t="s">
        <v>127</v>
      </c>
      <c r="L181" s="37" t="s">
        <v>128</v>
      </c>
      <c r="M181" s="106" t="s">
        <v>128</v>
      </c>
      <c r="N181" s="37" t="s">
        <v>129</v>
      </c>
      <c r="O181" s="37" t="s">
        <v>130</v>
      </c>
      <c r="P181" s="37" t="s">
        <v>131</v>
      </c>
      <c r="Q181" s="37" t="s">
        <v>132</v>
      </c>
      <c r="R181" s="106" t="s">
        <v>132</v>
      </c>
      <c r="S181" s="37" t="s">
        <v>133</v>
      </c>
      <c r="T181" s="37" t="s">
        <v>134</v>
      </c>
      <c r="U181" s="37" t="s">
        <v>135</v>
      </c>
      <c r="V181" s="37" t="s">
        <v>136</v>
      </c>
      <c r="W181" s="106" t="s">
        <v>136</v>
      </c>
      <c r="X181" s="37" t="s">
        <v>137</v>
      </c>
      <c r="Y181" s="37" t="s">
        <v>138</v>
      </c>
      <c r="Z181" s="37" t="s">
        <v>139</v>
      </c>
      <c r="AA181" s="37" t="s">
        <v>140</v>
      </c>
      <c r="AB181" s="106" t="s">
        <v>140</v>
      </c>
      <c r="AC181" s="37" t="s">
        <v>285</v>
      </c>
      <c r="AD181" s="37" t="s">
        <v>286</v>
      </c>
      <c r="AE181" s="37" t="s">
        <v>287</v>
      </c>
      <c r="AF181" s="37" t="s">
        <v>288</v>
      </c>
      <c r="AG181" s="106" t="s">
        <v>288</v>
      </c>
      <c r="AH181" s="37" t="s">
        <v>318</v>
      </c>
      <c r="AI181" s="37" t="s">
        <v>319</v>
      </c>
      <c r="AJ181" s="37" t="s">
        <v>320</v>
      </c>
      <c r="AK181" s="37" t="s">
        <v>321</v>
      </c>
      <c r="AL181" s="106" t="s">
        <v>321</v>
      </c>
    </row>
    <row r="182" spans="1:38" ht="17.25" x14ac:dyDescent="0.4">
      <c r="A182" s="300"/>
      <c r="B182" s="88" t="s">
        <v>3</v>
      </c>
      <c r="C182" s="108"/>
      <c r="D182" s="36" t="s">
        <v>123</v>
      </c>
      <c r="E182" s="36" t="s">
        <v>280</v>
      </c>
      <c r="F182" s="36" t="s">
        <v>284</v>
      </c>
      <c r="G182" s="36" t="s">
        <v>294</v>
      </c>
      <c r="H182" s="104" t="s">
        <v>295</v>
      </c>
      <c r="I182" s="36" t="s">
        <v>296</v>
      </c>
      <c r="J182" s="36" t="s">
        <v>297</v>
      </c>
      <c r="K182" s="36" t="s">
        <v>298</v>
      </c>
      <c r="L182" s="34" t="s">
        <v>141</v>
      </c>
      <c r="M182" s="107" t="s">
        <v>142</v>
      </c>
      <c r="N182" s="34" t="s">
        <v>143</v>
      </c>
      <c r="O182" s="34" t="s">
        <v>144</v>
      </c>
      <c r="P182" s="34" t="s">
        <v>145</v>
      </c>
      <c r="Q182" s="34" t="s">
        <v>146</v>
      </c>
      <c r="R182" s="107" t="s">
        <v>147</v>
      </c>
      <c r="S182" s="34" t="s">
        <v>148</v>
      </c>
      <c r="T182" s="34" t="s">
        <v>149</v>
      </c>
      <c r="U182" s="34" t="s">
        <v>150</v>
      </c>
      <c r="V182" s="34" t="s">
        <v>151</v>
      </c>
      <c r="W182" s="107" t="s">
        <v>152</v>
      </c>
      <c r="X182" s="34" t="s">
        <v>153</v>
      </c>
      <c r="Y182" s="34" t="s">
        <v>154</v>
      </c>
      <c r="Z182" s="34" t="s">
        <v>155</v>
      </c>
      <c r="AA182" s="34" t="s">
        <v>156</v>
      </c>
      <c r="AB182" s="107" t="s">
        <v>157</v>
      </c>
      <c r="AC182" s="34" t="s">
        <v>289</v>
      </c>
      <c r="AD182" s="34" t="s">
        <v>290</v>
      </c>
      <c r="AE182" s="34" t="s">
        <v>291</v>
      </c>
      <c r="AF182" s="34" t="s">
        <v>292</v>
      </c>
      <c r="AG182" s="107" t="s">
        <v>293</v>
      </c>
      <c r="AH182" s="34" t="s">
        <v>322</v>
      </c>
      <c r="AI182" s="34" t="s">
        <v>323</v>
      </c>
      <c r="AJ182" s="34" t="s">
        <v>324</v>
      </c>
      <c r="AK182" s="34" t="s">
        <v>325</v>
      </c>
      <c r="AL182" s="107" t="s">
        <v>326</v>
      </c>
    </row>
    <row r="183" spans="1:38" ht="14.45" customHeight="1" x14ac:dyDescent="0.25">
      <c r="A183" s="300"/>
      <c r="B183" s="511" t="s">
        <v>6</v>
      </c>
      <c r="C183" s="512"/>
      <c r="D183" s="35"/>
      <c r="E183" s="35"/>
      <c r="F183" s="35"/>
      <c r="G183" s="356"/>
      <c r="H183" s="357"/>
      <c r="I183" s="356"/>
      <c r="J183" s="35"/>
      <c r="K183" s="35"/>
      <c r="L183" s="37"/>
      <c r="M183" s="106"/>
      <c r="N183" s="37"/>
      <c r="O183" s="37"/>
      <c r="P183" s="37"/>
      <c r="Q183" s="37"/>
      <c r="R183" s="106"/>
      <c r="S183" s="37"/>
      <c r="T183" s="37"/>
      <c r="U183" s="37"/>
      <c r="V183" s="37"/>
      <c r="W183" s="106"/>
      <c r="X183" s="37"/>
      <c r="Y183" s="37"/>
      <c r="Z183" s="37"/>
      <c r="AA183" s="37"/>
      <c r="AB183" s="106"/>
      <c r="AC183" s="37"/>
      <c r="AD183" s="37"/>
      <c r="AE183" s="37"/>
      <c r="AF183" s="37"/>
      <c r="AG183" s="106"/>
      <c r="AH183" s="37"/>
      <c r="AI183" s="37"/>
      <c r="AJ183" s="37"/>
      <c r="AK183" s="37"/>
      <c r="AL183" s="106"/>
    </row>
    <row r="184" spans="1:38" ht="14.45" customHeight="1" outlineLevel="1" x14ac:dyDescent="0.25">
      <c r="A184" s="300"/>
      <c r="B184" s="509" t="s">
        <v>36</v>
      </c>
      <c r="C184" s="510"/>
      <c r="D184" s="38">
        <f>D276</f>
        <v>4761.6000000000004</v>
      </c>
      <c r="E184" s="38">
        <f t="shared" ref="E184:G184" si="709">E276</f>
        <v>2055.1000000000004</v>
      </c>
      <c r="F184" s="38">
        <f t="shared" si="709"/>
        <v>4763.4000000000015</v>
      </c>
      <c r="G184" s="302">
        <f t="shared" si="709"/>
        <v>2686.6000000000022</v>
      </c>
      <c r="H184" s="39">
        <f>G184</f>
        <v>2686.6000000000022</v>
      </c>
      <c r="I184" s="38">
        <f>I276</f>
        <v>3040.5000000000036</v>
      </c>
      <c r="J184" s="38">
        <f>J276</f>
        <v>2572.3000000000029</v>
      </c>
      <c r="K184" s="38">
        <f>K276</f>
        <v>3965.9000000000042</v>
      </c>
      <c r="L184" s="302">
        <f>L276</f>
        <v>2959.751623353427</v>
      </c>
      <c r="M184" s="39">
        <f>L184</f>
        <v>2959.751623353427</v>
      </c>
      <c r="N184" s="38">
        <f>N276</f>
        <v>2110.0862321799204</v>
      </c>
      <c r="O184" s="38">
        <f>O276</f>
        <v>1063.1549201561227</v>
      </c>
      <c r="P184" s="38">
        <f>P276</f>
        <v>392.12681369560039</v>
      </c>
      <c r="Q184" s="38">
        <f>Q276</f>
        <v>-106.14793239970788</v>
      </c>
      <c r="R184" s="39">
        <f>Q184</f>
        <v>-106.14793239970788</v>
      </c>
      <c r="S184" s="38">
        <f>S276</f>
        <v>575.2699561864772</v>
      </c>
      <c r="T184" s="38">
        <f>T276</f>
        <v>-40.72387184467118</v>
      </c>
      <c r="U184" s="38">
        <f>U276</f>
        <v>-467.64215419337677</v>
      </c>
      <c r="V184" s="38">
        <f>V276</f>
        <v>-919.8515416791812</v>
      </c>
      <c r="W184" s="39">
        <f>V184</f>
        <v>-919.8515416791812</v>
      </c>
      <c r="X184" s="38">
        <f>X276</f>
        <v>-451.86001101328793</v>
      </c>
      <c r="Y184" s="38">
        <f>Y276</f>
        <v>-1020.2449002620373</v>
      </c>
      <c r="Z184" s="38">
        <f>Z276</f>
        <v>-1327.9538740529456</v>
      </c>
      <c r="AA184" s="38">
        <f>AA276</f>
        <v>-1552.3313662574424</v>
      </c>
      <c r="AB184" s="39">
        <f>AA184</f>
        <v>-1552.3313662574424</v>
      </c>
      <c r="AC184" s="38">
        <f>AC276</f>
        <v>-1135.7868580040556</v>
      </c>
      <c r="AD184" s="38">
        <f>AD276</f>
        <v>-1819.8247252450392</v>
      </c>
      <c r="AE184" s="38">
        <f>AE276</f>
        <v>-2237.5485919079106</v>
      </c>
      <c r="AF184" s="38">
        <f>AF276</f>
        <v>-2555.9972218191519</v>
      </c>
      <c r="AG184" s="39">
        <f>AF184</f>
        <v>-2555.9972218191519</v>
      </c>
      <c r="AH184" s="38">
        <f>AH276</f>
        <v>-2399.5230078539889</v>
      </c>
      <c r="AI184" s="38">
        <f>AI276</f>
        <v>-3415.8201515786582</v>
      </c>
      <c r="AJ184" s="38">
        <f>AJ276</f>
        <v>-4134.404815872972</v>
      </c>
      <c r="AK184" s="38">
        <f>AK276</f>
        <v>-4762.4564922380887</v>
      </c>
      <c r="AL184" s="39">
        <f>AK184</f>
        <v>-4762.4564922380887</v>
      </c>
    </row>
    <row r="185" spans="1:38" ht="14.45" customHeight="1" outlineLevel="1" x14ac:dyDescent="0.25">
      <c r="A185" s="457"/>
      <c r="B185" s="84" t="s">
        <v>220</v>
      </c>
      <c r="C185" s="85"/>
      <c r="D185" s="38">
        <v>230.2</v>
      </c>
      <c r="E185" s="38">
        <v>76.599999999999994</v>
      </c>
      <c r="F185" s="38">
        <v>72.099999999999994</v>
      </c>
      <c r="G185" s="38">
        <v>70.5</v>
      </c>
      <c r="H185" s="39">
        <f>+G185</f>
        <v>70.5</v>
      </c>
      <c r="I185" s="38">
        <v>68.400000000000006</v>
      </c>
      <c r="J185" s="38">
        <v>52.9</v>
      </c>
      <c r="K185" s="38">
        <v>229.9</v>
      </c>
      <c r="L185" s="38">
        <f>+L231*L220*L232</f>
        <v>105.09773620015829</v>
      </c>
      <c r="M185" s="39">
        <f>+L185</f>
        <v>105.09773620015829</v>
      </c>
      <c r="N185" s="38">
        <f>+N231*N220*N232</f>
        <v>101.83972847807057</v>
      </c>
      <c r="O185" s="38">
        <f>+O231*O220*O232</f>
        <v>105.21390102366902</v>
      </c>
      <c r="P185" s="38">
        <f>+P231*P220*P232</f>
        <v>115.37359615041588</v>
      </c>
      <c r="Q185" s="38">
        <f>+Q231*Q220*Q232</f>
        <v>100.63913645804158</v>
      </c>
      <c r="R185" s="39">
        <f>+Q185</f>
        <v>100.63913645804158</v>
      </c>
      <c r="S185" s="38">
        <f>+S231*S220*S232</f>
        <v>106.12964880833248</v>
      </c>
      <c r="T185" s="38">
        <f>+T231*T220*T232</f>
        <v>103.80820839444145</v>
      </c>
      <c r="U185" s="38">
        <f>+U231*U220*U232</f>
        <v>99.845833500372152</v>
      </c>
      <c r="V185" s="38">
        <f>+V231*V220*V232</f>
        <v>100.36072481170719</v>
      </c>
      <c r="W185" s="39">
        <f>+V185</f>
        <v>100.36072481170719</v>
      </c>
      <c r="X185" s="38">
        <f>+X231*X220*X232</f>
        <v>103.56468806268293</v>
      </c>
      <c r="Y185" s="38">
        <f>+Y231*Y220*Y232</f>
        <v>98.819608366354544</v>
      </c>
      <c r="Z185" s="38">
        <f>+Z231*Z220*Z232</f>
        <v>94.023398351710981</v>
      </c>
      <c r="AA185" s="38">
        <f>+AA231*AA220*AA232</f>
        <v>97.768129795658083</v>
      </c>
      <c r="AB185" s="39">
        <f>+AA185</f>
        <v>97.768129795658083</v>
      </c>
      <c r="AC185" s="38">
        <f>+AC231*AC220*AC232</f>
        <v>100.39340558075271</v>
      </c>
      <c r="AD185" s="38">
        <f>+AD231*AD220*AD232</f>
        <v>94.709653306841332</v>
      </c>
      <c r="AE185" s="38">
        <f>+AE231*AE220*AE232</f>
        <v>89.456568504547874</v>
      </c>
      <c r="AF185" s="38">
        <f>+AF231*AF220*AF232</f>
        <v>93.569488281071372</v>
      </c>
      <c r="AG185" s="39">
        <f>+AF185</f>
        <v>93.569488281071372</v>
      </c>
      <c r="AH185" s="38">
        <f>+AH231*AH220*AH232</f>
        <v>95.136776959240848</v>
      </c>
      <c r="AI185" s="38">
        <f>+AI231*AI220*AI232</f>
        <v>87.898812975786285</v>
      </c>
      <c r="AJ185" s="38">
        <f>+AJ231*AJ220*AJ232</f>
        <v>81.309677033682775</v>
      </c>
      <c r="AK185" s="38">
        <f>+AK231*AK220*AK232</f>
        <v>84.607953371581246</v>
      </c>
      <c r="AL185" s="39">
        <f>+AK185</f>
        <v>84.607953371581246</v>
      </c>
    </row>
    <row r="186" spans="1:38" s="47" customFormat="1" ht="14.45" customHeight="1" outlineLevel="1" x14ac:dyDescent="0.25">
      <c r="A186" s="457"/>
      <c r="B186" s="509" t="s">
        <v>221</v>
      </c>
      <c r="C186" s="510"/>
      <c r="D186" s="38">
        <v>721.4</v>
      </c>
      <c r="E186" s="38">
        <v>703.6</v>
      </c>
      <c r="F186" s="38">
        <v>790.6</v>
      </c>
      <c r="G186" s="38">
        <v>879</v>
      </c>
      <c r="H186" s="39">
        <f>G186</f>
        <v>879</v>
      </c>
      <c r="I186" s="38">
        <v>908.1</v>
      </c>
      <c r="J186" s="38">
        <v>941</v>
      </c>
      <c r="K186" s="38">
        <v>881.1</v>
      </c>
      <c r="L186" s="38">
        <f>L16/L225</f>
        <v>890.16501602026437</v>
      </c>
      <c r="M186" s="39">
        <f>L186</f>
        <v>890.16501602026437</v>
      </c>
      <c r="N186" s="38">
        <f>N16/N225</f>
        <v>1001.2456505012048</v>
      </c>
      <c r="O186" s="38">
        <f>O16/O225</f>
        <v>887.12511165947319</v>
      </c>
      <c r="P186" s="38">
        <f>P16/P225</f>
        <v>661.62680359733361</v>
      </c>
      <c r="Q186" s="38">
        <f>Q16/Q225</f>
        <v>1063.982891227721</v>
      </c>
      <c r="R186" s="39">
        <f>Q186</f>
        <v>1063.982891227721</v>
      </c>
      <c r="S186" s="38">
        <f>S16/S225</f>
        <v>1147.1568703355181</v>
      </c>
      <c r="T186" s="38">
        <f>T16/T225</f>
        <v>939.712306421824</v>
      </c>
      <c r="U186" s="38">
        <f>U16/U225</f>
        <v>698.03228541885005</v>
      </c>
      <c r="V186" s="38">
        <f>V16/V225</f>
        <v>1127.5050340817788</v>
      </c>
      <c r="W186" s="39">
        <f>V186</f>
        <v>1127.5050340817788</v>
      </c>
      <c r="X186" s="38">
        <f>X16/X225</f>
        <v>1213.8022000378921</v>
      </c>
      <c r="Y186" s="38">
        <f>Y16/Y225</f>
        <v>993.5513802342349</v>
      </c>
      <c r="Z186" s="38">
        <f>Z16/Z225</f>
        <v>738.115267690265</v>
      </c>
      <c r="AA186" s="38">
        <f>AA16/AA225</f>
        <v>1192.96002702801</v>
      </c>
      <c r="AB186" s="39">
        <f>AA186</f>
        <v>1192.96002702801</v>
      </c>
      <c r="AC186" s="38">
        <f>AC16/AC225</f>
        <v>1283.8941291129686</v>
      </c>
      <c r="AD186" s="38">
        <f>AD16/AD225</f>
        <v>1050.4160635479329</v>
      </c>
      <c r="AE186" s="38">
        <f>AE16/AE225</f>
        <v>782.79577550626516</v>
      </c>
      <c r="AF186" s="38">
        <f>AF16/AF225</f>
        <v>1266.4898717046506</v>
      </c>
      <c r="AG186" s="39">
        <f>AF186</f>
        <v>1266.4898717046506</v>
      </c>
      <c r="AH186" s="38">
        <f>AH16/AH225</f>
        <v>1366.0270020378136</v>
      </c>
      <c r="AI186" s="38">
        <f>AI16/AI225</f>
        <v>1117.2332467113454</v>
      </c>
      <c r="AJ186" s="38">
        <f>AJ16/AJ225</f>
        <v>834.57477072507163</v>
      </c>
      <c r="AK186" s="38">
        <f>AK16/AK225</f>
        <v>1350.2281822808434</v>
      </c>
      <c r="AL186" s="39">
        <f>AK186</f>
        <v>1350.2281822808434</v>
      </c>
    </row>
    <row r="187" spans="1:38" s="47" customFormat="1" ht="14.45" customHeight="1" outlineLevel="1" x14ac:dyDescent="0.25">
      <c r="A187" s="457"/>
      <c r="B187" s="84" t="s">
        <v>222</v>
      </c>
      <c r="C187" s="85"/>
      <c r="D187" s="38">
        <v>1354.6</v>
      </c>
      <c r="E187" s="38">
        <v>1443</v>
      </c>
      <c r="F187" s="38">
        <v>1517.2</v>
      </c>
      <c r="G187" s="38">
        <v>1529.4</v>
      </c>
      <c r="H187" s="39">
        <f>G187</f>
        <v>1529.4</v>
      </c>
      <c r="I187" s="38">
        <v>1408.7</v>
      </c>
      <c r="J187" s="38">
        <v>1492.2</v>
      </c>
      <c r="K187" s="38">
        <v>1583.8</v>
      </c>
      <c r="L187" s="38">
        <f>L17/L227</f>
        <v>1815.3541471265009</v>
      </c>
      <c r="M187" s="39">
        <f>L187</f>
        <v>1815.3541471265009</v>
      </c>
      <c r="N187" s="38">
        <f>N17/N227</f>
        <v>1969.7628647509659</v>
      </c>
      <c r="O187" s="38">
        <f>O17/O227</f>
        <v>1775.681112400541</v>
      </c>
      <c r="P187" s="38">
        <f>P17/P227</f>
        <v>1459.8846493068281</v>
      </c>
      <c r="Q187" s="38">
        <f>Q17/Q227</f>
        <v>1967.4448900474872</v>
      </c>
      <c r="R187" s="39">
        <f>Q187</f>
        <v>1967.4448900474872</v>
      </c>
      <c r="S187" s="38">
        <f>S17/S227</f>
        <v>1902.3425516741131</v>
      </c>
      <c r="T187" s="38">
        <f>T17/T227</f>
        <v>1695.4108157050823</v>
      </c>
      <c r="U187" s="38">
        <f>U17/U227</f>
        <v>1388.9699068643049</v>
      </c>
      <c r="V187" s="38">
        <f>V17/V227</f>
        <v>2068.4081205529519</v>
      </c>
      <c r="W187" s="39">
        <f>V187</f>
        <v>2068.4081205529519</v>
      </c>
      <c r="X187" s="38">
        <f>X17/X227</f>
        <v>1998.9870724328468</v>
      </c>
      <c r="Y187" s="38">
        <f>Y17/Y227</f>
        <v>1786.7001634354203</v>
      </c>
      <c r="Z187" s="38">
        <f>Z17/Z227</f>
        <v>1467.3662065911144</v>
      </c>
      <c r="AA187" s="38">
        <f>AA17/AA227</f>
        <v>2187.8726912862749</v>
      </c>
      <c r="AB187" s="39">
        <f>AA187</f>
        <v>2187.8726912862749</v>
      </c>
      <c r="AC187" s="38">
        <f>AC17/AC227</f>
        <v>2114.4471751111969</v>
      </c>
      <c r="AD187" s="38">
        <f>AD17/AD227</f>
        <v>1887.9676588193367</v>
      </c>
      <c r="AE187" s="38">
        <f>AE17/AE227</f>
        <v>1554.0940526825423</v>
      </c>
      <c r="AF187" s="38">
        <f>AF17/AF227</f>
        <v>2321.2497482946155</v>
      </c>
      <c r="AG187" s="39">
        <f>AF187</f>
        <v>2321.2497482946155</v>
      </c>
      <c r="AH187" s="38">
        <f>AH17/AH227</f>
        <v>2247.7709413088446</v>
      </c>
      <c r="AI187" s="38">
        <f>AI17/AI227</f>
        <v>2005.1988891159001</v>
      </c>
      <c r="AJ187" s="38">
        <f>AJ17/AJ227</f>
        <v>1653.5148090381513</v>
      </c>
      <c r="AK187" s="38">
        <f>AK17/AK227</f>
        <v>2472.966093983835</v>
      </c>
      <c r="AL187" s="39">
        <f>AK187</f>
        <v>2472.966093983835</v>
      </c>
    </row>
    <row r="188" spans="1:38" ht="16.350000000000001" customHeight="1" outlineLevel="1" x14ac:dyDescent="0.4">
      <c r="A188" s="457"/>
      <c r="B188" s="509" t="s">
        <v>74</v>
      </c>
      <c r="C188" s="510"/>
      <c r="D188" s="41">
        <v>608.5</v>
      </c>
      <c r="E188" s="317">
        <v>674</v>
      </c>
      <c r="F188" s="317">
        <v>591.6</v>
      </c>
      <c r="G188" s="317">
        <v>488.2</v>
      </c>
      <c r="H188" s="42">
        <f>G188</f>
        <v>488.2</v>
      </c>
      <c r="I188" s="317">
        <v>474</v>
      </c>
      <c r="J188" s="317">
        <v>691.5</v>
      </c>
      <c r="K188" s="317">
        <v>920.3</v>
      </c>
      <c r="L188" s="69">
        <f>+K188*0.85</f>
        <v>782.255</v>
      </c>
      <c r="M188" s="42">
        <f>L188</f>
        <v>782.255</v>
      </c>
      <c r="N188" s="69">
        <f>L188*0.9</f>
        <v>704.02949999999998</v>
      </c>
      <c r="O188" s="69">
        <f>N188*0.95</f>
        <v>668.82802499999991</v>
      </c>
      <c r="P188" s="69">
        <f>O188*0.95</f>
        <v>635.3866237499999</v>
      </c>
      <c r="Q188" s="69">
        <f>P188*0.95</f>
        <v>603.61729256249987</v>
      </c>
      <c r="R188" s="42">
        <f>Q188</f>
        <v>603.61729256249987</v>
      </c>
      <c r="S188" s="69">
        <f>Q188*1.02</f>
        <v>615.68963841374989</v>
      </c>
      <c r="T188" s="69">
        <f>S188*1.02</f>
        <v>628.00343118202488</v>
      </c>
      <c r="U188" s="69">
        <f>T188*1.02</f>
        <v>640.5634998056654</v>
      </c>
      <c r="V188" s="69">
        <f>U188*1.02</f>
        <v>653.37476980177871</v>
      </c>
      <c r="W188" s="42">
        <f>V188</f>
        <v>653.37476980177871</v>
      </c>
      <c r="X188" s="69">
        <f>V188*1.02</f>
        <v>666.44226519781432</v>
      </c>
      <c r="Y188" s="69">
        <f>X188*1.02</f>
        <v>679.77111050177064</v>
      </c>
      <c r="Z188" s="69">
        <f>Y188*1.02</f>
        <v>693.36653271180603</v>
      </c>
      <c r="AA188" s="69">
        <f>Z188*1.02</f>
        <v>707.23386336604221</v>
      </c>
      <c r="AB188" s="42">
        <f>AA188</f>
        <v>707.23386336604221</v>
      </c>
      <c r="AC188" s="69">
        <f>AA188*1.02</f>
        <v>721.37854063336306</v>
      </c>
      <c r="AD188" s="69">
        <f>AC188*1.02</f>
        <v>735.80611144603029</v>
      </c>
      <c r="AE188" s="69">
        <f>AD188*1.02</f>
        <v>750.52223367495094</v>
      </c>
      <c r="AF188" s="69">
        <f>AE188*1.02</f>
        <v>765.53267834844996</v>
      </c>
      <c r="AG188" s="42">
        <f>AF188</f>
        <v>765.53267834844996</v>
      </c>
      <c r="AH188" s="69">
        <f>AF188*1.02</f>
        <v>780.84333191541896</v>
      </c>
      <c r="AI188" s="69">
        <f>AH188*1.02</f>
        <v>796.46019855372731</v>
      </c>
      <c r="AJ188" s="69">
        <f>AI188*1.02</f>
        <v>812.38940252480188</v>
      </c>
      <c r="AK188" s="69">
        <f>AJ188*1.02</f>
        <v>828.63719057529795</v>
      </c>
      <c r="AL188" s="42">
        <f>AK188</f>
        <v>828.63719057529795</v>
      </c>
    </row>
    <row r="189" spans="1:38" ht="14.45" customHeight="1" outlineLevel="1" x14ac:dyDescent="0.25">
      <c r="A189" s="457"/>
      <c r="B189" s="86" t="s">
        <v>4</v>
      </c>
      <c r="C189" s="87"/>
      <c r="D189" s="45">
        <f t="shared" ref="D189:AB189" si="710">SUM(D184:D188)</f>
        <v>7676.2999999999993</v>
      </c>
      <c r="E189" s="45">
        <f t="shared" si="710"/>
        <v>4952.3</v>
      </c>
      <c r="F189" s="45">
        <f t="shared" si="710"/>
        <v>7734.9000000000024</v>
      </c>
      <c r="G189" s="45">
        <f t="shared" si="710"/>
        <v>5653.7000000000016</v>
      </c>
      <c r="H189" s="46">
        <f t="shared" si="710"/>
        <v>5653.7000000000016</v>
      </c>
      <c r="I189" s="45">
        <f t="shared" si="710"/>
        <v>5899.7000000000035</v>
      </c>
      <c r="J189" s="45">
        <f t="shared" si="710"/>
        <v>5749.9000000000033</v>
      </c>
      <c r="K189" s="45">
        <f t="shared" si="710"/>
        <v>7581.0000000000045</v>
      </c>
      <c r="L189" s="45">
        <f t="shared" si="710"/>
        <v>6552.6235227003508</v>
      </c>
      <c r="M189" s="46">
        <f t="shared" si="710"/>
        <v>6552.6235227003508</v>
      </c>
      <c r="N189" s="45">
        <f t="shared" si="710"/>
        <v>5886.963975910161</v>
      </c>
      <c r="O189" s="45">
        <f t="shared" si="710"/>
        <v>4500.0030702398053</v>
      </c>
      <c r="P189" s="45">
        <f t="shared" si="710"/>
        <v>3264.3984865001776</v>
      </c>
      <c r="Q189" s="45">
        <f t="shared" si="710"/>
        <v>3629.5362778960416</v>
      </c>
      <c r="R189" s="46">
        <f t="shared" si="710"/>
        <v>3629.5362778960416</v>
      </c>
      <c r="S189" s="45">
        <f t="shared" si="710"/>
        <v>4346.5886654181904</v>
      </c>
      <c r="T189" s="45">
        <f t="shared" si="710"/>
        <v>3326.2108898587016</v>
      </c>
      <c r="U189" s="45">
        <f t="shared" si="710"/>
        <v>2359.7693713958156</v>
      </c>
      <c r="V189" s="45">
        <f t="shared" si="710"/>
        <v>3029.7971075690357</v>
      </c>
      <c r="W189" s="46">
        <f t="shared" si="710"/>
        <v>3029.7971075690357</v>
      </c>
      <c r="X189" s="45">
        <f t="shared" si="710"/>
        <v>3530.9362147179486</v>
      </c>
      <c r="Y189" s="45">
        <f t="shared" si="710"/>
        <v>2538.5973622757433</v>
      </c>
      <c r="Z189" s="45">
        <f t="shared" si="710"/>
        <v>1664.9175312919508</v>
      </c>
      <c r="AA189" s="45">
        <f t="shared" si="710"/>
        <v>2633.5033452185426</v>
      </c>
      <c r="AB189" s="46">
        <f t="shared" si="710"/>
        <v>2633.5033452185426</v>
      </c>
      <c r="AC189" s="45">
        <f t="shared" ref="AC189:AG189" si="711">SUM(AC184:AC188)</f>
        <v>3084.3263924342259</v>
      </c>
      <c r="AD189" s="45">
        <f t="shared" si="711"/>
        <v>1949.074761875102</v>
      </c>
      <c r="AE189" s="45">
        <f t="shared" si="711"/>
        <v>939.32003846039561</v>
      </c>
      <c r="AF189" s="45">
        <f t="shared" si="711"/>
        <v>1890.8445648096354</v>
      </c>
      <c r="AG189" s="46">
        <f t="shared" si="711"/>
        <v>1890.8445648096354</v>
      </c>
      <c r="AH189" s="45">
        <f t="shared" ref="AH189:AL189" si="712">SUM(AH184:AH188)</f>
        <v>2090.255044367329</v>
      </c>
      <c r="AI189" s="45">
        <f t="shared" si="712"/>
        <v>590.9709957781007</v>
      </c>
      <c r="AJ189" s="45">
        <f t="shared" si="712"/>
        <v>-752.61615655126434</v>
      </c>
      <c r="AK189" s="45">
        <f t="shared" si="712"/>
        <v>-26.017072026531082</v>
      </c>
      <c r="AL189" s="46">
        <f t="shared" si="712"/>
        <v>-26.017072026531082</v>
      </c>
    </row>
    <row r="190" spans="1:38" ht="14.45" customHeight="1" outlineLevel="1" x14ac:dyDescent="0.25">
      <c r="A190" s="457"/>
      <c r="B190" s="84" t="s">
        <v>223</v>
      </c>
      <c r="C190" s="189"/>
      <c r="D190" s="38">
        <v>265</v>
      </c>
      <c r="E190" s="38">
        <v>251.9</v>
      </c>
      <c r="F190" s="38">
        <v>222.6</v>
      </c>
      <c r="G190" s="38">
        <v>220</v>
      </c>
      <c r="H190" s="39">
        <f t="shared" ref="H190:H191" si="713">+G190</f>
        <v>220</v>
      </c>
      <c r="I190" s="38">
        <v>199.8</v>
      </c>
      <c r="J190" s="38">
        <v>198.8</v>
      </c>
      <c r="K190" s="38">
        <v>223.4</v>
      </c>
      <c r="L190" s="38">
        <f>+L231*L220*(1-L232)</f>
        <v>240.88622175483161</v>
      </c>
      <c r="M190" s="39">
        <f t="shared" ref="M190:M191" si="714">+L190</f>
        <v>240.88622175483161</v>
      </c>
      <c r="N190" s="38">
        <f>+N231*N220*(1-N232)</f>
        <v>217.3723445211885</v>
      </c>
      <c r="O190" s="38">
        <f>+O231*O220*(1-O232)</f>
        <v>208.82464673320627</v>
      </c>
      <c r="P190" s="38">
        <f>+P231*P220*(1-P232)</f>
        <v>199.6387538797529</v>
      </c>
      <c r="Q190" s="38">
        <f>+Q231*Q220*(1-Q232)</f>
        <v>203.38696423575519</v>
      </c>
      <c r="R190" s="39">
        <f t="shared" ref="R190:R191" si="715">+Q190</f>
        <v>203.38696423575519</v>
      </c>
      <c r="S190" s="38">
        <f>+S231*S220*(1-S232)</f>
        <v>208.0162657959911</v>
      </c>
      <c r="T190" s="38">
        <f>+T231*T220*(1-T232)</f>
        <v>199.2498391945141</v>
      </c>
      <c r="U190" s="38">
        <f>+U231*U220*(1-U232)</f>
        <v>190.05739079259834</v>
      </c>
      <c r="V190" s="38">
        <f>+V231*V220*(1-V232)</f>
        <v>195.7315118833672</v>
      </c>
      <c r="W190" s="39">
        <f t="shared" ref="W190:W191" si="716">+V190</f>
        <v>195.7315118833672</v>
      </c>
      <c r="X190" s="38">
        <f>+X231*X220*(1-X232)</f>
        <v>200.20352758788312</v>
      </c>
      <c r="Y190" s="38">
        <f>+Y231*Y220*(1-Y232)</f>
        <v>190.37378669867857</v>
      </c>
      <c r="Z190" s="38">
        <f>+Z231*Z220*(1-Z232)</f>
        <v>181.30078679901951</v>
      </c>
      <c r="AA190" s="38">
        <f>+AA231*AA220*(1-AA232)</f>
        <v>189.13280491550665</v>
      </c>
      <c r="AB190" s="39">
        <f t="shared" ref="AB190:AB191" si="717">+AA190</f>
        <v>189.13280491550665</v>
      </c>
      <c r="AC190" s="38">
        <f>+AC231*AC220*(1-AC232)</f>
        <v>193.81809418623916</v>
      </c>
      <c r="AD190" s="38">
        <f>+AD231*AD220*(1-AD232)</f>
        <v>182.78505895114537</v>
      </c>
      <c r="AE190" s="38">
        <f>+AE231*AE220*(1-AE232)</f>
        <v>172.72466444574968</v>
      </c>
      <c r="AF190" s="38">
        <f>+AF231*AF220*(1-AF232)</f>
        <v>180.7261553757636</v>
      </c>
      <c r="AG190" s="39">
        <f t="shared" ref="AG190:AG191" si="718">+AF190</f>
        <v>180.7261553757636</v>
      </c>
      <c r="AH190" s="38">
        <f>+AH231*AH220*(1-AH232)</f>
        <v>183.68113023355954</v>
      </c>
      <c r="AI190" s="38">
        <f>+AI231*AI220*(1-AI232)</f>
        <v>169.70938638133254</v>
      </c>
      <c r="AJ190" s="38">
        <f>+AJ231*AJ220*(1-AJ232)</f>
        <v>157.0034494595148</v>
      </c>
      <c r="AK190" s="38">
        <f>+AK231*AK220*(1-AK232)</f>
        <v>163.37453215065506</v>
      </c>
      <c r="AL190" s="39">
        <f t="shared" ref="AL190:AL191" si="719">+AK190</f>
        <v>163.37453215065506</v>
      </c>
    </row>
    <row r="191" spans="1:38" ht="14.45" customHeight="1" outlineLevel="1" x14ac:dyDescent="0.25">
      <c r="A191" s="457"/>
      <c r="B191" s="84" t="s">
        <v>312</v>
      </c>
      <c r="C191" s="189"/>
      <c r="D191" s="38">
        <v>336.1</v>
      </c>
      <c r="E191" s="38">
        <v>309.3</v>
      </c>
      <c r="F191" s="38">
        <v>340.3</v>
      </c>
      <c r="G191" s="38">
        <v>396</v>
      </c>
      <c r="H191" s="39">
        <f t="shared" si="713"/>
        <v>396</v>
      </c>
      <c r="I191" s="38">
        <v>411.3</v>
      </c>
      <c r="J191" s="38">
        <v>420.9</v>
      </c>
      <c r="K191" s="38">
        <v>426.1</v>
      </c>
      <c r="L191" s="38">
        <f>K191</f>
        <v>426.1</v>
      </c>
      <c r="M191" s="39">
        <f t="shared" si="714"/>
        <v>426.1</v>
      </c>
      <c r="N191" s="38">
        <f>L191</f>
        <v>426.1</v>
      </c>
      <c r="O191" s="38">
        <f>N191</f>
        <v>426.1</v>
      </c>
      <c r="P191" s="38">
        <f t="shared" ref="P191:Q191" si="720">O191</f>
        <v>426.1</v>
      </c>
      <c r="Q191" s="38">
        <f t="shared" si="720"/>
        <v>426.1</v>
      </c>
      <c r="R191" s="39">
        <f t="shared" si="715"/>
        <v>426.1</v>
      </c>
      <c r="S191" s="38">
        <f>Q191</f>
        <v>426.1</v>
      </c>
      <c r="T191" s="38">
        <f>S191</f>
        <v>426.1</v>
      </c>
      <c r="U191" s="38">
        <f t="shared" ref="U191:V191" si="721">T191</f>
        <v>426.1</v>
      </c>
      <c r="V191" s="38">
        <f t="shared" si="721"/>
        <v>426.1</v>
      </c>
      <c r="W191" s="39">
        <f t="shared" si="716"/>
        <v>426.1</v>
      </c>
      <c r="X191" s="38">
        <f>V191</f>
        <v>426.1</v>
      </c>
      <c r="Y191" s="38">
        <f>X191</f>
        <v>426.1</v>
      </c>
      <c r="Z191" s="38">
        <f t="shared" ref="Z191:AA191" si="722">Y191</f>
        <v>426.1</v>
      </c>
      <c r="AA191" s="38">
        <f t="shared" si="722"/>
        <v>426.1</v>
      </c>
      <c r="AB191" s="39">
        <f t="shared" si="717"/>
        <v>426.1</v>
      </c>
      <c r="AC191" s="38">
        <f>AA191</f>
        <v>426.1</v>
      </c>
      <c r="AD191" s="38">
        <f>AC191</f>
        <v>426.1</v>
      </c>
      <c r="AE191" s="38">
        <f t="shared" ref="AE191:AF191" si="723">AD191</f>
        <v>426.1</v>
      </c>
      <c r="AF191" s="38">
        <f t="shared" si="723"/>
        <v>426.1</v>
      </c>
      <c r="AG191" s="39">
        <f t="shared" si="718"/>
        <v>426.1</v>
      </c>
      <c r="AH191" s="38">
        <f>AF191</f>
        <v>426.1</v>
      </c>
      <c r="AI191" s="38">
        <f>AH191</f>
        <v>426.1</v>
      </c>
      <c r="AJ191" s="38">
        <f t="shared" ref="AJ191:AK191" si="724">AI191</f>
        <v>426.1</v>
      </c>
      <c r="AK191" s="38">
        <f t="shared" si="724"/>
        <v>426.1</v>
      </c>
      <c r="AL191" s="39">
        <f t="shared" si="719"/>
        <v>426.1</v>
      </c>
    </row>
    <row r="192" spans="1:38" s="20" customFormat="1" outlineLevel="1" x14ac:dyDescent="0.25">
      <c r="A192" s="457"/>
      <c r="B192" s="84" t="s">
        <v>224</v>
      </c>
      <c r="C192" s="87"/>
      <c r="D192" s="38">
        <v>6039.3</v>
      </c>
      <c r="E192" s="38">
        <v>6135.5</v>
      </c>
      <c r="F192" s="38">
        <v>6187.8</v>
      </c>
      <c r="G192" s="38">
        <v>6431.7</v>
      </c>
      <c r="H192" s="39">
        <f>+G192</f>
        <v>6431.7</v>
      </c>
      <c r="I192" s="38">
        <v>6390.9</v>
      </c>
      <c r="J192" s="38">
        <v>6387</v>
      </c>
      <c r="K192" s="38">
        <v>6295.6</v>
      </c>
      <c r="L192" s="38">
        <f>+K192-L260-L242</f>
        <v>6288.7718159433371</v>
      </c>
      <c r="M192" s="39">
        <f>+L192</f>
        <v>6288.7718159433371</v>
      </c>
      <c r="N192" s="38">
        <f>+L192-N260-N242</f>
        <v>6382.6512157110938</v>
      </c>
      <c r="O192" s="38">
        <f>+N192-O260-O242</f>
        <v>6418.9453825553783</v>
      </c>
      <c r="P192" s="38">
        <f>+O192-P260-P242</f>
        <v>6372.6968557942373</v>
      </c>
      <c r="Q192" s="38">
        <f>+P192-Q260-Q242</f>
        <v>6509.0217510564817</v>
      </c>
      <c r="R192" s="39">
        <f>+Q192</f>
        <v>6509.0217510564817</v>
      </c>
      <c r="S192" s="38">
        <f>+Q192-S260-S242</f>
        <v>6642.3566877594021</v>
      </c>
      <c r="T192" s="38">
        <f>+S192-T260-T242</f>
        <v>6666.5075157432757</v>
      </c>
      <c r="U192" s="38">
        <f>+T192-U260-U242</f>
        <v>6603.6652357612293</v>
      </c>
      <c r="V192" s="38">
        <f>+U192-V260-V242</f>
        <v>6737.3062523183535</v>
      </c>
      <c r="W192" s="39">
        <f>+V192</f>
        <v>6737.3062523183535</v>
      </c>
      <c r="X192" s="38">
        <f>+V192-X260-X242</f>
        <v>6796.0825062359263</v>
      </c>
      <c r="Y192" s="38">
        <f>+X192-Y260-Y242</f>
        <v>6761.9611621742715</v>
      </c>
      <c r="Z192" s="38">
        <f>+Y192-Z260-Z242</f>
        <v>6654.3954296313332</v>
      </c>
      <c r="AA192" s="38">
        <f>+Z192-AA260-AA242</f>
        <v>6723.222900945183</v>
      </c>
      <c r="AB192" s="39">
        <f>+AA192</f>
        <v>6723.222900945183</v>
      </c>
      <c r="AC192" s="38">
        <f>+AA192-AC260-AC242</f>
        <v>6809.1160324037955</v>
      </c>
      <c r="AD192" s="38">
        <f>+AC192-AD260-AD242</f>
        <v>6795.1878627697697</v>
      </c>
      <c r="AE192" s="38">
        <f>+AD192-AE260-AE242</f>
        <v>6703.2351322938975</v>
      </c>
      <c r="AF192" s="38">
        <f>+AE192-AF260-AF242</f>
        <v>6797.5505189812075</v>
      </c>
      <c r="AG192" s="39">
        <f>+AF192</f>
        <v>6797.5505189812075</v>
      </c>
      <c r="AH192" s="38">
        <f>+AF192-AH260-AH242</f>
        <v>6909.8741555322595</v>
      </c>
      <c r="AI192" s="38">
        <f>+AH192-AI260-AI242</f>
        <v>6914.6192080038472</v>
      </c>
      <c r="AJ192" s="38">
        <f>+AI192-AJ260-AJ242</f>
        <v>6836.0004308514144</v>
      </c>
      <c r="AK192" s="38">
        <f>+AJ192-AK260-AK242</f>
        <v>6954.8151405950657</v>
      </c>
      <c r="AL192" s="39">
        <f>+AK192</f>
        <v>6954.8151405950657</v>
      </c>
    </row>
    <row r="193" spans="1:38" s="20" customFormat="1" outlineLevel="1" x14ac:dyDescent="0.25">
      <c r="A193" s="457"/>
      <c r="B193" s="343" t="s">
        <v>313</v>
      </c>
      <c r="C193" s="345"/>
      <c r="D193" s="38">
        <v>0</v>
      </c>
      <c r="E193" s="38">
        <v>0</v>
      </c>
      <c r="F193" s="38">
        <v>0</v>
      </c>
      <c r="G193" s="38">
        <v>0</v>
      </c>
      <c r="H193" s="39">
        <f>+G193</f>
        <v>0</v>
      </c>
      <c r="I193" s="38">
        <v>8358.5</v>
      </c>
      <c r="J193" s="38">
        <v>8260.7999999999993</v>
      </c>
      <c r="K193" s="38">
        <v>8214</v>
      </c>
      <c r="L193" s="71">
        <f>K193*0.99</f>
        <v>8131.86</v>
      </c>
      <c r="M193" s="39">
        <f>L193</f>
        <v>8131.86</v>
      </c>
      <c r="N193" s="71">
        <f>L193*0.99</f>
        <v>8050.5413999999992</v>
      </c>
      <c r="O193" s="71">
        <f>N193*0.99</f>
        <v>7970.035985999999</v>
      </c>
      <c r="P193" s="71">
        <f>O193*0.99</f>
        <v>7890.3356261399986</v>
      </c>
      <c r="Q193" s="71">
        <f>P193*0.99</f>
        <v>7811.4322698785982</v>
      </c>
      <c r="R193" s="39">
        <f>Q193</f>
        <v>7811.4322698785982</v>
      </c>
      <c r="S193" s="71">
        <f>Q193*0.99</f>
        <v>7733.3179471798121</v>
      </c>
      <c r="T193" s="71">
        <f>S193*0.99</f>
        <v>7655.9847677080143</v>
      </c>
      <c r="U193" s="71">
        <f>T193*0.99</f>
        <v>7579.4249200309341</v>
      </c>
      <c r="V193" s="71">
        <f>U193*0.99</f>
        <v>7503.6306708306247</v>
      </c>
      <c r="W193" s="39">
        <f>V193</f>
        <v>7503.6306708306247</v>
      </c>
      <c r="X193" s="71">
        <f>V193*0.99</f>
        <v>7428.5943641223184</v>
      </c>
      <c r="Y193" s="71">
        <f>X193*0.99</f>
        <v>7354.3084204810948</v>
      </c>
      <c r="Z193" s="71">
        <f>Y193*0.99</f>
        <v>7280.765336276284</v>
      </c>
      <c r="AA193" s="71">
        <f>Z193*0.99</f>
        <v>7207.9576829135212</v>
      </c>
      <c r="AB193" s="39">
        <f>AA193</f>
        <v>7207.9576829135212</v>
      </c>
      <c r="AC193" s="71">
        <f>AA193*0.99</f>
        <v>7135.8781060843858</v>
      </c>
      <c r="AD193" s="71">
        <f>AC193*0.99</f>
        <v>7064.5193250235416</v>
      </c>
      <c r="AE193" s="71">
        <f>AD193*0.99</f>
        <v>6993.8741317733065</v>
      </c>
      <c r="AF193" s="71">
        <f>AE193*0.99</f>
        <v>6923.9353904555737</v>
      </c>
      <c r="AG193" s="39">
        <f>AF193</f>
        <v>6923.9353904555737</v>
      </c>
      <c r="AH193" s="71">
        <f>AF193*0.99</f>
        <v>6854.6960365510176</v>
      </c>
      <c r="AI193" s="71">
        <f>AH193*0.99</f>
        <v>6786.1490761855075</v>
      </c>
      <c r="AJ193" s="71">
        <f>AI193*0.99</f>
        <v>6718.2875854236527</v>
      </c>
      <c r="AK193" s="71">
        <f>AJ193*0.99</f>
        <v>6651.1047095694157</v>
      </c>
      <c r="AL193" s="39">
        <f>AK193</f>
        <v>6651.1047095694157</v>
      </c>
    </row>
    <row r="194" spans="1:38" s="20" customFormat="1" outlineLevel="1" x14ac:dyDescent="0.25">
      <c r="A194" s="457"/>
      <c r="B194" s="84" t="s">
        <v>233</v>
      </c>
      <c r="C194" s="87"/>
      <c r="D194" s="38">
        <v>650</v>
      </c>
      <c r="E194" s="38">
        <v>1006.6</v>
      </c>
      <c r="F194" s="38">
        <v>1533</v>
      </c>
      <c r="G194" s="38">
        <v>1765.8</v>
      </c>
      <c r="H194" s="39">
        <f t="shared" ref="H194:H195" si="725">+G194</f>
        <v>1765.8</v>
      </c>
      <c r="I194" s="38">
        <v>1731.4</v>
      </c>
      <c r="J194" s="38">
        <v>1709.7</v>
      </c>
      <c r="K194" s="38">
        <v>1740</v>
      </c>
      <c r="L194" s="71">
        <f>L235*(L205+L211)</f>
        <v>1714.9448335996237</v>
      </c>
      <c r="M194" s="39">
        <f t="shared" ref="M194:M195" si="726">+L194</f>
        <v>1714.9448335996237</v>
      </c>
      <c r="N194" s="71">
        <f>N235*(N205+N211)</f>
        <v>1785.4082012153515</v>
      </c>
      <c r="O194" s="71">
        <f>O235*(O205+O211)</f>
        <v>1731.8584462332497</v>
      </c>
      <c r="P194" s="71">
        <f>P235*(P205+P211)</f>
        <v>1726.1959393485149</v>
      </c>
      <c r="Q194" s="71">
        <f>Q235*(Q205+Q211)</f>
        <v>1712.9922385283203</v>
      </c>
      <c r="R194" s="39">
        <f t="shared" ref="R194:R195" si="727">+Q194</f>
        <v>1712.9922385283203</v>
      </c>
      <c r="S194" s="71">
        <f>S235*(S205+S211)</f>
        <v>1805.9013362657138</v>
      </c>
      <c r="T194" s="71">
        <f>T235*(T205+T211)</f>
        <v>1737.9071699278941</v>
      </c>
      <c r="U194" s="71">
        <f>U235*(U205+U211)</f>
        <v>1728.74973828464</v>
      </c>
      <c r="V194" s="71">
        <f>V235*(V205+V211)</f>
        <v>1718.8271537825906</v>
      </c>
      <c r="W194" s="39">
        <f t="shared" ref="W194:W195" si="728">+V194</f>
        <v>1718.8271537825906</v>
      </c>
      <c r="X194" s="71">
        <f>X235*(X205+X211)</f>
        <v>1821.5230927659513</v>
      </c>
      <c r="Y194" s="71">
        <f>Y235*(Y205+Y211)</f>
        <v>1746.2386449563533</v>
      </c>
      <c r="Z194" s="71">
        <f>Z235*(Z205+Z211)</f>
        <v>1736.7634733964312</v>
      </c>
      <c r="AA194" s="71">
        <f>AA235*(AA205+AA211)</f>
        <v>1727.3254598326967</v>
      </c>
      <c r="AB194" s="39">
        <f t="shared" ref="AB194:AB195" si="729">+AA194</f>
        <v>1727.3254598326967</v>
      </c>
      <c r="AC194" s="71">
        <f>AC235*(AC205+AC211)</f>
        <v>1839.098585955828</v>
      </c>
      <c r="AD194" s="71">
        <f>AD235*(AD205+AD211)</f>
        <v>1757.7262891686987</v>
      </c>
      <c r="AE194" s="71">
        <f>AE235*(AE205+AE211)</f>
        <v>1748.0761801674507</v>
      </c>
      <c r="AF194" s="71">
        <f>AF235*(AF205+AF211)</f>
        <v>1738.5081247322018</v>
      </c>
      <c r="AG194" s="39">
        <f t="shared" ref="AG194:AG195" si="730">+AF194</f>
        <v>1738.5081247322018</v>
      </c>
      <c r="AH194" s="71">
        <f>AH235*(AH205+AH211)</f>
        <v>1860.0500713699641</v>
      </c>
      <c r="AI194" s="71">
        <f>AI235*(AI205+AI211)</f>
        <v>1772.3978146649681</v>
      </c>
      <c r="AJ194" s="71">
        <f>AJ235*(AJ205+AJ211)</f>
        <v>1762.4991607796385</v>
      </c>
      <c r="AK194" s="71">
        <f>AK235*(AK205+AK211)</f>
        <v>1752.6744218948118</v>
      </c>
      <c r="AL194" s="39">
        <f t="shared" ref="AL194:AL195" si="731">+AK194</f>
        <v>1752.6744218948118</v>
      </c>
    </row>
    <row r="195" spans="1:38" s="20" customFormat="1" outlineLevel="1" x14ac:dyDescent="0.25">
      <c r="A195" s="457"/>
      <c r="B195" s="84" t="s">
        <v>314</v>
      </c>
      <c r="C195" s="87"/>
      <c r="D195" s="38">
        <v>472.7</v>
      </c>
      <c r="E195" s="38">
        <v>464.5</v>
      </c>
      <c r="F195" s="38">
        <v>458</v>
      </c>
      <c r="G195" s="38">
        <v>479.6</v>
      </c>
      <c r="H195" s="39">
        <f t="shared" si="725"/>
        <v>479.6</v>
      </c>
      <c r="I195" s="38">
        <v>484.7</v>
      </c>
      <c r="J195" s="38">
        <v>580.1</v>
      </c>
      <c r="K195" s="38">
        <v>550.79999999999995</v>
      </c>
      <c r="L195" s="71">
        <f>+K195*(L220/K220)</f>
        <v>528.43475103058347</v>
      </c>
      <c r="M195" s="39">
        <f t="shared" si="726"/>
        <v>528.43475103058347</v>
      </c>
      <c r="N195" s="71">
        <f>+L195*(N220/L220)</f>
        <v>516.10732738615422</v>
      </c>
      <c r="O195" s="71">
        <f>+N195*(O220/N220)</f>
        <v>486.72615137382678</v>
      </c>
      <c r="P195" s="71">
        <f>+O195*(P220/O220)</f>
        <v>459.63324920544164</v>
      </c>
      <c r="Q195" s="71">
        <f>+P195*(Q220/P220)</f>
        <v>467.05081074604124</v>
      </c>
      <c r="R195" s="39">
        <f t="shared" si="727"/>
        <v>467.05081074604124</v>
      </c>
      <c r="S195" s="71">
        <f>+Q195*(S220/Q220)</f>
        <v>483.2995912593189</v>
      </c>
      <c r="T195" s="71">
        <f>+S195*(T220/S220)</f>
        <v>460.65980983529101</v>
      </c>
      <c r="U195" s="71">
        <f>+T195*(U220/T220)</f>
        <v>438.55207370640591</v>
      </c>
      <c r="V195" s="71">
        <f>+U195*(V220/U220)</f>
        <v>452.07068035432161</v>
      </c>
      <c r="W195" s="39">
        <f t="shared" si="728"/>
        <v>452.07068035432161</v>
      </c>
      <c r="X195" s="71">
        <f>+V195*(X220/V220)</f>
        <v>463.07968593606853</v>
      </c>
      <c r="Y195" s="71">
        <f>+X195*(Y220/X220)</f>
        <v>439.86004674864284</v>
      </c>
      <c r="Z195" s="71">
        <f>+Y195*(Z220/Y220)</f>
        <v>418.8306407001532</v>
      </c>
      <c r="AA195" s="71">
        <f>+Z195*(AA220/Z220)</f>
        <v>437.0535580445669</v>
      </c>
      <c r="AB195" s="39">
        <f t="shared" si="729"/>
        <v>437.0535580445669</v>
      </c>
      <c r="AC195" s="71">
        <f>+AA195*(AC220/AA220)</f>
        <v>447.93864070655974</v>
      </c>
      <c r="AD195" s="71">
        <f>+AC195*(AD220/AC220)</f>
        <v>422.3525079359344</v>
      </c>
      <c r="AE195" s="71">
        <f>+AD195*(AE220/AD220)</f>
        <v>399.1127049308584</v>
      </c>
      <c r="AF195" s="71">
        <f>+AE195*(AF220/AE220)</f>
        <v>417.62631962106332</v>
      </c>
      <c r="AG195" s="39">
        <f t="shared" si="730"/>
        <v>417.62631962106332</v>
      </c>
      <c r="AH195" s="71">
        <f>+AF195*(AH220/AF220)</f>
        <v>424.4545533485321</v>
      </c>
      <c r="AI195" s="71">
        <f>+AH195*(AI220/AH220)</f>
        <v>392.15533628047086</v>
      </c>
      <c r="AJ195" s="71">
        <f>+AI195*(AJ220/AI220)</f>
        <v>362.79887695673574</v>
      </c>
      <c r="AK195" s="71">
        <f>+AJ195*(AK220/AJ220)</f>
        <v>377.52436270232704</v>
      </c>
      <c r="AL195" s="39">
        <f t="shared" si="731"/>
        <v>377.52436270232704</v>
      </c>
    </row>
    <row r="196" spans="1:38" s="20" customFormat="1" outlineLevel="1" x14ac:dyDescent="0.25">
      <c r="A196" s="457"/>
      <c r="B196" s="84" t="s">
        <v>225</v>
      </c>
      <c r="C196" s="87"/>
      <c r="D196" s="38">
        <v>981.6</v>
      </c>
      <c r="E196" s="38">
        <v>918.3</v>
      </c>
      <c r="F196" s="38">
        <v>853.2</v>
      </c>
      <c r="G196" s="38">
        <v>781.8</v>
      </c>
      <c r="H196" s="39">
        <f>+G196</f>
        <v>781.8</v>
      </c>
      <c r="I196" s="38">
        <v>739.1</v>
      </c>
      <c r="J196" s="38">
        <v>678.7</v>
      </c>
      <c r="K196" s="38">
        <v>599.6</v>
      </c>
      <c r="L196" s="71">
        <f>+K196*0.94</f>
        <v>563.62400000000002</v>
      </c>
      <c r="M196" s="39">
        <f>+L196</f>
        <v>563.62400000000002</v>
      </c>
      <c r="N196" s="71">
        <f>+L196*0.94</f>
        <v>529.80655999999999</v>
      </c>
      <c r="O196" s="71">
        <f>+N196*0.94</f>
        <v>498.01816639999998</v>
      </c>
      <c r="P196" s="71">
        <f>+O196*0.94</f>
        <v>468.13707641599996</v>
      </c>
      <c r="Q196" s="71">
        <f>+P196*0.94</f>
        <v>440.04885183103994</v>
      </c>
      <c r="R196" s="39">
        <f>+Q196</f>
        <v>440.04885183103994</v>
      </c>
      <c r="S196" s="71">
        <f>+Q196*0.94</f>
        <v>413.6459207211775</v>
      </c>
      <c r="T196" s="71">
        <f>+S196*0.94</f>
        <v>388.82716547790682</v>
      </c>
      <c r="U196" s="71">
        <f>+T196*0.94</f>
        <v>365.4975355492324</v>
      </c>
      <c r="V196" s="71">
        <f>+U196*0.94</f>
        <v>343.56768341627844</v>
      </c>
      <c r="W196" s="39">
        <f>+V196</f>
        <v>343.56768341627844</v>
      </c>
      <c r="X196" s="71">
        <f>+V196*0.94</f>
        <v>322.95362241130169</v>
      </c>
      <c r="Y196" s="71">
        <f>+X196*0.94</f>
        <v>303.57640506662358</v>
      </c>
      <c r="Z196" s="71">
        <f>+Y196*0.94</f>
        <v>285.36182076262617</v>
      </c>
      <c r="AA196" s="71">
        <f>+Z196*0.94</f>
        <v>268.24011151686858</v>
      </c>
      <c r="AB196" s="39">
        <f>+AA196</f>
        <v>268.24011151686858</v>
      </c>
      <c r="AC196" s="71">
        <f>+AA196*0.94</f>
        <v>252.14570482585646</v>
      </c>
      <c r="AD196" s="71">
        <f>+AC196*0.94</f>
        <v>237.01696253630504</v>
      </c>
      <c r="AE196" s="71">
        <f>+AD196*0.94</f>
        <v>222.79594478412673</v>
      </c>
      <c r="AF196" s="71">
        <f>+AE196*0.94</f>
        <v>209.42818809707913</v>
      </c>
      <c r="AG196" s="39">
        <f>+AF196</f>
        <v>209.42818809707913</v>
      </c>
      <c r="AH196" s="71">
        <f>+AF196*0.94</f>
        <v>196.86249681125437</v>
      </c>
      <c r="AI196" s="71">
        <f>+AH196*0.94</f>
        <v>185.0507470025791</v>
      </c>
      <c r="AJ196" s="71">
        <f>+AI196*0.94</f>
        <v>173.94770218242434</v>
      </c>
      <c r="AK196" s="71">
        <f>+AJ196*0.94</f>
        <v>163.51084005147888</v>
      </c>
      <c r="AL196" s="39">
        <f>+AK196</f>
        <v>163.51084005147888</v>
      </c>
    </row>
    <row r="197" spans="1:38" ht="17.25" outlineLevel="1" x14ac:dyDescent="0.4">
      <c r="A197" s="457"/>
      <c r="B197" s="509" t="s">
        <v>37</v>
      </c>
      <c r="C197" s="510"/>
      <c r="D197" s="41">
        <v>3560.3</v>
      </c>
      <c r="E197" s="41">
        <v>3603.5</v>
      </c>
      <c r="F197" s="41">
        <v>3564.7</v>
      </c>
      <c r="G197" s="41">
        <v>3490.8</v>
      </c>
      <c r="H197" s="42">
        <f>G197</f>
        <v>3490.8</v>
      </c>
      <c r="I197" s="41">
        <v>3515.9</v>
      </c>
      <c r="J197" s="41">
        <v>3493</v>
      </c>
      <c r="K197" s="41">
        <v>3510.1</v>
      </c>
      <c r="L197" s="69">
        <f t="shared" ref="L197" si="732">+K197</f>
        <v>3510.1</v>
      </c>
      <c r="M197" s="42">
        <f>L197</f>
        <v>3510.1</v>
      </c>
      <c r="N197" s="69">
        <f>+L197</f>
        <v>3510.1</v>
      </c>
      <c r="O197" s="69">
        <f>+N197</f>
        <v>3510.1</v>
      </c>
      <c r="P197" s="69">
        <f t="shared" ref="P197:Q197" si="733">+O197</f>
        <v>3510.1</v>
      </c>
      <c r="Q197" s="69">
        <f t="shared" si="733"/>
        <v>3510.1</v>
      </c>
      <c r="R197" s="42">
        <f>Q197</f>
        <v>3510.1</v>
      </c>
      <c r="S197" s="69">
        <f>+Q197</f>
        <v>3510.1</v>
      </c>
      <c r="T197" s="69">
        <f>+S197</f>
        <v>3510.1</v>
      </c>
      <c r="U197" s="69">
        <f t="shared" ref="U197:V197" si="734">+T197</f>
        <v>3510.1</v>
      </c>
      <c r="V197" s="69">
        <f t="shared" si="734"/>
        <v>3510.1</v>
      </c>
      <c r="W197" s="42">
        <f>V197</f>
        <v>3510.1</v>
      </c>
      <c r="X197" s="69">
        <f>+V197</f>
        <v>3510.1</v>
      </c>
      <c r="Y197" s="69">
        <f>+X197</f>
        <v>3510.1</v>
      </c>
      <c r="Z197" s="69">
        <f t="shared" ref="Z197:AA197" si="735">+Y197</f>
        <v>3510.1</v>
      </c>
      <c r="AA197" s="69">
        <f t="shared" si="735"/>
        <v>3510.1</v>
      </c>
      <c r="AB197" s="42">
        <f>AA197</f>
        <v>3510.1</v>
      </c>
      <c r="AC197" s="69">
        <f>+AA197</f>
        <v>3510.1</v>
      </c>
      <c r="AD197" s="69">
        <f>+AC197</f>
        <v>3510.1</v>
      </c>
      <c r="AE197" s="69">
        <f t="shared" ref="AE197" si="736">+AD197</f>
        <v>3510.1</v>
      </c>
      <c r="AF197" s="69">
        <f t="shared" ref="AF197" si="737">+AE197</f>
        <v>3510.1</v>
      </c>
      <c r="AG197" s="42">
        <f>AF197</f>
        <v>3510.1</v>
      </c>
      <c r="AH197" s="69">
        <f>+AF197</f>
        <v>3510.1</v>
      </c>
      <c r="AI197" s="69">
        <f>+AH197</f>
        <v>3510.1</v>
      </c>
      <c r="AJ197" s="69">
        <f t="shared" ref="AJ197" si="738">+AI197</f>
        <v>3510.1</v>
      </c>
      <c r="AK197" s="69">
        <f t="shared" ref="AK197" si="739">+AJ197</f>
        <v>3510.1</v>
      </c>
      <c r="AL197" s="42">
        <f>AK197</f>
        <v>3510.1</v>
      </c>
    </row>
    <row r="198" spans="1:38" outlineLevel="1" x14ac:dyDescent="0.25">
      <c r="A198" s="457"/>
      <c r="B198" s="551" t="s">
        <v>5</v>
      </c>
      <c r="C198" s="552"/>
      <c r="D198" s="45">
        <f t="shared" ref="D198:AB198" si="740">+SUM(D189:D197)</f>
        <v>19981.3</v>
      </c>
      <c r="E198" s="45">
        <f t="shared" si="740"/>
        <v>17641.900000000001</v>
      </c>
      <c r="F198" s="45">
        <f t="shared" si="740"/>
        <v>20894.500000000004</v>
      </c>
      <c r="G198" s="45">
        <f t="shared" si="740"/>
        <v>19219.400000000001</v>
      </c>
      <c r="H198" s="46">
        <f t="shared" si="740"/>
        <v>19219.400000000001</v>
      </c>
      <c r="I198" s="45">
        <f t="shared" si="740"/>
        <v>27731.300000000007</v>
      </c>
      <c r="J198" s="45">
        <f t="shared" si="740"/>
        <v>27478.9</v>
      </c>
      <c r="K198" s="45">
        <f t="shared" si="740"/>
        <v>29140.600000000002</v>
      </c>
      <c r="L198" s="45">
        <f t="shared" si="740"/>
        <v>27957.345145028728</v>
      </c>
      <c r="M198" s="46">
        <f t="shared" si="740"/>
        <v>27957.345145028728</v>
      </c>
      <c r="N198" s="45">
        <f t="shared" si="740"/>
        <v>27305.051024743949</v>
      </c>
      <c r="O198" s="45">
        <f t="shared" si="740"/>
        <v>25750.611849535468</v>
      </c>
      <c r="P198" s="45">
        <f t="shared" si="740"/>
        <v>24317.235987284123</v>
      </c>
      <c r="Q198" s="45">
        <f t="shared" si="740"/>
        <v>24709.669164172279</v>
      </c>
      <c r="R198" s="46">
        <f t="shared" si="740"/>
        <v>24709.669164172279</v>
      </c>
      <c r="S198" s="45">
        <f t="shared" si="740"/>
        <v>25569.326414399602</v>
      </c>
      <c r="T198" s="45">
        <f t="shared" si="740"/>
        <v>24371.547157745594</v>
      </c>
      <c r="U198" s="45">
        <f t="shared" si="740"/>
        <v>23201.916265520857</v>
      </c>
      <c r="V198" s="45">
        <f t="shared" si="740"/>
        <v>23917.131060154567</v>
      </c>
      <c r="W198" s="46">
        <f t="shared" si="740"/>
        <v>23917.131060154567</v>
      </c>
      <c r="X198" s="45">
        <f t="shared" si="740"/>
        <v>24499.573013777393</v>
      </c>
      <c r="Y198" s="45">
        <f t="shared" si="740"/>
        <v>23271.115828401405</v>
      </c>
      <c r="Z198" s="45">
        <f t="shared" si="740"/>
        <v>22158.535018857798</v>
      </c>
      <c r="AA198" s="45">
        <f t="shared" si="740"/>
        <v>23122.635863386888</v>
      </c>
      <c r="AB198" s="46">
        <f t="shared" si="740"/>
        <v>23122.635863386888</v>
      </c>
      <c r="AC198" s="45">
        <f t="shared" ref="AC198:AG198" si="741">+SUM(AC189:AC197)</f>
        <v>23698.52155659689</v>
      </c>
      <c r="AD198" s="45">
        <f t="shared" si="741"/>
        <v>22344.862768260497</v>
      </c>
      <c r="AE198" s="45">
        <f t="shared" si="741"/>
        <v>21115.338796855784</v>
      </c>
      <c r="AF198" s="45">
        <f t="shared" si="741"/>
        <v>22094.819262072524</v>
      </c>
      <c r="AG198" s="46">
        <f t="shared" si="741"/>
        <v>22094.819262072524</v>
      </c>
      <c r="AH198" s="45">
        <f t="shared" ref="AH198:AL198" si="742">+SUM(AH189:AH197)</f>
        <v>22456.073488213915</v>
      </c>
      <c r="AI198" s="45">
        <f t="shared" si="742"/>
        <v>20747.252564296807</v>
      </c>
      <c r="AJ198" s="45">
        <f t="shared" si="742"/>
        <v>19194.121049102116</v>
      </c>
      <c r="AK198" s="45">
        <f t="shared" si="742"/>
        <v>19973.186934937221</v>
      </c>
      <c r="AL198" s="46">
        <f t="shared" si="742"/>
        <v>19973.186934937221</v>
      </c>
    </row>
    <row r="199" spans="1:38" ht="18" x14ac:dyDescent="0.4">
      <c r="A199" s="457"/>
      <c r="B199" s="511" t="s">
        <v>7</v>
      </c>
      <c r="C199" s="512"/>
      <c r="D199" s="36" t="s">
        <v>123</v>
      </c>
      <c r="E199" s="36" t="s">
        <v>280</v>
      </c>
      <c r="F199" s="36" t="s">
        <v>284</v>
      </c>
      <c r="G199" s="36" t="s">
        <v>294</v>
      </c>
      <c r="H199" s="104" t="s">
        <v>295</v>
      </c>
      <c r="I199" s="36" t="s">
        <v>296</v>
      </c>
      <c r="J199" s="36" t="s">
        <v>297</v>
      </c>
      <c r="K199" s="36" t="s">
        <v>298</v>
      </c>
      <c r="L199" s="34" t="s">
        <v>141</v>
      </c>
      <c r="M199" s="107" t="s">
        <v>142</v>
      </c>
      <c r="N199" s="34" t="s">
        <v>143</v>
      </c>
      <c r="O199" s="34" t="s">
        <v>144</v>
      </c>
      <c r="P199" s="34" t="s">
        <v>145</v>
      </c>
      <c r="Q199" s="34" t="s">
        <v>146</v>
      </c>
      <c r="R199" s="107" t="s">
        <v>147</v>
      </c>
      <c r="S199" s="34" t="s">
        <v>148</v>
      </c>
      <c r="T199" s="34" t="s">
        <v>149</v>
      </c>
      <c r="U199" s="34" t="s">
        <v>150</v>
      </c>
      <c r="V199" s="34" t="s">
        <v>151</v>
      </c>
      <c r="W199" s="107" t="s">
        <v>152</v>
      </c>
      <c r="X199" s="34" t="s">
        <v>153</v>
      </c>
      <c r="Y199" s="34" t="s">
        <v>154</v>
      </c>
      <c r="Z199" s="34" t="s">
        <v>155</v>
      </c>
      <c r="AA199" s="34" t="s">
        <v>156</v>
      </c>
      <c r="AB199" s="107" t="s">
        <v>157</v>
      </c>
      <c r="AC199" s="34" t="s">
        <v>289</v>
      </c>
      <c r="AD199" s="34" t="s">
        <v>290</v>
      </c>
      <c r="AE199" s="34" t="s">
        <v>291</v>
      </c>
      <c r="AF199" s="34" t="s">
        <v>292</v>
      </c>
      <c r="AG199" s="107" t="s">
        <v>293</v>
      </c>
      <c r="AH199" s="34" t="s">
        <v>322</v>
      </c>
      <c r="AI199" s="34" t="s">
        <v>323</v>
      </c>
      <c r="AJ199" s="34" t="s">
        <v>324</v>
      </c>
      <c r="AK199" s="34" t="s">
        <v>325</v>
      </c>
      <c r="AL199" s="107" t="s">
        <v>326</v>
      </c>
    </row>
    <row r="200" spans="1:38" s="47" customFormat="1" outlineLevel="1" x14ac:dyDescent="0.25">
      <c r="A200" s="457"/>
      <c r="B200" s="513" t="s">
        <v>38</v>
      </c>
      <c r="C200" s="514"/>
      <c r="D200" s="99">
        <v>1100.5</v>
      </c>
      <c r="E200" s="99">
        <v>1096.7</v>
      </c>
      <c r="F200" s="99">
        <v>1145.4000000000001</v>
      </c>
      <c r="G200" s="99">
        <v>1189.7</v>
      </c>
      <c r="H200" s="100">
        <f>G200</f>
        <v>1189.7</v>
      </c>
      <c r="I200" s="99">
        <v>1085.5999999999999</v>
      </c>
      <c r="J200" s="99">
        <v>997.7</v>
      </c>
      <c r="K200" s="99">
        <v>860.8</v>
      </c>
      <c r="L200" s="99">
        <f>(L21/L229)</f>
        <v>1120.7215161634545</v>
      </c>
      <c r="M200" s="100">
        <f>L200</f>
        <v>1120.7215161634545</v>
      </c>
      <c r="N200" s="99">
        <f>(N21/N229)</f>
        <v>1149.4249540764238</v>
      </c>
      <c r="O200" s="99">
        <f>(O21/O229)</f>
        <v>987.77986842491191</v>
      </c>
      <c r="P200" s="99">
        <f>(P21/P229)</f>
        <v>873.99603373478942</v>
      </c>
      <c r="Q200" s="99">
        <f>(Q21/Q229)</f>
        <v>1083.0936064484963</v>
      </c>
      <c r="R200" s="100">
        <f>Q200</f>
        <v>1083.0936064484963</v>
      </c>
      <c r="S200" s="99">
        <f>(S21/S229)</f>
        <v>1108.5009792572573</v>
      </c>
      <c r="T200" s="99">
        <f>(T21/T229)</f>
        <v>959.20160890075203</v>
      </c>
      <c r="U200" s="99">
        <f>(U21/U229)</f>
        <v>822.66301884494931</v>
      </c>
      <c r="V200" s="99">
        <f>(V21/V229)</f>
        <v>1131.8752509439341</v>
      </c>
      <c r="W200" s="100">
        <f>V200</f>
        <v>1131.8752509439341</v>
      </c>
      <c r="X200" s="99">
        <f>(X21/X229)</f>
        <v>1123.1288290293242</v>
      </c>
      <c r="Y200" s="99">
        <f>(Y21/Y229)</f>
        <v>975.78969210657885</v>
      </c>
      <c r="Z200" s="99">
        <f>(Z21/Z229)</f>
        <v>858.14499030285515</v>
      </c>
      <c r="AA200" s="99">
        <f>(AA21/AA229)</f>
        <v>1167.7784308407929</v>
      </c>
      <c r="AB200" s="100">
        <f>AA200</f>
        <v>1167.7784308407929</v>
      </c>
      <c r="AC200" s="99">
        <f>(AC21/AC229)</f>
        <v>1157.8440557619826</v>
      </c>
      <c r="AD200" s="99">
        <f>(AD21/AD229)</f>
        <v>1002.8939007560729</v>
      </c>
      <c r="AE200" s="99">
        <f>(AE21/AE229)</f>
        <v>872.42777347047706</v>
      </c>
      <c r="AF200" s="99">
        <f>(AF21/AF229)</f>
        <v>1205.6435652232822</v>
      </c>
      <c r="AG200" s="100">
        <f>AF200</f>
        <v>1205.6435652232822</v>
      </c>
      <c r="AH200" s="99">
        <f>(AH21/AH229)</f>
        <v>1197.2558552285077</v>
      </c>
      <c r="AI200" s="99">
        <f>(AI21/AI229)</f>
        <v>1032.042077636276</v>
      </c>
      <c r="AJ200" s="99">
        <f>(AJ21/AJ229)</f>
        <v>901.63234586001545</v>
      </c>
      <c r="AK200" s="99">
        <f>(AK21/AK229)</f>
        <v>1249.6714142760964</v>
      </c>
      <c r="AL200" s="100">
        <f>AK200</f>
        <v>1249.6714142760964</v>
      </c>
    </row>
    <row r="201" spans="1:38" outlineLevel="1" x14ac:dyDescent="0.25">
      <c r="A201" s="457"/>
      <c r="B201" s="513" t="s">
        <v>226</v>
      </c>
      <c r="C201" s="514"/>
      <c r="D201" s="99">
        <v>2564</v>
      </c>
      <c r="E201" s="99">
        <v>2569.3000000000002</v>
      </c>
      <c r="F201" s="99">
        <v>3238.7</v>
      </c>
      <c r="G201" s="99">
        <v>1753.7</v>
      </c>
      <c r="H201" s="100">
        <f>G201</f>
        <v>1753.7</v>
      </c>
      <c r="I201" s="99">
        <v>1637.8</v>
      </c>
      <c r="J201" s="99">
        <v>1539</v>
      </c>
      <c r="K201" s="99">
        <v>1511.7</v>
      </c>
      <c r="L201" s="71">
        <f>((G23-G22-G20)/(F23-F22-F20)*K201)</f>
        <v>1512.3442420648898</v>
      </c>
      <c r="M201" s="100">
        <f>L201</f>
        <v>1512.3442420648898</v>
      </c>
      <c r="N201" s="71">
        <f>((I23-I22-I20)/(G23-G22-G20)*M201)</f>
        <v>1566.8807333839802</v>
      </c>
      <c r="O201" s="71">
        <f t="shared" ref="O201:Q201" si="743">((J23-J22-J20)/(I23-I22-I20)*N201)</f>
        <v>1462.3174452000228</v>
      </c>
      <c r="P201" s="71">
        <f t="shared" si="743"/>
        <v>1275.9634252997093</v>
      </c>
      <c r="Q201" s="71">
        <f t="shared" si="743"/>
        <v>1641.8654837568708</v>
      </c>
      <c r="R201" s="100">
        <f>Q201</f>
        <v>1641.8654837568708</v>
      </c>
      <c r="S201" s="71">
        <f>((N23-N22-N20)/(L23-L22-L20)*R201)</f>
        <v>1991.8468169832411</v>
      </c>
      <c r="T201" s="71">
        <f t="shared" ref="T201" si="744">((O23-O22-O20)/(N23-N22-N20)*S201)</f>
        <v>1654.1142709653036</v>
      </c>
      <c r="U201" s="71">
        <f t="shared" ref="U201" si="745">((P23-P22-P20)/(O23-O22-O20)*T201)</f>
        <v>1325.4837208245465</v>
      </c>
      <c r="V201" s="71">
        <f t="shared" ref="V201" si="746">((Q23-Q22-Q20)/(P23-P22-P20)*U201)</f>
        <v>1800.7670950887084</v>
      </c>
      <c r="W201" s="100">
        <f>V201</f>
        <v>1800.7670950887084</v>
      </c>
      <c r="X201" s="71">
        <f>((S23-S22-S20)/(Q23-Q22-Q20)*W201)</f>
        <v>1893.5181819952402</v>
      </c>
      <c r="Y201" s="71">
        <f t="shared" ref="Y201" si="747">((T23-T22-T20)/(S23-S22-S20)*X201)</f>
        <v>1551.4190690375046</v>
      </c>
      <c r="Z201" s="71">
        <f t="shared" ref="Z201" si="748">((U23-U22-U20)/(T23-T22-T20)*Y201)</f>
        <v>1239.8133899989307</v>
      </c>
      <c r="AA201" s="71">
        <f t="shared" ref="AA201" si="749">((V23-V22-V20)/(U23-U22-U20)*Z201)</f>
        <v>1889.5843543987116</v>
      </c>
      <c r="AB201" s="100">
        <f>AA201</f>
        <v>1889.5843543987116</v>
      </c>
      <c r="AC201" s="71">
        <f>((X23-X22-X20)/(V23-V22-V20)*AB201)</f>
        <v>1986.7956824217854</v>
      </c>
      <c r="AD201" s="71">
        <f t="shared" ref="AD201" si="750">((Y23-Y22-Y20)/(X23-X22-X20)*AC201)</f>
        <v>1632.0240750159114</v>
      </c>
      <c r="AE201" s="71">
        <f t="shared" ref="AE201" si="751">((Z23-Z22-Z20)/(Y23-Y22-Y20)*AD201)</f>
        <v>1306.8751536071411</v>
      </c>
      <c r="AF201" s="71">
        <f t="shared" ref="AF201" si="752">((AA23-AA22-AA20)/(Z23-Z22-Z20)*AE201)</f>
        <v>1995.3988586438134</v>
      </c>
      <c r="AG201" s="100">
        <f>AF201</f>
        <v>1995.3988586438134</v>
      </c>
      <c r="AH201" s="71">
        <f>((AC23-AC22-AC20)/(AA23-AA22-AA20)*AG201)</f>
        <v>2097.0911055688275</v>
      </c>
      <c r="AI201" s="71">
        <f t="shared" ref="AI201" si="753">((AD23-AD22-AD20)/(AC23-AC22-AC20)*AH201)</f>
        <v>1721.3469597073681</v>
      </c>
      <c r="AJ201" s="71">
        <f t="shared" ref="AJ201" si="754">((AE23-AE22-AE20)/(AD23-AD22-AD20)*AI201)</f>
        <v>1381.5477577516117</v>
      </c>
      <c r="AK201" s="71">
        <f t="shared" ref="AK201" si="755">((AF23-AF22-AF20)/(AE23-AE22-AE20)*AJ201)</f>
        <v>2113.9983347818988</v>
      </c>
      <c r="AL201" s="100">
        <f>AK201</f>
        <v>2113.9983347818988</v>
      </c>
    </row>
    <row r="202" spans="1:38" outlineLevel="1" x14ac:dyDescent="0.25">
      <c r="A202" s="457"/>
      <c r="B202" s="346" t="s">
        <v>309</v>
      </c>
      <c r="C202" s="347"/>
      <c r="D202" s="99">
        <v>0</v>
      </c>
      <c r="E202" s="99">
        <v>0</v>
      </c>
      <c r="F202" s="99">
        <v>0</v>
      </c>
      <c r="G202" s="99">
        <v>664.6</v>
      </c>
      <c r="H202" s="100">
        <f t="shared" ref="H202:H212" si="756">G202</f>
        <v>664.6</v>
      </c>
      <c r="I202" s="99">
        <v>578.5</v>
      </c>
      <c r="J202" s="99">
        <v>596.1</v>
      </c>
      <c r="K202" s="99">
        <v>652.1</v>
      </c>
      <c r="L202" s="71">
        <f>K202</f>
        <v>652.1</v>
      </c>
      <c r="M202" s="100">
        <f t="shared" ref="M202:M204" si="757">L202</f>
        <v>652.1</v>
      </c>
      <c r="N202" s="71">
        <f>L202</f>
        <v>652.1</v>
      </c>
      <c r="O202" s="71">
        <f>N202</f>
        <v>652.1</v>
      </c>
      <c r="P202" s="71">
        <f t="shared" ref="P202:R212" si="758">O202</f>
        <v>652.1</v>
      </c>
      <c r="Q202" s="71">
        <f t="shared" si="758"/>
        <v>652.1</v>
      </c>
      <c r="R202" s="100">
        <f t="shared" si="758"/>
        <v>652.1</v>
      </c>
      <c r="S202" s="71">
        <f>Q202</f>
        <v>652.1</v>
      </c>
      <c r="T202" s="71">
        <f>S202</f>
        <v>652.1</v>
      </c>
      <c r="U202" s="71">
        <f t="shared" ref="U202:V202" si="759">T202</f>
        <v>652.1</v>
      </c>
      <c r="V202" s="71">
        <f t="shared" si="759"/>
        <v>652.1</v>
      </c>
      <c r="W202" s="100">
        <f t="shared" ref="W202:W212" si="760">V202</f>
        <v>652.1</v>
      </c>
      <c r="X202" s="71">
        <f>V202</f>
        <v>652.1</v>
      </c>
      <c r="Y202" s="71">
        <f>X202</f>
        <v>652.1</v>
      </c>
      <c r="Z202" s="71">
        <f t="shared" ref="Z202:AA202" si="761">Y202</f>
        <v>652.1</v>
      </c>
      <c r="AA202" s="71">
        <f t="shared" si="761"/>
        <v>652.1</v>
      </c>
      <c r="AB202" s="100">
        <f t="shared" ref="AB202:AB212" si="762">AA202</f>
        <v>652.1</v>
      </c>
      <c r="AC202" s="71">
        <f>AA202</f>
        <v>652.1</v>
      </c>
      <c r="AD202" s="71">
        <f>AC202</f>
        <v>652.1</v>
      </c>
      <c r="AE202" s="71">
        <f t="shared" ref="AE202:AF202" si="763">AD202</f>
        <v>652.1</v>
      </c>
      <c r="AF202" s="71">
        <f t="shared" si="763"/>
        <v>652.1</v>
      </c>
      <c r="AG202" s="100">
        <f t="shared" ref="AG202:AG212" si="764">AF202</f>
        <v>652.1</v>
      </c>
      <c r="AH202" s="71">
        <f>AF202</f>
        <v>652.1</v>
      </c>
      <c r="AI202" s="71">
        <f>AH202</f>
        <v>652.1</v>
      </c>
      <c r="AJ202" s="71">
        <f t="shared" ref="AJ202:AK202" si="765">AI202</f>
        <v>652.1</v>
      </c>
      <c r="AK202" s="71">
        <f t="shared" si="765"/>
        <v>652.1</v>
      </c>
      <c r="AL202" s="100">
        <f t="shared" ref="AL202:AL212" si="766">AK202</f>
        <v>652.1</v>
      </c>
    </row>
    <row r="203" spans="1:38" outlineLevel="1" x14ac:dyDescent="0.25">
      <c r="A203" s="457"/>
      <c r="B203" s="346" t="s">
        <v>310</v>
      </c>
      <c r="C203" s="347"/>
      <c r="D203" s="99">
        <v>0</v>
      </c>
      <c r="E203" s="99">
        <v>0</v>
      </c>
      <c r="F203" s="99">
        <v>0</v>
      </c>
      <c r="G203" s="99">
        <v>1291.7</v>
      </c>
      <c r="H203" s="100">
        <f t="shared" si="756"/>
        <v>1291.7</v>
      </c>
      <c r="I203" s="99">
        <v>1414</v>
      </c>
      <c r="J203" s="99">
        <v>86.7</v>
      </c>
      <c r="K203" s="99">
        <v>90.9</v>
      </c>
      <c r="L203" s="71">
        <f t="shared" ref="L203" si="767">K203</f>
        <v>90.9</v>
      </c>
      <c r="M203" s="100">
        <f t="shared" si="757"/>
        <v>90.9</v>
      </c>
      <c r="N203" s="71">
        <f t="shared" ref="N203" si="768">L203</f>
        <v>90.9</v>
      </c>
      <c r="O203" s="71">
        <f t="shared" ref="O203:Q203" si="769">N203</f>
        <v>90.9</v>
      </c>
      <c r="P203" s="71">
        <f t="shared" si="769"/>
        <v>90.9</v>
      </c>
      <c r="Q203" s="71">
        <f t="shared" si="769"/>
        <v>90.9</v>
      </c>
      <c r="R203" s="100">
        <f t="shared" si="758"/>
        <v>90.9</v>
      </c>
      <c r="S203" s="71">
        <f t="shared" ref="S203" si="770">Q203</f>
        <v>90.9</v>
      </c>
      <c r="T203" s="71">
        <f t="shared" ref="T203:V203" si="771">S203</f>
        <v>90.9</v>
      </c>
      <c r="U203" s="71">
        <f t="shared" si="771"/>
        <v>90.9</v>
      </c>
      <c r="V203" s="71">
        <f t="shared" si="771"/>
        <v>90.9</v>
      </c>
      <c r="W203" s="100">
        <f t="shared" si="760"/>
        <v>90.9</v>
      </c>
      <c r="X203" s="71">
        <f t="shared" ref="X203" si="772">V203</f>
        <v>90.9</v>
      </c>
      <c r="Y203" s="71">
        <f t="shared" ref="Y203:AA203" si="773">X203</f>
        <v>90.9</v>
      </c>
      <c r="Z203" s="71">
        <f t="shared" si="773"/>
        <v>90.9</v>
      </c>
      <c r="AA203" s="71">
        <f t="shared" si="773"/>
        <v>90.9</v>
      </c>
      <c r="AB203" s="100">
        <f t="shared" si="762"/>
        <v>90.9</v>
      </c>
      <c r="AC203" s="71">
        <f t="shared" ref="AC203" si="774">AA203</f>
        <v>90.9</v>
      </c>
      <c r="AD203" s="71">
        <f t="shared" ref="AD203:AF203" si="775">AC203</f>
        <v>90.9</v>
      </c>
      <c r="AE203" s="71">
        <f t="shared" si="775"/>
        <v>90.9</v>
      </c>
      <c r="AF203" s="71">
        <f t="shared" si="775"/>
        <v>90.9</v>
      </c>
      <c r="AG203" s="100">
        <f t="shared" si="764"/>
        <v>90.9</v>
      </c>
      <c r="AH203" s="71">
        <f t="shared" ref="AH203" si="776">AF203</f>
        <v>90.9</v>
      </c>
      <c r="AI203" s="71">
        <f t="shared" ref="AI203:AK203" si="777">AH203</f>
        <v>90.9</v>
      </c>
      <c r="AJ203" s="71">
        <f t="shared" si="777"/>
        <v>90.9</v>
      </c>
      <c r="AK203" s="71">
        <f t="shared" si="777"/>
        <v>90.9</v>
      </c>
      <c r="AL203" s="100">
        <f t="shared" si="766"/>
        <v>90.9</v>
      </c>
    </row>
    <row r="204" spans="1:38" outlineLevel="1" x14ac:dyDescent="0.25">
      <c r="A204" s="457"/>
      <c r="B204" s="346" t="s">
        <v>311</v>
      </c>
      <c r="C204" s="347"/>
      <c r="D204" s="99">
        <v>0</v>
      </c>
      <c r="E204" s="99">
        <v>0</v>
      </c>
      <c r="F204" s="99">
        <v>0</v>
      </c>
      <c r="G204" s="99">
        <v>0</v>
      </c>
      <c r="H204" s="100">
        <f t="shared" si="756"/>
        <v>0</v>
      </c>
      <c r="I204" s="99">
        <v>1268.9000000000001</v>
      </c>
      <c r="J204" s="99">
        <v>1253.5</v>
      </c>
      <c r="K204" s="99">
        <v>1237.0999999999999</v>
      </c>
      <c r="L204" s="71">
        <f>K204*0.99</f>
        <v>1224.7289999999998</v>
      </c>
      <c r="M204" s="100">
        <f t="shared" si="757"/>
        <v>1224.7289999999998</v>
      </c>
      <c r="N204" s="71">
        <f>L204*0.99</f>
        <v>1212.4817099999998</v>
      </c>
      <c r="O204" s="71">
        <f>N204*0.99</f>
        <v>1200.3568928999998</v>
      </c>
      <c r="P204" s="71">
        <f>O204*0.99</f>
        <v>1188.3533239709998</v>
      </c>
      <c r="Q204" s="71">
        <f>P204*0.99</f>
        <v>1176.4697907312898</v>
      </c>
      <c r="R204" s="100">
        <f t="shared" si="758"/>
        <v>1176.4697907312898</v>
      </c>
      <c r="S204" s="71">
        <f>Q204*0.99</f>
        <v>1164.7050928239769</v>
      </c>
      <c r="T204" s="71">
        <f>S204*0.99</f>
        <v>1153.058041895737</v>
      </c>
      <c r="U204" s="71">
        <f>T204*0.99</f>
        <v>1141.5274614767795</v>
      </c>
      <c r="V204" s="71">
        <f>U204*0.99</f>
        <v>1130.1121868620116</v>
      </c>
      <c r="W204" s="100">
        <f t="shared" si="760"/>
        <v>1130.1121868620116</v>
      </c>
      <c r="X204" s="71">
        <f>V204*0.99</f>
        <v>1118.8110649933915</v>
      </c>
      <c r="Y204" s="71">
        <f>X204*0.99</f>
        <v>1107.6229543434576</v>
      </c>
      <c r="Z204" s="71">
        <f>Y204*0.99</f>
        <v>1096.546724800023</v>
      </c>
      <c r="AA204" s="71">
        <f>Z204*0.99</f>
        <v>1085.5812575520226</v>
      </c>
      <c r="AB204" s="100">
        <f t="shared" si="762"/>
        <v>1085.5812575520226</v>
      </c>
      <c r="AC204" s="71">
        <f>AA204*0.99</f>
        <v>1074.7254449765023</v>
      </c>
      <c r="AD204" s="71">
        <f>AC204*0.99</f>
        <v>1063.9781905267373</v>
      </c>
      <c r="AE204" s="71">
        <f>AD204*0.99</f>
        <v>1053.3384086214699</v>
      </c>
      <c r="AF204" s="71">
        <f>AE204*0.99</f>
        <v>1042.8050245352551</v>
      </c>
      <c r="AG204" s="100">
        <f t="shared" si="764"/>
        <v>1042.8050245352551</v>
      </c>
      <c r="AH204" s="71">
        <f>AF204*0.99</f>
        <v>1032.3769742899026</v>
      </c>
      <c r="AI204" s="71">
        <f>AH204*0.99</f>
        <v>1022.0532045470036</v>
      </c>
      <c r="AJ204" s="71">
        <f>AI204*0.99</f>
        <v>1011.8326725015336</v>
      </c>
      <c r="AK204" s="71">
        <f>AJ204*0.99</f>
        <v>1001.7143457765183</v>
      </c>
      <c r="AL204" s="100">
        <f t="shared" si="766"/>
        <v>1001.7143457765183</v>
      </c>
    </row>
    <row r="205" spans="1:38" outlineLevel="1" x14ac:dyDescent="0.25">
      <c r="A205" s="457"/>
      <c r="B205" s="433" t="s">
        <v>227</v>
      </c>
      <c r="C205" s="434"/>
      <c r="D205" s="99">
        <v>1554.2</v>
      </c>
      <c r="E205" s="99">
        <v>1311.4</v>
      </c>
      <c r="F205" s="99">
        <v>1300.2</v>
      </c>
      <c r="G205" s="99">
        <v>1269</v>
      </c>
      <c r="H205" s="100">
        <f t="shared" si="756"/>
        <v>1269</v>
      </c>
      <c r="I205" s="99">
        <v>1694.1</v>
      </c>
      <c r="J205" s="99">
        <v>1436.3</v>
      </c>
      <c r="K205" s="99">
        <v>1463.3</v>
      </c>
      <c r="L205" s="71">
        <f>K205*0.99</f>
        <v>1448.6669999999999</v>
      </c>
      <c r="M205" s="100">
        <f t="shared" ref="M205:M212" si="778">L205</f>
        <v>1448.6669999999999</v>
      </c>
      <c r="N205" s="71">
        <f>L205*1.3</f>
        <v>1883.2671</v>
      </c>
      <c r="O205" s="71">
        <f>N205*0.85</f>
        <v>1600.7770350000001</v>
      </c>
      <c r="P205" s="71">
        <f>O205*0.99</f>
        <v>1584.76926465</v>
      </c>
      <c r="Q205" s="71">
        <f>P205*0.99</f>
        <v>1568.9215720034999</v>
      </c>
      <c r="R205" s="100">
        <f t="shared" si="758"/>
        <v>1568.9215720034999</v>
      </c>
      <c r="S205" s="71">
        <f>Q205*1.3</f>
        <v>2039.59804360455</v>
      </c>
      <c r="T205" s="71">
        <f>S205*0.85</f>
        <v>1733.6583370638675</v>
      </c>
      <c r="U205" s="71">
        <f>T205*0.99</f>
        <v>1716.3217536932289</v>
      </c>
      <c r="V205" s="71">
        <f>U205*0.99</f>
        <v>1699.1585361562966</v>
      </c>
      <c r="W205" s="100">
        <f t="shared" si="760"/>
        <v>1699.1585361562966</v>
      </c>
      <c r="X205" s="71">
        <f>V205*1.3</f>
        <v>2208.9060970031856</v>
      </c>
      <c r="Y205" s="71">
        <f>X205*0.85</f>
        <v>1877.5701824527077</v>
      </c>
      <c r="Z205" s="71">
        <f>Y205*0.99</f>
        <v>1858.7944806281807</v>
      </c>
      <c r="AA205" s="71">
        <f>Z205*0.99</f>
        <v>1840.206535821899</v>
      </c>
      <c r="AB205" s="100">
        <f t="shared" si="762"/>
        <v>1840.206535821899</v>
      </c>
      <c r="AC205" s="71">
        <f>AA205*1.3</f>
        <v>2392.2684965684689</v>
      </c>
      <c r="AD205" s="71">
        <f>AC205*0.85</f>
        <v>2033.4282220831985</v>
      </c>
      <c r="AE205" s="71">
        <f>AD205*0.99</f>
        <v>2013.0939398623666</v>
      </c>
      <c r="AF205" s="71">
        <f>AE205*0.99</f>
        <v>1992.9630004637429</v>
      </c>
      <c r="AG205" s="100">
        <f t="shared" si="764"/>
        <v>1992.9630004637429</v>
      </c>
      <c r="AH205" s="71">
        <f>AF205*1.3</f>
        <v>2590.851900602866</v>
      </c>
      <c r="AI205" s="71">
        <f>AH205*0.85</f>
        <v>2202.2241155124361</v>
      </c>
      <c r="AJ205" s="71">
        <f>AI205*0.99</f>
        <v>2180.2018743573117</v>
      </c>
      <c r="AK205" s="71">
        <f>AJ205*0.99</f>
        <v>2158.3998556137385</v>
      </c>
      <c r="AL205" s="100">
        <f t="shared" si="766"/>
        <v>2158.3998556137385</v>
      </c>
    </row>
    <row r="206" spans="1:38" outlineLevel="1" x14ac:dyDescent="0.25">
      <c r="A206" s="457"/>
      <c r="B206" s="433" t="s">
        <v>315</v>
      </c>
      <c r="C206" s="454"/>
      <c r="D206" s="99">
        <v>0</v>
      </c>
      <c r="E206" s="99">
        <f>75+0</f>
        <v>75</v>
      </c>
      <c r="F206" s="99">
        <v>0</v>
      </c>
      <c r="G206" s="99">
        <v>0</v>
      </c>
      <c r="H206" s="100">
        <f t="shared" si="756"/>
        <v>0</v>
      </c>
      <c r="I206" s="99">
        <f>497.9+498.7</f>
        <v>996.59999999999991</v>
      </c>
      <c r="J206" s="99">
        <f>1107.1+1249.4</f>
        <v>2356.5</v>
      </c>
      <c r="K206" s="99">
        <f>936.5+1249.6</f>
        <v>2186.1</v>
      </c>
      <c r="L206" s="71">
        <f>K206-437</f>
        <v>1749.1</v>
      </c>
      <c r="M206" s="100">
        <f t="shared" si="778"/>
        <v>1749.1</v>
      </c>
      <c r="N206" s="71">
        <f>L206-437</f>
        <v>1312.1</v>
      </c>
      <c r="O206" s="71">
        <f>N206-437</f>
        <v>875.09999999999991</v>
      </c>
      <c r="P206" s="71">
        <f>O206-437</f>
        <v>438.09999999999991</v>
      </c>
      <c r="Q206" s="71">
        <v>1000</v>
      </c>
      <c r="R206" s="100">
        <f t="shared" si="758"/>
        <v>1000</v>
      </c>
      <c r="S206" s="71">
        <v>750</v>
      </c>
      <c r="T206" s="71">
        <v>500</v>
      </c>
      <c r="U206" s="71">
        <v>250</v>
      </c>
      <c r="V206" s="71">
        <v>1000</v>
      </c>
      <c r="W206" s="100">
        <f t="shared" si="760"/>
        <v>1000</v>
      </c>
      <c r="X206" s="71">
        <v>750</v>
      </c>
      <c r="Y206" s="71">
        <v>500</v>
      </c>
      <c r="Z206" s="71">
        <v>250</v>
      </c>
      <c r="AA206" s="71">
        <v>1543</v>
      </c>
      <c r="AB206" s="100">
        <f t="shared" si="762"/>
        <v>1543</v>
      </c>
      <c r="AC206" s="71">
        <f>1543-385.75</f>
        <v>1157.25</v>
      </c>
      <c r="AD206" s="71">
        <f>AC206-385.75</f>
        <v>771.5</v>
      </c>
      <c r="AE206" s="71">
        <f>AD206-385.75</f>
        <v>385.75</v>
      </c>
      <c r="AF206" s="71">
        <v>3000</v>
      </c>
      <c r="AG206" s="100">
        <f t="shared" si="764"/>
        <v>3000</v>
      </c>
      <c r="AH206" s="71">
        <f>AF206-750</f>
        <v>2250</v>
      </c>
      <c r="AI206" s="71">
        <f>AH206-750</f>
        <v>1500</v>
      </c>
      <c r="AJ206" s="71">
        <f>AI206-750</f>
        <v>750</v>
      </c>
      <c r="AK206" s="71">
        <v>2000</v>
      </c>
      <c r="AL206" s="100">
        <f t="shared" si="766"/>
        <v>2000</v>
      </c>
    </row>
    <row r="207" spans="1:38" ht="17.25" outlineLevel="1" x14ac:dyDescent="0.4">
      <c r="A207" s="457"/>
      <c r="B207" s="433" t="s">
        <v>308</v>
      </c>
      <c r="C207" s="454"/>
      <c r="D207" s="281">
        <v>208.8</v>
      </c>
      <c r="E207" s="281">
        <v>221</v>
      </c>
      <c r="F207" s="281">
        <v>211.5</v>
      </c>
      <c r="G207" s="281">
        <v>0</v>
      </c>
      <c r="H207" s="274">
        <f t="shared" si="756"/>
        <v>0</v>
      </c>
      <c r="I207" s="281">
        <v>0</v>
      </c>
      <c r="J207" s="281">
        <v>0</v>
      </c>
      <c r="K207" s="281">
        <v>0</v>
      </c>
      <c r="L207" s="69">
        <v>0</v>
      </c>
      <c r="M207" s="274">
        <f t="shared" si="778"/>
        <v>0</v>
      </c>
      <c r="N207" s="69">
        <v>0</v>
      </c>
      <c r="O207" s="69">
        <v>0</v>
      </c>
      <c r="P207" s="69">
        <v>0</v>
      </c>
      <c r="Q207" s="69">
        <v>0</v>
      </c>
      <c r="R207" s="274">
        <f t="shared" si="758"/>
        <v>0</v>
      </c>
      <c r="S207" s="69">
        <v>0</v>
      </c>
      <c r="T207" s="69">
        <v>0</v>
      </c>
      <c r="U207" s="69">
        <v>0</v>
      </c>
      <c r="V207" s="69">
        <v>0</v>
      </c>
      <c r="W207" s="274">
        <f t="shared" si="760"/>
        <v>0</v>
      </c>
      <c r="X207" s="69">
        <v>0</v>
      </c>
      <c r="Y207" s="69">
        <v>0</v>
      </c>
      <c r="Z207" s="69">
        <v>0</v>
      </c>
      <c r="AA207" s="69">
        <v>0</v>
      </c>
      <c r="AB207" s="274">
        <f t="shared" si="762"/>
        <v>0</v>
      </c>
      <c r="AC207" s="69">
        <v>0</v>
      </c>
      <c r="AD207" s="69">
        <v>0</v>
      </c>
      <c r="AE207" s="69">
        <v>0</v>
      </c>
      <c r="AF207" s="69">
        <v>0</v>
      </c>
      <c r="AG207" s="274">
        <f t="shared" si="764"/>
        <v>0</v>
      </c>
      <c r="AH207" s="69">
        <v>0</v>
      </c>
      <c r="AI207" s="69">
        <v>0</v>
      </c>
      <c r="AJ207" s="69">
        <v>0</v>
      </c>
      <c r="AK207" s="69">
        <v>0</v>
      </c>
      <c r="AL207" s="274">
        <f t="shared" si="766"/>
        <v>0</v>
      </c>
    </row>
    <row r="208" spans="1:38" outlineLevel="1" x14ac:dyDescent="0.25">
      <c r="A208" s="457"/>
      <c r="B208" s="455" t="s">
        <v>8</v>
      </c>
      <c r="C208" s="454"/>
      <c r="D208" s="98">
        <f t="shared" ref="D208:K208" si="779">SUM(D200:D207)</f>
        <v>5427.5</v>
      </c>
      <c r="E208" s="98">
        <f t="shared" si="779"/>
        <v>5273.4</v>
      </c>
      <c r="F208" s="98">
        <f t="shared" si="779"/>
        <v>5895.8</v>
      </c>
      <c r="G208" s="98">
        <f t="shared" si="779"/>
        <v>6168.7</v>
      </c>
      <c r="H208" s="275">
        <f t="shared" si="779"/>
        <v>6168.7</v>
      </c>
      <c r="I208" s="98">
        <f t="shared" si="779"/>
        <v>8675.5</v>
      </c>
      <c r="J208" s="98">
        <f t="shared" si="779"/>
        <v>8265.7999999999993</v>
      </c>
      <c r="K208" s="98">
        <f t="shared" si="779"/>
        <v>8002</v>
      </c>
      <c r="L208" s="98">
        <f t="shared" ref="L208:Q208" si="780">SUM(L200:L206)</f>
        <v>7798.5617582283448</v>
      </c>
      <c r="M208" s="275">
        <f t="shared" si="780"/>
        <v>7798.5617582283448</v>
      </c>
      <c r="N208" s="98">
        <f t="shared" si="780"/>
        <v>7867.1544974604039</v>
      </c>
      <c r="O208" s="98">
        <f t="shared" si="780"/>
        <v>6869.3312415249347</v>
      </c>
      <c r="P208" s="98">
        <f t="shared" si="780"/>
        <v>6104.1820476554985</v>
      </c>
      <c r="Q208" s="98">
        <f t="shared" si="780"/>
        <v>7213.3504529401571</v>
      </c>
      <c r="R208" s="275">
        <f t="shared" ref="R208:V208" si="781">SUM(R200:R206)</f>
        <v>7213.3504529401571</v>
      </c>
      <c r="S208" s="98">
        <f t="shared" si="781"/>
        <v>7797.6509326690257</v>
      </c>
      <c r="T208" s="98">
        <f t="shared" si="781"/>
        <v>6743.0322588256604</v>
      </c>
      <c r="U208" s="98">
        <f t="shared" si="781"/>
        <v>5998.9959548395036</v>
      </c>
      <c r="V208" s="98">
        <f t="shared" si="781"/>
        <v>7504.913069050951</v>
      </c>
      <c r="W208" s="275">
        <f t="shared" ref="W208:AA208" si="782">SUM(W200:W206)</f>
        <v>7504.913069050951</v>
      </c>
      <c r="X208" s="98">
        <f t="shared" si="782"/>
        <v>7837.3641730211421</v>
      </c>
      <c r="Y208" s="98">
        <f t="shared" si="782"/>
        <v>6755.401897940249</v>
      </c>
      <c r="Z208" s="98">
        <f t="shared" si="782"/>
        <v>6046.2995857299902</v>
      </c>
      <c r="AA208" s="98">
        <f t="shared" si="782"/>
        <v>8269.1505786134258</v>
      </c>
      <c r="AB208" s="275">
        <f t="shared" ref="AB208:AF208" si="783">SUM(AB200:AB206)</f>
        <v>8269.1505786134258</v>
      </c>
      <c r="AC208" s="98">
        <f t="shared" si="783"/>
        <v>8511.8836797287386</v>
      </c>
      <c r="AD208" s="98">
        <f t="shared" si="783"/>
        <v>7246.8243883819205</v>
      </c>
      <c r="AE208" s="98">
        <f t="shared" si="783"/>
        <v>6374.4852755614547</v>
      </c>
      <c r="AF208" s="98">
        <f t="shared" si="783"/>
        <v>9979.8104488660938</v>
      </c>
      <c r="AG208" s="275">
        <f t="shared" ref="AG208:AK208" si="784">SUM(AG200:AG206)</f>
        <v>9979.8104488660938</v>
      </c>
      <c r="AH208" s="98">
        <f t="shared" si="784"/>
        <v>9910.5758356901042</v>
      </c>
      <c r="AI208" s="98">
        <f t="shared" si="784"/>
        <v>8220.6663574030845</v>
      </c>
      <c r="AJ208" s="98">
        <f t="shared" si="784"/>
        <v>6968.2146504704724</v>
      </c>
      <c r="AK208" s="98">
        <f t="shared" si="784"/>
        <v>9266.7839504482508</v>
      </c>
      <c r="AL208" s="275">
        <f t="shared" ref="AL208" si="785">SUM(AL200:AL206)</f>
        <v>9266.7839504482508</v>
      </c>
    </row>
    <row r="209" spans="1:38" outlineLevel="1" x14ac:dyDescent="0.25">
      <c r="A209" s="457"/>
      <c r="B209" s="433" t="s">
        <v>228</v>
      </c>
      <c r="C209" s="454"/>
      <c r="D209" s="99">
        <v>9130.7000000000007</v>
      </c>
      <c r="E209" s="99">
        <v>9141.5</v>
      </c>
      <c r="F209" s="99">
        <v>11159.1</v>
      </c>
      <c r="G209" s="99">
        <v>11167</v>
      </c>
      <c r="H209" s="100">
        <f t="shared" si="756"/>
        <v>11167</v>
      </c>
      <c r="I209" s="99">
        <v>10653.2</v>
      </c>
      <c r="J209" s="99">
        <v>11658.7</v>
      </c>
      <c r="K209" s="99">
        <v>14645.6</v>
      </c>
      <c r="L209" s="71">
        <f>K209</f>
        <v>14645.6</v>
      </c>
      <c r="M209" s="100">
        <f t="shared" si="778"/>
        <v>14645.6</v>
      </c>
      <c r="N209" s="71">
        <f>L209</f>
        <v>14645.6</v>
      </c>
      <c r="O209" s="71">
        <f>N209</f>
        <v>14645.6</v>
      </c>
      <c r="P209" s="71">
        <f>O209</f>
        <v>14645.6</v>
      </c>
      <c r="Q209" s="71">
        <f>P209-1000</f>
        <v>13645.6</v>
      </c>
      <c r="R209" s="100">
        <f t="shared" si="758"/>
        <v>13645.6</v>
      </c>
      <c r="S209" s="71">
        <f>Q209</f>
        <v>13645.6</v>
      </c>
      <c r="T209" s="71">
        <f>S209</f>
        <v>13645.6</v>
      </c>
      <c r="U209" s="71">
        <f t="shared" ref="U209" si="786">T209</f>
        <v>13645.6</v>
      </c>
      <c r="V209" s="71">
        <f>U209-1000</f>
        <v>12645.6</v>
      </c>
      <c r="W209" s="100">
        <f t="shared" si="760"/>
        <v>12645.6</v>
      </c>
      <c r="X209" s="71">
        <f>V209</f>
        <v>12645.6</v>
      </c>
      <c r="Y209" s="71">
        <f>X209</f>
        <v>12645.6</v>
      </c>
      <c r="Z209" s="71">
        <f t="shared" ref="Z209" si="787">Y209</f>
        <v>12645.6</v>
      </c>
      <c r="AA209" s="71">
        <f>Z209-1543</f>
        <v>11102.6</v>
      </c>
      <c r="AB209" s="100">
        <f t="shared" si="762"/>
        <v>11102.6</v>
      </c>
      <c r="AC209" s="71">
        <f>AA209</f>
        <v>11102.6</v>
      </c>
      <c r="AD209" s="71">
        <f>AC209</f>
        <v>11102.6</v>
      </c>
      <c r="AE209" s="71">
        <f t="shared" ref="AE209" si="788">AD209</f>
        <v>11102.6</v>
      </c>
      <c r="AF209" s="71">
        <f>AE209-3000</f>
        <v>8102.6</v>
      </c>
      <c r="AG209" s="100">
        <f t="shared" si="764"/>
        <v>8102.6</v>
      </c>
      <c r="AH209" s="71">
        <f>AF209</f>
        <v>8102.6</v>
      </c>
      <c r="AI209" s="71">
        <f>AH209</f>
        <v>8102.6</v>
      </c>
      <c r="AJ209" s="71">
        <f t="shared" ref="AJ209" si="789">AI209</f>
        <v>8102.6</v>
      </c>
      <c r="AK209" s="71">
        <f>AJ209-2000</f>
        <v>6102.6</v>
      </c>
      <c r="AL209" s="100">
        <f t="shared" si="766"/>
        <v>6102.6</v>
      </c>
    </row>
    <row r="210" spans="1:38" outlineLevel="1" x14ac:dyDescent="0.25">
      <c r="A210" s="457"/>
      <c r="B210" s="346" t="s">
        <v>316</v>
      </c>
      <c r="C210" s="261"/>
      <c r="D210" s="99">
        <v>0</v>
      </c>
      <c r="E210" s="99">
        <v>0</v>
      </c>
      <c r="F210" s="99">
        <v>0</v>
      </c>
      <c r="G210" s="99">
        <v>0</v>
      </c>
      <c r="H210" s="100">
        <f t="shared" si="756"/>
        <v>0</v>
      </c>
      <c r="I210" s="99">
        <v>7711.7</v>
      </c>
      <c r="J210" s="99">
        <v>7650.4</v>
      </c>
      <c r="K210" s="99">
        <v>7653.6</v>
      </c>
      <c r="L210" s="71">
        <f>K210*0.99</f>
        <v>7577.0640000000003</v>
      </c>
      <c r="M210" s="100">
        <f>L210</f>
        <v>7577.0640000000003</v>
      </c>
      <c r="N210" s="71">
        <f>L210*0.99</f>
        <v>7501.2933600000006</v>
      </c>
      <c r="O210" s="71">
        <f>N210*0.99</f>
        <v>7426.2804264000006</v>
      </c>
      <c r="P210" s="71">
        <f>O210*0.99</f>
        <v>7352.0176221360007</v>
      </c>
      <c r="Q210" s="71">
        <f>P210*0.99</f>
        <v>7278.4974459146406</v>
      </c>
      <c r="R210" s="100">
        <f>Q210</f>
        <v>7278.4974459146406</v>
      </c>
      <c r="S210" s="71">
        <f>Q210*0.99</f>
        <v>7205.7124714554939</v>
      </c>
      <c r="T210" s="71">
        <f>S210*0.99</f>
        <v>7133.6553467409385</v>
      </c>
      <c r="U210" s="71">
        <f>T210*0.99</f>
        <v>7062.3187932735291</v>
      </c>
      <c r="V210" s="71">
        <f>U210*0.99</f>
        <v>6991.6956053407939</v>
      </c>
      <c r="W210" s="100">
        <f>V210</f>
        <v>6991.6956053407939</v>
      </c>
      <c r="X210" s="71">
        <f>V210*0.99</f>
        <v>6921.7786492873856</v>
      </c>
      <c r="Y210" s="71">
        <f>X210*0.99</f>
        <v>6852.5608627945121</v>
      </c>
      <c r="Z210" s="71">
        <f>Y210*0.99</f>
        <v>6784.035254166567</v>
      </c>
      <c r="AA210" s="71">
        <f>Z210*0.99</f>
        <v>6716.1949016249009</v>
      </c>
      <c r="AB210" s="100">
        <f>AA210</f>
        <v>6716.1949016249009</v>
      </c>
      <c r="AC210" s="71">
        <f>AA210*0.99</f>
        <v>6649.0329526086516</v>
      </c>
      <c r="AD210" s="71">
        <f>AC210*0.99</f>
        <v>6582.5426230825651</v>
      </c>
      <c r="AE210" s="71">
        <f>AD210*0.99</f>
        <v>6516.7171968517396</v>
      </c>
      <c r="AF210" s="71">
        <f>AE210*0.99</f>
        <v>6451.5500248832222</v>
      </c>
      <c r="AG210" s="100">
        <f>AF210</f>
        <v>6451.5500248832222</v>
      </c>
      <c r="AH210" s="71">
        <f>AF210*0.99</f>
        <v>6387.0345246343895</v>
      </c>
      <c r="AI210" s="71">
        <f>AH210*0.99</f>
        <v>6323.1641793880453</v>
      </c>
      <c r="AJ210" s="71">
        <f>AI210*0.99</f>
        <v>6259.9325375941644</v>
      </c>
      <c r="AK210" s="71">
        <f>AJ210*0.99</f>
        <v>6197.3332122182228</v>
      </c>
      <c r="AL210" s="100">
        <f t="shared" si="766"/>
        <v>6197.3332122182228</v>
      </c>
    </row>
    <row r="211" spans="1:38" outlineLevel="1" x14ac:dyDescent="0.25">
      <c r="A211" s="457"/>
      <c r="B211" s="58" t="s">
        <v>237</v>
      </c>
      <c r="C211" s="261"/>
      <c r="D211" s="99">
        <v>6823.7</v>
      </c>
      <c r="E211" s="99">
        <v>6761.9</v>
      </c>
      <c r="F211" s="99">
        <v>6717.9</v>
      </c>
      <c r="G211" s="99">
        <v>6744.4</v>
      </c>
      <c r="H211" s="100">
        <f>G211</f>
        <v>6744.4</v>
      </c>
      <c r="I211" s="99">
        <v>6748.8</v>
      </c>
      <c r="J211" s="99">
        <v>6685.5</v>
      </c>
      <c r="K211" s="99">
        <v>6642.6</v>
      </c>
      <c r="L211" s="71">
        <f>K211*0.996</f>
        <v>6616.0296000000008</v>
      </c>
      <c r="M211" s="100">
        <f>L211</f>
        <v>6616.0296000000008</v>
      </c>
      <c r="N211" s="71">
        <f>L211*0.996</f>
        <v>6589.5654816000006</v>
      </c>
      <c r="O211" s="71">
        <f t="shared" ref="O211:Q211" si="790">N211*0.996</f>
        <v>6563.2072196736008</v>
      </c>
      <c r="P211" s="71">
        <f t="shared" si="790"/>
        <v>6536.9543907949064</v>
      </c>
      <c r="Q211" s="71">
        <f t="shared" si="790"/>
        <v>6510.8065732317264</v>
      </c>
      <c r="R211" s="100">
        <f>Q211</f>
        <v>6510.8065732317264</v>
      </c>
      <c r="S211" s="71">
        <f>Q211*0.996</f>
        <v>6484.7633469387993</v>
      </c>
      <c r="T211" s="71">
        <f t="shared" ref="T211:V211" si="791">S211*0.996</f>
        <v>6458.8242935510443</v>
      </c>
      <c r="U211" s="71">
        <f t="shared" si="791"/>
        <v>6432.9889963768401</v>
      </c>
      <c r="V211" s="71">
        <f t="shared" si="791"/>
        <v>6407.2570403913323</v>
      </c>
      <c r="W211" s="100">
        <f>V211</f>
        <v>6407.2570403913323</v>
      </c>
      <c r="X211" s="71">
        <f>V211*0.996</f>
        <v>6381.6280122297667</v>
      </c>
      <c r="Y211" s="71">
        <f t="shared" ref="Y211:AA211" si="792">X211*0.996</f>
        <v>6356.1015001808473</v>
      </c>
      <c r="Z211" s="71">
        <f t="shared" si="792"/>
        <v>6330.6770941801242</v>
      </c>
      <c r="AA211" s="71">
        <f t="shared" si="792"/>
        <v>6305.3543858034036</v>
      </c>
      <c r="AB211" s="100">
        <f>AA211</f>
        <v>6305.3543858034036</v>
      </c>
      <c r="AC211" s="71">
        <f>AA211*0.996</f>
        <v>6280.13296826019</v>
      </c>
      <c r="AD211" s="71">
        <f t="shared" ref="AD211:AF211" si="793">AC211*0.996</f>
        <v>6255.0124363871491</v>
      </c>
      <c r="AE211" s="71">
        <f t="shared" si="793"/>
        <v>6229.9923866416002</v>
      </c>
      <c r="AF211" s="71">
        <f t="shared" si="793"/>
        <v>6205.0724170950334</v>
      </c>
      <c r="AG211" s="100">
        <f>AF211</f>
        <v>6205.0724170950334</v>
      </c>
      <c r="AH211" s="71">
        <f>AF211*0.996</f>
        <v>6180.2521274266528</v>
      </c>
      <c r="AI211" s="71">
        <f t="shared" ref="AI211:AK211" si="794">AH211*0.996</f>
        <v>6155.5311189169461</v>
      </c>
      <c r="AJ211" s="71">
        <f t="shared" si="794"/>
        <v>6130.9089944412781</v>
      </c>
      <c r="AK211" s="71">
        <f t="shared" si="794"/>
        <v>6106.3853584635126</v>
      </c>
      <c r="AL211" s="100">
        <f>AK211</f>
        <v>6106.3853584635126</v>
      </c>
    </row>
    <row r="212" spans="1:38" ht="15.75" customHeight="1" outlineLevel="1" x14ac:dyDescent="0.4">
      <c r="A212" s="457"/>
      <c r="B212" s="513" t="s">
        <v>229</v>
      </c>
      <c r="C212" s="514"/>
      <c r="D212" s="281">
        <v>1478.2</v>
      </c>
      <c r="E212" s="281">
        <v>1500.3</v>
      </c>
      <c r="F212" s="281">
        <v>1440.6</v>
      </c>
      <c r="G212" s="281">
        <v>1370.5</v>
      </c>
      <c r="H212" s="274">
        <f t="shared" si="756"/>
        <v>1370.5</v>
      </c>
      <c r="I212" s="281">
        <v>701.2</v>
      </c>
      <c r="J212" s="281">
        <v>751.4</v>
      </c>
      <c r="K212" s="281">
        <v>821.1</v>
      </c>
      <c r="L212" s="69">
        <f t="shared" ref="L212" si="795">K212*1.015</f>
        <v>833.41649999999993</v>
      </c>
      <c r="M212" s="274">
        <f t="shared" si="778"/>
        <v>833.41649999999993</v>
      </c>
      <c r="N212" s="69">
        <f>L212*1.015</f>
        <v>845.91774749999979</v>
      </c>
      <c r="O212" s="69">
        <f t="shared" ref="O212:Q212" si="796">N212*1.015</f>
        <v>858.60651371249969</v>
      </c>
      <c r="P212" s="69">
        <f t="shared" si="796"/>
        <v>871.48561141818709</v>
      </c>
      <c r="Q212" s="69">
        <f t="shared" si="796"/>
        <v>884.5578955894598</v>
      </c>
      <c r="R212" s="274">
        <f t="shared" si="758"/>
        <v>884.5578955894598</v>
      </c>
      <c r="S212" s="69">
        <f>Q212*1.015</f>
        <v>897.82626402330163</v>
      </c>
      <c r="T212" s="69">
        <f t="shared" ref="T212:V212" si="797">S212*1.015</f>
        <v>911.29365798365109</v>
      </c>
      <c r="U212" s="69">
        <f t="shared" si="797"/>
        <v>924.96306285340575</v>
      </c>
      <c r="V212" s="69">
        <f t="shared" si="797"/>
        <v>938.83750879620675</v>
      </c>
      <c r="W212" s="274">
        <f t="shared" si="760"/>
        <v>938.83750879620675</v>
      </c>
      <c r="X212" s="69">
        <f>V212*1.015</f>
        <v>952.92007142814975</v>
      </c>
      <c r="Y212" s="69">
        <f t="shared" ref="Y212:AA212" si="798">X212*1.015</f>
        <v>967.21387249957195</v>
      </c>
      <c r="Z212" s="69">
        <f t="shared" si="798"/>
        <v>981.72208058706542</v>
      </c>
      <c r="AA212" s="69">
        <f t="shared" si="798"/>
        <v>996.44791179587128</v>
      </c>
      <c r="AB212" s="274">
        <f t="shared" si="762"/>
        <v>996.44791179587128</v>
      </c>
      <c r="AC212" s="69">
        <f>AA212*1.015</f>
        <v>1011.3946304728092</v>
      </c>
      <c r="AD212" s="69">
        <f t="shared" ref="AD212" si="799">AC212*1.015</f>
        <v>1026.5655499299012</v>
      </c>
      <c r="AE212" s="69">
        <f t="shared" ref="AE212" si="800">AD212*1.015</f>
        <v>1041.9640331788496</v>
      </c>
      <c r="AF212" s="69">
        <f t="shared" ref="AF212" si="801">AE212*1.015</f>
        <v>1057.5934936765323</v>
      </c>
      <c r="AG212" s="274">
        <f t="shared" si="764"/>
        <v>1057.5934936765323</v>
      </c>
      <c r="AH212" s="69">
        <f>AF212*1.015</f>
        <v>1073.4573960816801</v>
      </c>
      <c r="AI212" s="69">
        <f t="shared" ref="AI212" si="802">AH212*1.015</f>
        <v>1089.5592570229053</v>
      </c>
      <c r="AJ212" s="69">
        <f t="shared" ref="AJ212" si="803">AI212*1.015</f>
        <v>1105.9026458782487</v>
      </c>
      <c r="AK212" s="69">
        <f t="shared" ref="AK212" si="804">AJ212*1.015</f>
        <v>1122.4911855664222</v>
      </c>
      <c r="AL212" s="274">
        <f t="shared" si="766"/>
        <v>1122.4911855664222</v>
      </c>
    </row>
    <row r="213" spans="1:38" outlineLevel="1" x14ac:dyDescent="0.25">
      <c r="A213" s="457"/>
      <c r="B213" s="559" t="s">
        <v>9</v>
      </c>
      <c r="C213" s="560"/>
      <c r="D213" s="98">
        <f t="shared" ref="D213" si="805">SUM(D208:D212)</f>
        <v>22860.100000000002</v>
      </c>
      <c r="E213" s="98">
        <f>SUM(E208:E212)</f>
        <v>22677.1</v>
      </c>
      <c r="F213" s="98">
        <f>SUM(F208:F212)</f>
        <v>25213.4</v>
      </c>
      <c r="G213" s="98">
        <f>SUM(G208:G212)</f>
        <v>25450.6</v>
      </c>
      <c r="H213" s="275">
        <f t="shared" ref="H213" si="806">SUM(H208:H212)</f>
        <v>25450.6</v>
      </c>
      <c r="I213" s="98">
        <f>SUM(I208:I212)</f>
        <v>34490.400000000001</v>
      </c>
      <c r="J213" s="98">
        <f>SUM(J208:J212)</f>
        <v>35011.800000000003</v>
      </c>
      <c r="K213" s="98">
        <f>SUM(K208:K212)</f>
        <v>37764.899999999994</v>
      </c>
      <c r="L213" s="98">
        <f>SUM(L208:L212)</f>
        <v>37470.671858228343</v>
      </c>
      <c r="M213" s="275">
        <f t="shared" ref="M213" si="807">SUM(M208:M212)</f>
        <v>37470.671858228343</v>
      </c>
      <c r="N213" s="98">
        <f>SUM(N208:N212)</f>
        <v>37449.531086560404</v>
      </c>
      <c r="O213" s="98">
        <f>SUM(O208:O212)</f>
        <v>36363.025401311039</v>
      </c>
      <c r="P213" s="98">
        <f>SUM(P208:P212)</f>
        <v>35510.239672004594</v>
      </c>
      <c r="Q213" s="98">
        <f>SUM(Q208:Q212)</f>
        <v>35532.812367675986</v>
      </c>
      <c r="R213" s="275">
        <f t="shared" ref="R213" si="808">SUM(R208:R212)</f>
        <v>35532.812367675986</v>
      </c>
      <c r="S213" s="98">
        <f>SUM(S208:S212)</f>
        <v>36031.553015086625</v>
      </c>
      <c r="T213" s="98">
        <f>SUM(T208:T212)</f>
        <v>34892.405557101294</v>
      </c>
      <c r="U213" s="98">
        <f>SUM(U208:U212)</f>
        <v>34064.866807343278</v>
      </c>
      <c r="V213" s="98">
        <f>SUM(V208:V212)</f>
        <v>34488.303223579285</v>
      </c>
      <c r="W213" s="275">
        <f t="shared" ref="W213" si="809">SUM(W208:W212)</f>
        <v>34488.303223579285</v>
      </c>
      <c r="X213" s="98">
        <f>SUM(X208:X212)</f>
        <v>34739.290905966445</v>
      </c>
      <c r="Y213" s="98">
        <f>SUM(Y208:Y212)</f>
        <v>33576.878133415179</v>
      </c>
      <c r="Z213" s="98">
        <f>SUM(Z208:Z212)</f>
        <v>32788.334014663749</v>
      </c>
      <c r="AA213" s="98">
        <f>SUM(AA208:AA212)</f>
        <v>33389.747777837605</v>
      </c>
      <c r="AB213" s="275">
        <f t="shared" ref="AB213" si="810">SUM(AB208:AB212)</f>
        <v>33389.747777837605</v>
      </c>
      <c r="AC213" s="98">
        <f>SUM(AC208:AC212)</f>
        <v>33555.044231070395</v>
      </c>
      <c r="AD213" s="98">
        <f>SUM(AD208:AD212)</f>
        <v>32213.544997781537</v>
      </c>
      <c r="AE213" s="98">
        <f>SUM(AE208:AE212)</f>
        <v>31265.758892233644</v>
      </c>
      <c r="AF213" s="98">
        <f>SUM(AF208:AF212)</f>
        <v>31796.626384520885</v>
      </c>
      <c r="AG213" s="275">
        <f t="shared" ref="AG213" si="811">SUM(AG208:AG212)</f>
        <v>31796.626384520885</v>
      </c>
      <c r="AH213" s="98">
        <f>SUM(AH208:AH212)</f>
        <v>31653.919883832827</v>
      </c>
      <c r="AI213" s="98">
        <f>SUM(AI208:AI212)</f>
        <v>29891.520912730979</v>
      </c>
      <c r="AJ213" s="98">
        <f>SUM(AJ208:AJ212)</f>
        <v>28567.558828384164</v>
      </c>
      <c r="AK213" s="98">
        <f>SUM(AK208:AK212)</f>
        <v>28795.593706696407</v>
      </c>
      <c r="AL213" s="275">
        <f t="shared" ref="AL213" si="812">SUM(AL208:AL212)</f>
        <v>28795.593706696407</v>
      </c>
    </row>
    <row r="214" spans="1:38" ht="18" x14ac:dyDescent="0.4">
      <c r="A214" s="300"/>
      <c r="B214" s="511" t="s">
        <v>81</v>
      </c>
      <c r="C214" s="512"/>
      <c r="D214" s="36" t="s">
        <v>123</v>
      </c>
      <c r="E214" s="36" t="s">
        <v>280</v>
      </c>
      <c r="F214" s="36" t="s">
        <v>284</v>
      </c>
      <c r="G214" s="36" t="s">
        <v>294</v>
      </c>
      <c r="H214" s="104" t="s">
        <v>295</v>
      </c>
      <c r="I214" s="36" t="s">
        <v>296</v>
      </c>
      <c r="J214" s="36" t="s">
        <v>297</v>
      </c>
      <c r="K214" s="36" t="s">
        <v>298</v>
      </c>
      <c r="L214" s="276" t="s">
        <v>141</v>
      </c>
      <c r="M214" s="277" t="s">
        <v>142</v>
      </c>
      <c r="N214" s="276" t="s">
        <v>143</v>
      </c>
      <c r="O214" s="276" t="s">
        <v>144</v>
      </c>
      <c r="P214" s="276" t="s">
        <v>145</v>
      </c>
      <c r="Q214" s="276" t="s">
        <v>146</v>
      </c>
      <c r="R214" s="277" t="s">
        <v>147</v>
      </c>
      <c r="S214" s="276" t="s">
        <v>148</v>
      </c>
      <c r="T214" s="276" t="s">
        <v>149</v>
      </c>
      <c r="U214" s="276" t="s">
        <v>150</v>
      </c>
      <c r="V214" s="276" t="s">
        <v>151</v>
      </c>
      <c r="W214" s="277" t="s">
        <v>152</v>
      </c>
      <c r="X214" s="276" t="s">
        <v>153</v>
      </c>
      <c r="Y214" s="276" t="s">
        <v>154</v>
      </c>
      <c r="Z214" s="276" t="s">
        <v>155</v>
      </c>
      <c r="AA214" s="276" t="s">
        <v>156</v>
      </c>
      <c r="AB214" s="277" t="s">
        <v>157</v>
      </c>
      <c r="AC214" s="34" t="s">
        <v>289</v>
      </c>
      <c r="AD214" s="34" t="s">
        <v>290</v>
      </c>
      <c r="AE214" s="34" t="s">
        <v>291</v>
      </c>
      <c r="AF214" s="34" t="s">
        <v>292</v>
      </c>
      <c r="AG214" s="107" t="s">
        <v>293</v>
      </c>
      <c r="AH214" s="34" t="s">
        <v>322</v>
      </c>
      <c r="AI214" s="34" t="s">
        <v>323</v>
      </c>
      <c r="AJ214" s="34" t="s">
        <v>324</v>
      </c>
      <c r="AK214" s="34" t="s">
        <v>325</v>
      </c>
      <c r="AL214" s="107" t="s">
        <v>326</v>
      </c>
    </row>
    <row r="215" spans="1:38" outlineLevel="1" x14ac:dyDescent="0.25">
      <c r="A215" s="300"/>
      <c r="B215" s="509" t="s">
        <v>230</v>
      </c>
      <c r="C215" s="510"/>
      <c r="D215" s="38">
        <f>1.2+41.1</f>
        <v>42.300000000000004</v>
      </c>
      <c r="E215" s="38">
        <f>1.2+41.1</f>
        <v>42.300000000000004</v>
      </c>
      <c r="F215" s="38">
        <f>1.2+41.1</f>
        <v>42.300000000000004</v>
      </c>
      <c r="G215" s="38">
        <f>1.2+41.1</f>
        <v>42.300000000000004</v>
      </c>
      <c r="H215" s="39">
        <f>G215</f>
        <v>42.300000000000004</v>
      </c>
      <c r="I215" s="38">
        <f>1.2+41.1</f>
        <v>42.300000000000004</v>
      </c>
      <c r="J215" s="38">
        <f>1.2+41.1</f>
        <v>42.300000000000004</v>
      </c>
      <c r="K215" s="38">
        <f>1.2+115.4</f>
        <v>116.60000000000001</v>
      </c>
      <c r="L215" s="38">
        <f>+K215+L247+L270</f>
        <v>174.02497345321115</v>
      </c>
      <c r="M215" s="39">
        <f>L215</f>
        <v>174.02497345321115</v>
      </c>
      <c r="N215" s="38">
        <f>+L215+N247+N270</f>
        <v>249.74107576916731</v>
      </c>
      <c r="O215" s="38">
        <f>+N215+O247+O270</f>
        <v>312.0394435706782</v>
      </c>
      <c r="P215" s="38">
        <f t="shared" ref="P215:Q215" si="813">+O215+P247+P270</f>
        <v>362.30856585014345</v>
      </c>
      <c r="Q215" s="38">
        <f t="shared" si="813"/>
        <v>442.05971211275408</v>
      </c>
      <c r="R215" s="39">
        <f>Q215</f>
        <v>442.05971211275408</v>
      </c>
      <c r="S215" s="38">
        <f>+Q215+S247+S270</f>
        <v>525.93163786822186</v>
      </c>
      <c r="T215" s="38">
        <f>+S215+T247+T270</f>
        <v>592.79971740210704</v>
      </c>
      <c r="U215" s="38">
        <f t="shared" ref="U215:V215" si="814">+T215+U247+U270</f>
        <v>646.03448198382466</v>
      </c>
      <c r="V215" s="38">
        <f t="shared" si="814"/>
        <v>730.48605699683753</v>
      </c>
      <c r="W215" s="39">
        <f>V215</f>
        <v>730.48605699683753</v>
      </c>
      <c r="X215" s="38">
        <f>+V215+X247+X270</f>
        <v>818.82447961601838</v>
      </c>
      <c r="Y215" s="38">
        <f>+X215+Y247+Y270</f>
        <v>889.72750432634609</v>
      </c>
      <c r="Z215" s="38">
        <f t="shared" ref="Z215:AA215" si="815">+Y215+Z247+Z270</f>
        <v>946.03747262348259</v>
      </c>
      <c r="AA215" s="38">
        <f t="shared" si="815"/>
        <v>1035.3443251288702</v>
      </c>
      <c r="AB215" s="39">
        <f>AA215</f>
        <v>1035.3443251288702</v>
      </c>
      <c r="AC215" s="38">
        <f>+AA215+AC247+AC270</f>
        <v>1128.7388119307059</v>
      </c>
      <c r="AD215" s="38">
        <f>+AC215+AD247+AD270</f>
        <v>1203.7408571798896</v>
      </c>
      <c r="AE215" s="38">
        <f t="shared" ref="AE215:AF215" si="816">+AD215+AE247+AE270</f>
        <v>1263.4573282758984</v>
      </c>
      <c r="AF215" s="38">
        <f t="shared" si="816"/>
        <v>1358.2568209740589</v>
      </c>
      <c r="AG215" s="39">
        <f>AF215</f>
        <v>1358.2568209740589</v>
      </c>
      <c r="AH215" s="38">
        <f>+AF215+AH247+AH270</f>
        <v>1457.6234765703646</v>
      </c>
      <c r="AI215" s="38">
        <f>+AH215+AI247+AI270</f>
        <v>1537.4036073808277</v>
      </c>
      <c r="AJ215" s="38">
        <f t="shared" ref="AJ215:AK215" si="817">+AI215+AJ247+AJ270</f>
        <v>1601.0685761267969</v>
      </c>
      <c r="AK215" s="38">
        <f t="shared" si="817"/>
        <v>1702.1339388368317</v>
      </c>
      <c r="AL215" s="39">
        <f>AK215</f>
        <v>1702.1339388368317</v>
      </c>
    </row>
    <row r="216" spans="1:38" outlineLevel="1" x14ac:dyDescent="0.25">
      <c r="A216" s="300"/>
      <c r="B216" s="553" t="s">
        <v>39</v>
      </c>
      <c r="C216" s="554"/>
      <c r="D216" s="38">
        <v>-2584</v>
      </c>
      <c r="E216" s="302">
        <v>-4807.7</v>
      </c>
      <c r="F216" s="302">
        <v>-4013.9</v>
      </c>
      <c r="G216" s="302">
        <v>-5771.2</v>
      </c>
      <c r="H216" s="303">
        <f>G216</f>
        <v>-5771.2</v>
      </c>
      <c r="I216" s="302">
        <v>-6414.8</v>
      </c>
      <c r="J216" s="302">
        <v>-7050.6</v>
      </c>
      <c r="K216" s="302">
        <v>-8208.2999999999993</v>
      </c>
      <c r="L216" s="302">
        <f>K216+L241+L268+L269</f>
        <v>-9154.7516866528331</v>
      </c>
      <c r="M216" s="303">
        <f>L216</f>
        <v>-9154.7516866528331</v>
      </c>
      <c r="N216" s="302">
        <f>L216+N241+N268+N269</f>
        <v>-9861.5211375856288</v>
      </c>
      <c r="O216" s="302">
        <f>N216+O241+O268+O269</f>
        <v>-10391.752995346253</v>
      </c>
      <c r="P216" s="302">
        <f t="shared" ref="P216:Q216" si="818">O216+P241+P268+P269</f>
        <v>-11022.612250570619</v>
      </c>
      <c r="Q216" s="302">
        <f t="shared" si="818"/>
        <v>-10732.502915616466</v>
      </c>
      <c r="R216" s="303">
        <f>Q216</f>
        <v>-10732.502915616466</v>
      </c>
      <c r="S216" s="302">
        <f>Q216+S241+S268+S269</f>
        <v>-10455.458238555233</v>
      </c>
      <c r="T216" s="302">
        <f>S216+T241+T268+T269</f>
        <v>-10580.9581167578</v>
      </c>
      <c r="U216" s="302">
        <f t="shared" ref="U216:V216" si="819">T216+U241+U268+U269</f>
        <v>-10976.285023806244</v>
      </c>
      <c r="V216" s="302">
        <f t="shared" si="819"/>
        <v>-10768.958220421546</v>
      </c>
      <c r="W216" s="303">
        <f>V216</f>
        <v>-10768.958220421546</v>
      </c>
      <c r="X216" s="302">
        <f>V216+X241+X268+X269</f>
        <v>-10525.84237180506</v>
      </c>
      <c r="Y216" s="302">
        <f>X216+Y241+Y268+Y269</f>
        <v>-10662.789809340113</v>
      </c>
      <c r="Z216" s="302">
        <f t="shared" ref="Z216:AA216" si="820">Y216+Z241+Z268+Z269</f>
        <v>-11043.136468429426</v>
      </c>
      <c r="AA216" s="302">
        <f t="shared" si="820"/>
        <v>-10769.756239579581</v>
      </c>
      <c r="AB216" s="303">
        <f>AA216</f>
        <v>-10769.756239579581</v>
      </c>
      <c r="AC216" s="302">
        <f>AA216+AC241+AC268+AC269</f>
        <v>-10452.561486404202</v>
      </c>
      <c r="AD216" s="302">
        <f>AC216+AD241+AD268+AD269</f>
        <v>-10539.723086700924</v>
      </c>
      <c r="AE216" s="302">
        <f t="shared" ref="AE216:AF216" si="821">AD216+AE241+AE268+AE269</f>
        <v>-10881.177423653753</v>
      </c>
      <c r="AF216" s="302">
        <f t="shared" si="821"/>
        <v>-10527.36394342241</v>
      </c>
      <c r="AG216" s="303">
        <f>AF216</f>
        <v>-10527.36394342241</v>
      </c>
      <c r="AH216" s="302">
        <f>AF216+AH241+AH268+AH269</f>
        <v>-10122.769872189268</v>
      </c>
      <c r="AI216" s="302">
        <f>AH216+AI241+AI268+AI269</f>
        <v>-10148.971955814997</v>
      </c>
      <c r="AJ216" s="302">
        <f t="shared" ref="AJ216:AK216" si="822">AI216+AJ241+AJ268+AJ269</f>
        <v>-10441.80635540884</v>
      </c>
      <c r="AK216" s="302">
        <f t="shared" si="822"/>
        <v>-9991.8407105960141</v>
      </c>
      <c r="AL216" s="303">
        <f>AK216</f>
        <v>-9991.8407105960141</v>
      </c>
    </row>
    <row r="217" spans="1:38" outlineLevel="1" x14ac:dyDescent="0.25">
      <c r="A217" s="300"/>
      <c r="B217" s="553" t="s">
        <v>118</v>
      </c>
      <c r="C217" s="554"/>
      <c r="D217" s="38">
        <v>-343.2</v>
      </c>
      <c r="E217" s="304">
        <v>-271.5</v>
      </c>
      <c r="F217" s="302">
        <v>-349</v>
      </c>
      <c r="G217" s="302">
        <v>-503.3</v>
      </c>
      <c r="H217" s="303">
        <f>+G217</f>
        <v>-503.3</v>
      </c>
      <c r="I217" s="302">
        <v>-387.4</v>
      </c>
      <c r="J217" s="302">
        <v>-521.79999999999995</v>
      </c>
      <c r="K217" s="302">
        <v>-529.9</v>
      </c>
      <c r="L217" s="302">
        <f>+K217</f>
        <v>-529.9</v>
      </c>
      <c r="M217" s="303">
        <f>+L217</f>
        <v>-529.9</v>
      </c>
      <c r="N217" s="302">
        <f>+L217</f>
        <v>-529.9</v>
      </c>
      <c r="O217" s="302">
        <f>+N217</f>
        <v>-529.9</v>
      </c>
      <c r="P217" s="302">
        <f t="shared" ref="P217:Q217" si="823">+O217</f>
        <v>-529.9</v>
      </c>
      <c r="Q217" s="302">
        <f t="shared" si="823"/>
        <v>-529.9</v>
      </c>
      <c r="R217" s="303">
        <f>+Q217</f>
        <v>-529.9</v>
      </c>
      <c r="S217" s="302">
        <f>+Q217</f>
        <v>-529.9</v>
      </c>
      <c r="T217" s="302">
        <f>+S217</f>
        <v>-529.9</v>
      </c>
      <c r="U217" s="302">
        <f t="shared" ref="U217:V218" si="824">+T217</f>
        <v>-529.9</v>
      </c>
      <c r="V217" s="302">
        <f t="shared" si="824"/>
        <v>-529.9</v>
      </c>
      <c r="W217" s="303">
        <f>+V217</f>
        <v>-529.9</v>
      </c>
      <c r="X217" s="302">
        <f>+V217</f>
        <v>-529.9</v>
      </c>
      <c r="Y217" s="302">
        <f>+X217</f>
        <v>-529.9</v>
      </c>
      <c r="Z217" s="302">
        <f t="shared" ref="Z217:AA218" si="825">+Y217</f>
        <v>-529.9</v>
      </c>
      <c r="AA217" s="302">
        <f t="shared" si="825"/>
        <v>-529.9</v>
      </c>
      <c r="AB217" s="303">
        <f>+AA217</f>
        <v>-529.9</v>
      </c>
      <c r="AC217" s="302">
        <f>+AA217</f>
        <v>-529.9</v>
      </c>
      <c r="AD217" s="302">
        <f>+AC217</f>
        <v>-529.9</v>
      </c>
      <c r="AE217" s="302">
        <f t="shared" ref="AE217:AF218" si="826">+AD217</f>
        <v>-529.9</v>
      </c>
      <c r="AF217" s="302">
        <f t="shared" si="826"/>
        <v>-529.9</v>
      </c>
      <c r="AG217" s="303">
        <f>+AF217</f>
        <v>-529.9</v>
      </c>
      <c r="AH217" s="302">
        <f>+AF217</f>
        <v>-529.9</v>
      </c>
      <c r="AI217" s="302">
        <f>+AH217</f>
        <v>-529.9</v>
      </c>
      <c r="AJ217" s="302">
        <f t="shared" ref="AJ217:AK218" si="827">+AI217</f>
        <v>-529.9</v>
      </c>
      <c r="AK217" s="302">
        <f t="shared" si="827"/>
        <v>-529.9</v>
      </c>
      <c r="AL217" s="303">
        <f>+AK217</f>
        <v>-529.9</v>
      </c>
    </row>
    <row r="218" spans="1:38" ht="17.25" outlineLevel="1" x14ac:dyDescent="0.4">
      <c r="A218" s="300"/>
      <c r="B218" s="186" t="s">
        <v>231</v>
      </c>
      <c r="C218" s="187"/>
      <c r="D218" s="41">
        <v>6.1</v>
      </c>
      <c r="E218" s="317">
        <v>1.7</v>
      </c>
      <c r="F218" s="317">
        <v>1.6</v>
      </c>
      <c r="G218" s="317">
        <v>1.2</v>
      </c>
      <c r="H218" s="42">
        <f>+G218</f>
        <v>1.2</v>
      </c>
      <c r="I218" s="317">
        <v>0.8</v>
      </c>
      <c r="J218" s="317">
        <v>-2.8</v>
      </c>
      <c r="K218" s="317">
        <v>-2.7</v>
      </c>
      <c r="L218" s="317">
        <f t="shared" ref="L218" si="828">+K218</f>
        <v>-2.7</v>
      </c>
      <c r="M218" s="440">
        <f>+L218</f>
        <v>-2.7</v>
      </c>
      <c r="N218" s="317">
        <f>+L218</f>
        <v>-2.7</v>
      </c>
      <c r="O218" s="317">
        <f>+N218</f>
        <v>-2.7</v>
      </c>
      <c r="P218" s="317">
        <f t="shared" ref="P218:Q218" si="829">+O218</f>
        <v>-2.7</v>
      </c>
      <c r="Q218" s="317">
        <f t="shared" si="829"/>
        <v>-2.7</v>
      </c>
      <c r="R218" s="440">
        <f>+Q218</f>
        <v>-2.7</v>
      </c>
      <c r="S218" s="317">
        <f>+Q218</f>
        <v>-2.7</v>
      </c>
      <c r="T218" s="317">
        <f>+S218</f>
        <v>-2.7</v>
      </c>
      <c r="U218" s="317">
        <f t="shared" si="824"/>
        <v>-2.7</v>
      </c>
      <c r="V218" s="317">
        <f t="shared" si="824"/>
        <v>-2.7</v>
      </c>
      <c r="W218" s="440">
        <f>+V218</f>
        <v>-2.7</v>
      </c>
      <c r="X218" s="317">
        <f>+V218</f>
        <v>-2.7</v>
      </c>
      <c r="Y218" s="317">
        <f>+X218</f>
        <v>-2.7</v>
      </c>
      <c r="Z218" s="317">
        <f t="shared" si="825"/>
        <v>-2.7</v>
      </c>
      <c r="AA218" s="317">
        <f t="shared" si="825"/>
        <v>-2.7</v>
      </c>
      <c r="AB218" s="440">
        <f>+AA218</f>
        <v>-2.7</v>
      </c>
      <c r="AC218" s="317">
        <f>+AA218</f>
        <v>-2.7</v>
      </c>
      <c r="AD218" s="317">
        <f>+AC218</f>
        <v>-2.7</v>
      </c>
      <c r="AE218" s="317">
        <f t="shared" si="826"/>
        <v>-2.7</v>
      </c>
      <c r="AF218" s="317">
        <f t="shared" si="826"/>
        <v>-2.7</v>
      </c>
      <c r="AG218" s="440">
        <f>+AF218</f>
        <v>-2.7</v>
      </c>
      <c r="AH218" s="317">
        <f>+AF218</f>
        <v>-2.7</v>
      </c>
      <c r="AI218" s="317">
        <f>+AH218</f>
        <v>-2.7</v>
      </c>
      <c r="AJ218" s="317">
        <f t="shared" si="827"/>
        <v>-2.7</v>
      </c>
      <c r="AK218" s="317">
        <f t="shared" si="827"/>
        <v>-2.7</v>
      </c>
      <c r="AL218" s="440">
        <f>+AK218</f>
        <v>-2.7</v>
      </c>
    </row>
    <row r="219" spans="1:38" outlineLevel="1" x14ac:dyDescent="0.25">
      <c r="A219" s="300"/>
      <c r="B219" s="551" t="s">
        <v>40</v>
      </c>
      <c r="C219" s="552"/>
      <c r="D219" s="45">
        <f t="shared" ref="D219:AB219" si="830">SUM(D215:D218)</f>
        <v>-2878.7999999999997</v>
      </c>
      <c r="E219" s="45">
        <f t="shared" si="830"/>
        <v>-5035.2</v>
      </c>
      <c r="F219" s="45">
        <f t="shared" si="830"/>
        <v>-4319</v>
      </c>
      <c r="G219" s="45">
        <f t="shared" si="830"/>
        <v>-6231</v>
      </c>
      <c r="H219" s="46">
        <f t="shared" si="830"/>
        <v>-6231</v>
      </c>
      <c r="I219" s="45">
        <f t="shared" si="830"/>
        <v>-6759.0999999999995</v>
      </c>
      <c r="J219" s="45">
        <f t="shared" si="830"/>
        <v>-7532.9000000000005</v>
      </c>
      <c r="K219" s="45">
        <f t="shared" si="830"/>
        <v>-8624.2999999999993</v>
      </c>
      <c r="L219" s="45">
        <f t="shared" si="830"/>
        <v>-9513.3267131996217</v>
      </c>
      <c r="M219" s="46">
        <f t="shared" si="830"/>
        <v>-9513.3267131996217</v>
      </c>
      <c r="N219" s="45">
        <f t="shared" si="830"/>
        <v>-10144.380061816462</v>
      </c>
      <c r="O219" s="45">
        <f t="shared" si="830"/>
        <v>-10612.313551775575</v>
      </c>
      <c r="P219" s="45">
        <f t="shared" si="830"/>
        <v>-11192.903684720475</v>
      </c>
      <c r="Q219" s="45">
        <f t="shared" si="830"/>
        <v>-10823.043203503712</v>
      </c>
      <c r="R219" s="46">
        <f t="shared" si="830"/>
        <v>-10823.043203503712</v>
      </c>
      <c r="S219" s="45">
        <f t="shared" si="830"/>
        <v>-10462.126600687012</v>
      </c>
      <c r="T219" s="45">
        <f t="shared" si="830"/>
        <v>-10520.758399355693</v>
      </c>
      <c r="U219" s="45">
        <f t="shared" si="830"/>
        <v>-10862.850541822419</v>
      </c>
      <c r="V219" s="45">
        <f t="shared" si="830"/>
        <v>-10571.072163424709</v>
      </c>
      <c r="W219" s="46">
        <f t="shared" si="830"/>
        <v>-10571.072163424709</v>
      </c>
      <c r="X219" s="45">
        <f t="shared" si="830"/>
        <v>-10239.617892189042</v>
      </c>
      <c r="Y219" s="45">
        <f t="shared" si="830"/>
        <v>-10305.662305013768</v>
      </c>
      <c r="Z219" s="45">
        <f t="shared" si="830"/>
        <v>-10629.698995805944</v>
      </c>
      <c r="AA219" s="45">
        <f t="shared" si="830"/>
        <v>-10267.011914450712</v>
      </c>
      <c r="AB219" s="46">
        <f t="shared" si="830"/>
        <v>-10267.011914450712</v>
      </c>
      <c r="AC219" s="45">
        <f t="shared" ref="AC219:AG219" si="831">SUM(AC215:AC218)</f>
        <v>-9856.422674473497</v>
      </c>
      <c r="AD219" s="45">
        <f t="shared" si="831"/>
        <v>-9868.5822295210346</v>
      </c>
      <c r="AE219" s="45">
        <f t="shared" si="831"/>
        <v>-10150.320095377856</v>
      </c>
      <c r="AF219" s="45">
        <f t="shared" si="831"/>
        <v>-9701.7071224483516</v>
      </c>
      <c r="AG219" s="46">
        <f t="shared" si="831"/>
        <v>-9701.7071224483516</v>
      </c>
      <c r="AH219" s="45">
        <f t="shared" ref="AH219:AL219" si="832">SUM(AH215:AH218)</f>
        <v>-9197.746395618904</v>
      </c>
      <c r="AI219" s="45">
        <f t="shared" si="832"/>
        <v>-9144.1683484341702</v>
      </c>
      <c r="AJ219" s="45">
        <f t="shared" si="832"/>
        <v>-9373.3377792820447</v>
      </c>
      <c r="AK219" s="45">
        <f t="shared" si="832"/>
        <v>-8822.3067717591821</v>
      </c>
      <c r="AL219" s="46">
        <f t="shared" si="832"/>
        <v>-8822.3067717591821</v>
      </c>
    </row>
    <row r="220" spans="1:38" outlineLevel="1" x14ac:dyDescent="0.25">
      <c r="A220" s="300"/>
      <c r="B220" s="507" t="s">
        <v>10</v>
      </c>
      <c r="C220" s="508"/>
      <c r="D220" s="54">
        <f t="shared" ref="D220:AB220" si="833">D219+D213</f>
        <v>19981.300000000003</v>
      </c>
      <c r="E220" s="54">
        <f t="shared" si="833"/>
        <v>17641.899999999998</v>
      </c>
      <c r="F220" s="54">
        <f t="shared" si="833"/>
        <v>20894.400000000001</v>
      </c>
      <c r="G220" s="54">
        <f t="shared" si="833"/>
        <v>19219.599999999999</v>
      </c>
      <c r="H220" s="278">
        <f t="shared" si="833"/>
        <v>19219.599999999999</v>
      </c>
      <c r="I220" s="54">
        <f t="shared" si="833"/>
        <v>27731.300000000003</v>
      </c>
      <c r="J220" s="54">
        <f t="shared" si="833"/>
        <v>27478.9</v>
      </c>
      <c r="K220" s="54">
        <f t="shared" si="833"/>
        <v>29140.599999999995</v>
      </c>
      <c r="L220" s="54">
        <f t="shared" si="833"/>
        <v>27957.345145028721</v>
      </c>
      <c r="M220" s="278">
        <f t="shared" si="833"/>
        <v>27957.345145028721</v>
      </c>
      <c r="N220" s="54">
        <f t="shared" si="833"/>
        <v>27305.151024743944</v>
      </c>
      <c r="O220" s="54">
        <f t="shared" si="833"/>
        <v>25750.711849535466</v>
      </c>
      <c r="P220" s="54">
        <f t="shared" si="833"/>
        <v>24317.335987284117</v>
      </c>
      <c r="Q220" s="54">
        <f t="shared" si="833"/>
        <v>24709.769164172274</v>
      </c>
      <c r="R220" s="278">
        <f t="shared" si="833"/>
        <v>24709.769164172274</v>
      </c>
      <c r="S220" s="54">
        <f t="shared" si="833"/>
        <v>25569.426414399612</v>
      </c>
      <c r="T220" s="54">
        <f t="shared" si="833"/>
        <v>24371.647157745603</v>
      </c>
      <c r="U220" s="54">
        <f t="shared" si="833"/>
        <v>23202.016265520859</v>
      </c>
      <c r="V220" s="54">
        <f t="shared" si="833"/>
        <v>23917.231060154576</v>
      </c>
      <c r="W220" s="278">
        <f t="shared" si="833"/>
        <v>23917.231060154576</v>
      </c>
      <c r="X220" s="54">
        <f t="shared" si="833"/>
        <v>24499.673013777403</v>
      </c>
      <c r="Y220" s="54">
        <f t="shared" si="833"/>
        <v>23271.215828401411</v>
      </c>
      <c r="Z220" s="54">
        <f t="shared" si="833"/>
        <v>22158.635018857807</v>
      </c>
      <c r="AA220" s="54">
        <f t="shared" si="833"/>
        <v>23122.735863386893</v>
      </c>
      <c r="AB220" s="278">
        <f t="shared" si="833"/>
        <v>23122.735863386893</v>
      </c>
      <c r="AC220" s="54">
        <f t="shared" ref="AC220:AG220" si="834">AC219+AC213</f>
        <v>23698.621556596896</v>
      </c>
      <c r="AD220" s="54">
        <f t="shared" si="834"/>
        <v>22344.962768260502</v>
      </c>
      <c r="AE220" s="54">
        <f t="shared" si="834"/>
        <v>21115.438796855786</v>
      </c>
      <c r="AF220" s="54">
        <f t="shared" si="834"/>
        <v>22094.919262072533</v>
      </c>
      <c r="AG220" s="278">
        <f t="shared" si="834"/>
        <v>22094.919262072533</v>
      </c>
      <c r="AH220" s="54">
        <f t="shared" ref="AH220:AL220" si="835">AH219+AH213</f>
        <v>22456.173488213921</v>
      </c>
      <c r="AI220" s="54">
        <f t="shared" si="835"/>
        <v>20747.352564296809</v>
      </c>
      <c r="AJ220" s="54">
        <f t="shared" si="835"/>
        <v>19194.221049102118</v>
      </c>
      <c r="AK220" s="54">
        <f t="shared" si="835"/>
        <v>19973.286934937227</v>
      </c>
      <c r="AL220" s="278">
        <f t="shared" si="835"/>
        <v>19973.286934937227</v>
      </c>
    </row>
    <row r="221" spans="1:38" x14ac:dyDescent="0.25">
      <c r="A221" s="300"/>
      <c r="B221" s="456"/>
      <c r="C221" s="271"/>
      <c r="D221" s="442">
        <f t="shared" ref="D221:AL221" si="836">ROUND((D220-D198),0)</f>
        <v>0</v>
      </c>
      <c r="E221" s="442">
        <f t="shared" si="836"/>
        <v>0</v>
      </c>
      <c r="F221" s="442">
        <f t="shared" si="836"/>
        <v>0</v>
      </c>
      <c r="G221" s="442">
        <f t="shared" si="836"/>
        <v>0</v>
      </c>
      <c r="H221" s="442">
        <f t="shared" si="836"/>
        <v>0</v>
      </c>
      <c r="I221" s="442">
        <f t="shared" si="836"/>
        <v>0</v>
      </c>
      <c r="J221" s="442">
        <f t="shared" si="836"/>
        <v>0</v>
      </c>
      <c r="K221" s="442">
        <f t="shared" si="836"/>
        <v>0</v>
      </c>
      <c r="L221" s="74">
        <f t="shared" si="836"/>
        <v>0</v>
      </c>
      <c r="M221" s="74">
        <f t="shared" si="836"/>
        <v>0</v>
      </c>
      <c r="N221" s="74">
        <f t="shared" si="836"/>
        <v>0</v>
      </c>
      <c r="O221" s="74">
        <f t="shared" si="836"/>
        <v>0</v>
      </c>
      <c r="P221" s="74">
        <f t="shared" si="836"/>
        <v>0</v>
      </c>
      <c r="Q221" s="74">
        <f t="shared" si="836"/>
        <v>0</v>
      </c>
      <c r="R221" s="74">
        <f t="shared" si="836"/>
        <v>0</v>
      </c>
      <c r="S221" s="74">
        <f t="shared" si="836"/>
        <v>0</v>
      </c>
      <c r="T221" s="74">
        <f t="shared" si="836"/>
        <v>0</v>
      </c>
      <c r="U221" s="74">
        <f t="shared" si="836"/>
        <v>0</v>
      </c>
      <c r="V221" s="74">
        <f t="shared" si="836"/>
        <v>0</v>
      </c>
      <c r="W221" s="74">
        <f t="shared" si="836"/>
        <v>0</v>
      </c>
      <c r="X221" s="74">
        <f t="shared" si="836"/>
        <v>0</v>
      </c>
      <c r="Y221" s="74">
        <f t="shared" si="836"/>
        <v>0</v>
      </c>
      <c r="Z221" s="74">
        <f t="shared" si="836"/>
        <v>0</v>
      </c>
      <c r="AA221" s="74">
        <f t="shared" si="836"/>
        <v>0</v>
      </c>
      <c r="AB221" s="74">
        <f t="shared" si="836"/>
        <v>0</v>
      </c>
      <c r="AC221" s="74">
        <f t="shared" si="836"/>
        <v>0</v>
      </c>
      <c r="AD221" s="74">
        <f t="shared" si="836"/>
        <v>0</v>
      </c>
      <c r="AE221" s="74">
        <f t="shared" si="836"/>
        <v>0</v>
      </c>
      <c r="AF221" s="74">
        <f t="shared" si="836"/>
        <v>0</v>
      </c>
      <c r="AG221" s="74">
        <f t="shared" si="836"/>
        <v>0</v>
      </c>
      <c r="AH221" s="74">
        <f t="shared" si="836"/>
        <v>0</v>
      </c>
      <c r="AI221" s="74">
        <f t="shared" si="836"/>
        <v>0</v>
      </c>
      <c r="AJ221" s="74">
        <f t="shared" si="836"/>
        <v>0</v>
      </c>
      <c r="AK221" s="74">
        <f t="shared" si="836"/>
        <v>0</v>
      </c>
      <c r="AL221" s="74">
        <f t="shared" si="836"/>
        <v>0</v>
      </c>
    </row>
    <row r="222" spans="1:38" ht="15.75" x14ac:dyDescent="0.25">
      <c r="A222" s="300"/>
      <c r="B222" s="511" t="s">
        <v>20</v>
      </c>
      <c r="C222" s="512"/>
      <c r="D222" s="35" t="s">
        <v>110</v>
      </c>
      <c r="E222" s="35" t="s">
        <v>281</v>
      </c>
      <c r="F222" s="35" t="s">
        <v>283</v>
      </c>
      <c r="G222" s="35" t="s">
        <v>124</v>
      </c>
      <c r="H222" s="103" t="s">
        <v>124</v>
      </c>
      <c r="I222" s="35" t="s">
        <v>125</v>
      </c>
      <c r="J222" s="35" t="s">
        <v>126</v>
      </c>
      <c r="K222" s="35" t="s">
        <v>127</v>
      </c>
      <c r="L222" s="37" t="s">
        <v>128</v>
      </c>
      <c r="M222" s="106" t="s">
        <v>128</v>
      </c>
      <c r="N222" s="37" t="s">
        <v>129</v>
      </c>
      <c r="O222" s="37" t="s">
        <v>130</v>
      </c>
      <c r="P222" s="37" t="s">
        <v>131</v>
      </c>
      <c r="Q222" s="37" t="s">
        <v>132</v>
      </c>
      <c r="R222" s="106" t="s">
        <v>132</v>
      </c>
      <c r="S222" s="37" t="s">
        <v>133</v>
      </c>
      <c r="T222" s="37" t="s">
        <v>134</v>
      </c>
      <c r="U222" s="37" t="s">
        <v>135</v>
      </c>
      <c r="V222" s="37" t="s">
        <v>136</v>
      </c>
      <c r="W222" s="106" t="s">
        <v>136</v>
      </c>
      <c r="X222" s="37" t="s">
        <v>137</v>
      </c>
      <c r="Y222" s="37" t="s">
        <v>138</v>
      </c>
      <c r="Z222" s="37" t="s">
        <v>139</v>
      </c>
      <c r="AA222" s="37" t="s">
        <v>140</v>
      </c>
      <c r="AB222" s="106" t="s">
        <v>140</v>
      </c>
      <c r="AC222" s="37" t="s">
        <v>285</v>
      </c>
      <c r="AD222" s="37" t="s">
        <v>286</v>
      </c>
      <c r="AE222" s="37" t="s">
        <v>287</v>
      </c>
      <c r="AF222" s="37" t="s">
        <v>288</v>
      </c>
      <c r="AG222" s="106" t="s">
        <v>288</v>
      </c>
      <c r="AH222" s="37" t="s">
        <v>318</v>
      </c>
      <c r="AI222" s="37" t="s">
        <v>319</v>
      </c>
      <c r="AJ222" s="37" t="s">
        <v>320</v>
      </c>
      <c r="AK222" s="37" t="s">
        <v>321</v>
      </c>
      <c r="AL222" s="106" t="s">
        <v>321</v>
      </c>
    </row>
    <row r="223" spans="1:38" ht="17.25" x14ac:dyDescent="0.4">
      <c r="A223" s="300"/>
      <c r="B223" s="505"/>
      <c r="C223" s="506"/>
      <c r="D223" s="36" t="s">
        <v>123</v>
      </c>
      <c r="E223" s="36" t="s">
        <v>280</v>
      </c>
      <c r="F223" s="36" t="s">
        <v>284</v>
      </c>
      <c r="G223" s="36" t="s">
        <v>294</v>
      </c>
      <c r="H223" s="104" t="s">
        <v>295</v>
      </c>
      <c r="I223" s="36" t="s">
        <v>296</v>
      </c>
      <c r="J223" s="36" t="s">
        <v>297</v>
      </c>
      <c r="K223" s="36" t="s">
        <v>298</v>
      </c>
      <c r="L223" s="34" t="s">
        <v>141</v>
      </c>
      <c r="M223" s="107" t="s">
        <v>142</v>
      </c>
      <c r="N223" s="34" t="s">
        <v>143</v>
      </c>
      <c r="O223" s="34" t="s">
        <v>144</v>
      </c>
      <c r="P223" s="34" t="s">
        <v>145</v>
      </c>
      <c r="Q223" s="34" t="s">
        <v>146</v>
      </c>
      <c r="R223" s="107" t="s">
        <v>147</v>
      </c>
      <c r="S223" s="34" t="s">
        <v>148</v>
      </c>
      <c r="T223" s="34" t="s">
        <v>149</v>
      </c>
      <c r="U223" s="34" t="s">
        <v>150</v>
      </c>
      <c r="V223" s="34" t="s">
        <v>151</v>
      </c>
      <c r="W223" s="107" t="s">
        <v>152</v>
      </c>
      <c r="X223" s="34" t="s">
        <v>153</v>
      </c>
      <c r="Y223" s="34" t="s">
        <v>154</v>
      </c>
      <c r="Z223" s="34" t="s">
        <v>155</v>
      </c>
      <c r="AA223" s="34" t="s">
        <v>156</v>
      </c>
      <c r="AB223" s="107" t="s">
        <v>157</v>
      </c>
      <c r="AC223" s="34" t="s">
        <v>289</v>
      </c>
      <c r="AD223" s="34" t="s">
        <v>290</v>
      </c>
      <c r="AE223" s="34" t="s">
        <v>291</v>
      </c>
      <c r="AF223" s="34" t="s">
        <v>292</v>
      </c>
      <c r="AG223" s="107" t="s">
        <v>293</v>
      </c>
      <c r="AH223" s="34" t="s">
        <v>322</v>
      </c>
      <c r="AI223" s="34" t="s">
        <v>323</v>
      </c>
      <c r="AJ223" s="34" t="s">
        <v>324</v>
      </c>
      <c r="AK223" s="34" t="s">
        <v>325</v>
      </c>
      <c r="AL223" s="107" t="s">
        <v>326</v>
      </c>
    </row>
    <row r="224" spans="1:38" outlineLevel="1" x14ac:dyDescent="0.25">
      <c r="A224" s="300"/>
      <c r="B224" s="374" t="s">
        <v>317</v>
      </c>
      <c r="C224" s="375"/>
      <c r="D224" s="324">
        <f>31+30+31</f>
        <v>92</v>
      </c>
      <c r="E224" s="324">
        <f>31+28+31</f>
        <v>90</v>
      </c>
      <c r="F224" s="324">
        <f>30+31+30</f>
        <v>91</v>
      </c>
      <c r="G224" s="324">
        <f>31+31+30</f>
        <v>92</v>
      </c>
      <c r="H224" s="340"/>
      <c r="I224" s="324">
        <f>31+30+31</f>
        <v>92</v>
      </c>
      <c r="J224" s="324">
        <f>31+29+31</f>
        <v>91</v>
      </c>
      <c r="K224" s="324">
        <f>30+31+30</f>
        <v>91</v>
      </c>
      <c r="L224" s="324">
        <f>31+31+30</f>
        <v>92</v>
      </c>
      <c r="M224" s="340"/>
      <c r="N224" s="324">
        <f>31+30+31</f>
        <v>92</v>
      </c>
      <c r="O224" s="324">
        <f>31+28+31</f>
        <v>90</v>
      </c>
      <c r="P224" s="324">
        <f>30+31+30</f>
        <v>91</v>
      </c>
      <c r="Q224" s="324">
        <f>31+31+30</f>
        <v>92</v>
      </c>
      <c r="R224" s="340"/>
      <c r="S224" s="324">
        <f>31+30+31</f>
        <v>92</v>
      </c>
      <c r="T224" s="324">
        <f>31+28+31</f>
        <v>90</v>
      </c>
      <c r="U224" s="324">
        <f>30+31+30</f>
        <v>91</v>
      </c>
      <c r="V224" s="324">
        <f>31+31+30</f>
        <v>92</v>
      </c>
      <c r="W224" s="340"/>
      <c r="X224" s="324">
        <f>31+30+31</f>
        <v>92</v>
      </c>
      <c r="Y224" s="324">
        <f>31+28+31</f>
        <v>90</v>
      </c>
      <c r="Z224" s="324">
        <f>30+31+30</f>
        <v>91</v>
      </c>
      <c r="AA224" s="324">
        <f>31+31+30</f>
        <v>92</v>
      </c>
      <c r="AB224" s="340"/>
      <c r="AC224" s="324">
        <f>31+30+31</f>
        <v>92</v>
      </c>
      <c r="AD224" s="324">
        <f>31+29+31</f>
        <v>91</v>
      </c>
      <c r="AE224" s="324">
        <f>30+31+30</f>
        <v>91</v>
      </c>
      <c r="AF224" s="324">
        <f>31+31+30</f>
        <v>92</v>
      </c>
      <c r="AG224" s="340"/>
      <c r="AH224" s="324">
        <f>31+30+31</f>
        <v>92</v>
      </c>
      <c r="AI224" s="324">
        <f>31+28+31</f>
        <v>90</v>
      </c>
      <c r="AJ224" s="324">
        <f>30+31+30</f>
        <v>91</v>
      </c>
      <c r="AK224" s="324">
        <f>31+31+30</f>
        <v>92</v>
      </c>
      <c r="AL224" s="340"/>
    </row>
    <row r="225" spans="1:38" outlineLevel="1" x14ac:dyDescent="0.25">
      <c r="A225" s="300"/>
      <c r="B225" s="509" t="s">
        <v>21</v>
      </c>
      <c r="C225" s="510"/>
      <c r="D225" s="66">
        <f t="shared" ref="D225:K225" si="837">D16/D186</f>
        <v>9.1942057111172737</v>
      </c>
      <c r="E225" s="367">
        <f t="shared" si="837"/>
        <v>8.9623365548607161</v>
      </c>
      <c r="F225" s="367">
        <f t="shared" si="837"/>
        <v>8.6301543131798635</v>
      </c>
      <c r="G225" s="367">
        <f t="shared" si="837"/>
        <v>7.6757679180887379</v>
      </c>
      <c r="H225" s="368">
        <f t="shared" si="837"/>
        <v>30.157679180887374</v>
      </c>
      <c r="I225" s="367">
        <f t="shared" si="837"/>
        <v>7.8153287082920375</v>
      </c>
      <c r="J225" s="367">
        <f t="shared" si="837"/>
        <v>6.3716259298618487</v>
      </c>
      <c r="K225" s="367">
        <f t="shared" si="837"/>
        <v>4.7918510952218822</v>
      </c>
      <c r="L225" s="68">
        <v>6.7415730701591459</v>
      </c>
      <c r="M225" s="67"/>
      <c r="N225" s="68">
        <v>7.5000000887544127</v>
      </c>
      <c r="O225" s="68">
        <v>7.3626377346315905</v>
      </c>
      <c r="P225" s="68">
        <v>7.865168530735037</v>
      </c>
      <c r="Q225" s="68">
        <v>7.7173912977977261</v>
      </c>
      <c r="R225" s="67"/>
      <c r="S225" s="68">
        <f>N225</f>
        <v>7.5000000887544127</v>
      </c>
      <c r="T225" s="68">
        <f t="shared" ref="T225:V225" si="838">O225</f>
        <v>7.3626377346315905</v>
      </c>
      <c r="U225" s="68">
        <f t="shared" si="838"/>
        <v>7.865168530735037</v>
      </c>
      <c r="V225" s="68">
        <f t="shared" si="838"/>
        <v>7.7173912977977261</v>
      </c>
      <c r="W225" s="67"/>
      <c r="X225" s="68">
        <f>S225</f>
        <v>7.5000000887544127</v>
      </c>
      <c r="Y225" s="68">
        <f t="shared" ref="Y225" si="839">T225</f>
        <v>7.3626377346315905</v>
      </c>
      <c r="Z225" s="68">
        <f t="shared" ref="Z225" si="840">U225</f>
        <v>7.865168530735037</v>
      </c>
      <c r="AA225" s="68">
        <f t="shared" ref="AA225" si="841">V225</f>
        <v>7.7173912977977261</v>
      </c>
      <c r="AB225" s="27"/>
      <c r="AC225" s="68">
        <f>X225</f>
        <v>7.5000000887544127</v>
      </c>
      <c r="AD225" s="68">
        <f t="shared" ref="AD225" si="842">Y225</f>
        <v>7.3626377346315905</v>
      </c>
      <c r="AE225" s="68">
        <f t="shared" ref="AE225" si="843">Z225</f>
        <v>7.865168530735037</v>
      </c>
      <c r="AF225" s="68">
        <f t="shared" ref="AF225" si="844">AA225</f>
        <v>7.7173912977977261</v>
      </c>
      <c r="AG225" s="27"/>
      <c r="AH225" s="68">
        <f>AC225</f>
        <v>7.5000000887544127</v>
      </c>
      <c r="AI225" s="68">
        <f t="shared" ref="AI225" si="845">AD225</f>
        <v>7.3626377346315905</v>
      </c>
      <c r="AJ225" s="68">
        <f t="shared" ref="AJ225" si="846">AE225</f>
        <v>7.865168530735037</v>
      </c>
      <c r="AK225" s="68">
        <f t="shared" ref="AK225" si="847">AF225</f>
        <v>7.7173912977977261</v>
      </c>
      <c r="AL225" s="27"/>
    </row>
    <row r="226" spans="1:38" s="47" customFormat="1" outlineLevel="1" x14ac:dyDescent="0.25">
      <c r="A226" s="366"/>
      <c r="B226" s="549" t="s">
        <v>60</v>
      </c>
      <c r="C226" s="550"/>
      <c r="D226" s="53">
        <f>D224/D225</f>
        <v>10.00630210924661</v>
      </c>
      <c r="E226" s="53">
        <f>E224/E225</f>
        <v>10.042024136126486</v>
      </c>
      <c r="F226" s="324">
        <f>F224/F225</f>
        <v>10.544423274219552</v>
      </c>
      <c r="G226" s="324">
        <f>G224/G225</f>
        <v>11.985771453979545</v>
      </c>
      <c r="H226" s="368"/>
      <c r="I226" s="324">
        <f>I224/I225</f>
        <v>11.771737752039567</v>
      </c>
      <c r="J226" s="324">
        <f>J224/J225</f>
        <v>14.28206881598479</v>
      </c>
      <c r="K226" s="324">
        <f>K224/K225</f>
        <v>18.990573411335589</v>
      </c>
      <c r="L226" s="53">
        <f>L224/L225</f>
        <v>13.64666659287996</v>
      </c>
      <c r="M226" s="67"/>
      <c r="N226" s="53">
        <f>N224/N225</f>
        <v>12.266666521503895</v>
      </c>
      <c r="O226" s="53">
        <f>O224/O225</f>
        <v>12.223879979408412</v>
      </c>
      <c r="P226" s="53">
        <f>P224/P225</f>
        <v>11.570000012637443</v>
      </c>
      <c r="Q226" s="53">
        <f>Q224/Q225</f>
        <v>11.921126770681381</v>
      </c>
      <c r="R226" s="67"/>
      <c r="S226" s="53">
        <f>S224/S225</f>
        <v>12.266666521503895</v>
      </c>
      <c r="T226" s="53">
        <f>T224/T225</f>
        <v>12.223879979408412</v>
      </c>
      <c r="U226" s="53">
        <f>U224/U225</f>
        <v>11.570000012637443</v>
      </c>
      <c r="V226" s="53">
        <f>V224/V225</f>
        <v>11.921126770681381</v>
      </c>
      <c r="W226" s="67"/>
      <c r="X226" s="53">
        <f>X224/X225</f>
        <v>12.266666521503895</v>
      </c>
      <c r="Y226" s="53">
        <f>Y224/Y225</f>
        <v>12.223879979408412</v>
      </c>
      <c r="Z226" s="53">
        <f>Z224/Z225</f>
        <v>11.570000012637443</v>
      </c>
      <c r="AA226" s="53">
        <f>AA224/AA225</f>
        <v>11.921126770681381</v>
      </c>
      <c r="AB226" s="67"/>
      <c r="AC226" s="53">
        <f>AC224/AC225</f>
        <v>12.266666521503895</v>
      </c>
      <c r="AD226" s="53">
        <f>AD224/AD225</f>
        <v>12.359700868068504</v>
      </c>
      <c r="AE226" s="53">
        <f>AE224/AE225</f>
        <v>11.570000012637443</v>
      </c>
      <c r="AF226" s="53">
        <f>AF224/AF225</f>
        <v>11.921126770681381</v>
      </c>
      <c r="AG226" s="67"/>
      <c r="AH226" s="53">
        <f>AH224/AH225</f>
        <v>12.266666521503895</v>
      </c>
      <c r="AI226" s="53">
        <f>AI224/AI225</f>
        <v>12.223879979408412</v>
      </c>
      <c r="AJ226" s="53">
        <f>AJ224/AJ225</f>
        <v>11.570000012637443</v>
      </c>
      <c r="AK226" s="53">
        <f>AK224/AK225</f>
        <v>11.921126770681381</v>
      </c>
      <c r="AL226" s="67"/>
    </row>
    <row r="227" spans="1:38" outlineLevel="1" x14ac:dyDescent="0.25">
      <c r="A227" s="300"/>
      <c r="B227" s="509" t="s">
        <v>251</v>
      </c>
      <c r="C227" s="510"/>
      <c r="D227" s="66">
        <f t="shared" ref="D227:K227" si="848">D17/D187</f>
        <v>1.6062306215857083</v>
      </c>
      <c r="E227" s="66">
        <f t="shared" si="848"/>
        <v>1.3943173943173943</v>
      </c>
      <c r="F227" s="367">
        <f t="shared" si="848"/>
        <v>1.4497759029791721</v>
      </c>
      <c r="G227" s="367">
        <f t="shared" si="848"/>
        <v>1.3989146070354381</v>
      </c>
      <c r="H227" s="368">
        <f t="shared" si="848"/>
        <v>5.5753236563358177</v>
      </c>
      <c r="I227" s="367">
        <f t="shared" si="848"/>
        <v>1.5875630013487614</v>
      </c>
      <c r="J227" s="367">
        <f t="shared" si="848"/>
        <v>1.3387615601125855</v>
      </c>
      <c r="K227" s="367">
        <f t="shared" si="848"/>
        <v>0.93698699330723578</v>
      </c>
      <c r="L227" s="68">
        <v>1.020968745493843</v>
      </c>
      <c r="M227" s="67"/>
      <c r="N227" s="68">
        <v>1.1330788438926926</v>
      </c>
      <c r="O227" s="68">
        <v>1.057770089696016</v>
      </c>
      <c r="P227" s="68">
        <v>1.0621094888474514</v>
      </c>
      <c r="Q227" s="68">
        <v>1.0275014233753998</v>
      </c>
      <c r="R227" s="67"/>
      <c r="S227" s="68">
        <f>N227</f>
        <v>1.1330788438926926</v>
      </c>
      <c r="T227" s="68">
        <f t="shared" ref="T227:V227" si="849">O227</f>
        <v>1.057770089696016</v>
      </c>
      <c r="U227" s="68">
        <f t="shared" si="849"/>
        <v>1.0621094888474514</v>
      </c>
      <c r="V227" s="68">
        <f t="shared" si="849"/>
        <v>1.0275014233753998</v>
      </c>
      <c r="W227" s="67"/>
      <c r="X227" s="68">
        <f>S227</f>
        <v>1.1330788438926926</v>
      </c>
      <c r="Y227" s="68">
        <f t="shared" ref="Y227" si="850">T227</f>
        <v>1.057770089696016</v>
      </c>
      <c r="Z227" s="68">
        <f t="shared" ref="Z227" si="851">U227</f>
        <v>1.0621094888474514</v>
      </c>
      <c r="AA227" s="68">
        <f t="shared" ref="AA227" si="852">V227</f>
        <v>1.0275014233753998</v>
      </c>
      <c r="AB227" s="27"/>
      <c r="AC227" s="68">
        <f>X227</f>
        <v>1.1330788438926926</v>
      </c>
      <c r="AD227" s="68">
        <f t="shared" ref="AD227" si="853">Y227</f>
        <v>1.057770089696016</v>
      </c>
      <c r="AE227" s="68">
        <f t="shared" ref="AE227" si="854">Z227</f>
        <v>1.0621094888474514</v>
      </c>
      <c r="AF227" s="68">
        <f t="shared" ref="AF227" si="855">AA227</f>
        <v>1.0275014233753998</v>
      </c>
      <c r="AG227" s="27"/>
      <c r="AH227" s="68">
        <f>AC227</f>
        <v>1.1330788438926926</v>
      </c>
      <c r="AI227" s="68">
        <f t="shared" ref="AI227" si="856">AD227</f>
        <v>1.057770089696016</v>
      </c>
      <c r="AJ227" s="68">
        <f t="shared" ref="AJ227" si="857">AE227</f>
        <v>1.0621094888474514</v>
      </c>
      <c r="AK227" s="68">
        <f t="shared" ref="AK227" si="858">AF227</f>
        <v>1.0275014233753998</v>
      </c>
      <c r="AL227" s="27"/>
    </row>
    <row r="228" spans="1:38" s="47" customFormat="1" outlineLevel="1" x14ac:dyDescent="0.25">
      <c r="A228" s="366"/>
      <c r="B228" s="549" t="s">
        <v>60</v>
      </c>
      <c r="C228" s="550"/>
      <c r="D228" s="53">
        <f t="shared" ref="D228:AA228" si="859">D224/D227</f>
        <v>57.276955602536987</v>
      </c>
      <c r="E228" s="53">
        <f t="shared" si="859"/>
        <v>64.547713717693838</v>
      </c>
      <c r="F228" s="324">
        <f t="shared" si="859"/>
        <v>62.768321513002363</v>
      </c>
      <c r="G228" s="324">
        <f t="shared" si="859"/>
        <v>65.765272259873825</v>
      </c>
      <c r="H228" s="368"/>
      <c r="I228" s="324">
        <f t="shared" si="859"/>
        <v>57.950456090144868</v>
      </c>
      <c r="J228" s="324">
        <f t="shared" si="859"/>
        <v>67.973269259648589</v>
      </c>
      <c r="K228" s="324">
        <f>K224/K227</f>
        <v>97.119811320754721</v>
      </c>
      <c r="L228" s="53">
        <f t="shared" si="859"/>
        <v>90.11049594422164</v>
      </c>
      <c r="M228" s="67"/>
      <c r="N228" s="53">
        <f t="shared" si="859"/>
        <v>81.194702818679389</v>
      </c>
      <c r="O228" s="53">
        <f t="shared" si="859"/>
        <v>85.08465202099292</v>
      </c>
      <c r="P228" s="53">
        <f t="shared" si="859"/>
        <v>85.678549109610813</v>
      </c>
      <c r="Q228" s="53">
        <f t="shared" si="859"/>
        <v>89.537588860728619</v>
      </c>
      <c r="R228" s="67"/>
      <c r="S228" s="53">
        <f t="shared" si="859"/>
        <v>81.194702818679389</v>
      </c>
      <c r="T228" s="53">
        <f t="shared" si="859"/>
        <v>85.08465202099292</v>
      </c>
      <c r="U228" s="53">
        <f t="shared" si="859"/>
        <v>85.678549109610813</v>
      </c>
      <c r="V228" s="53">
        <f t="shared" si="859"/>
        <v>89.537588860728619</v>
      </c>
      <c r="W228" s="67"/>
      <c r="X228" s="53">
        <f t="shared" si="859"/>
        <v>81.194702818679389</v>
      </c>
      <c r="Y228" s="53">
        <f t="shared" si="859"/>
        <v>85.08465202099292</v>
      </c>
      <c r="Z228" s="53">
        <f t="shared" si="859"/>
        <v>85.678549109610813</v>
      </c>
      <c r="AA228" s="53">
        <f t="shared" si="859"/>
        <v>89.537588860728619</v>
      </c>
      <c r="AB228" s="67"/>
      <c r="AC228" s="53">
        <f t="shared" ref="AC228:AF228" si="860">AC224/AC227</f>
        <v>81.194702818679389</v>
      </c>
      <c r="AD228" s="53">
        <f t="shared" si="860"/>
        <v>86.030037043448402</v>
      </c>
      <c r="AE228" s="53">
        <f t="shared" si="860"/>
        <v>85.678549109610813</v>
      </c>
      <c r="AF228" s="53">
        <f t="shared" si="860"/>
        <v>89.537588860728619</v>
      </c>
      <c r="AG228" s="67"/>
      <c r="AH228" s="53">
        <f t="shared" ref="AH228:AK228" si="861">AH224/AH227</f>
        <v>81.194702818679389</v>
      </c>
      <c r="AI228" s="53">
        <f t="shared" si="861"/>
        <v>85.08465202099292</v>
      </c>
      <c r="AJ228" s="53">
        <f t="shared" si="861"/>
        <v>85.678549109610813</v>
      </c>
      <c r="AK228" s="53">
        <f t="shared" si="861"/>
        <v>89.537588860728619</v>
      </c>
      <c r="AL228" s="67"/>
    </row>
    <row r="229" spans="1:38" s="47" customFormat="1" outlineLevel="1" x14ac:dyDescent="0.25">
      <c r="A229" s="366"/>
      <c r="B229" s="509" t="s">
        <v>61</v>
      </c>
      <c r="C229" s="510"/>
      <c r="D229" s="66">
        <f t="shared" ref="D229:K229" si="862">D21/D200</f>
        <v>0.40708768741481144</v>
      </c>
      <c r="E229" s="66">
        <f t="shared" si="862"/>
        <v>0.41770766845992524</v>
      </c>
      <c r="F229" s="367">
        <f t="shared" si="862"/>
        <v>0.40134450846865721</v>
      </c>
      <c r="G229" s="367">
        <f t="shared" si="862"/>
        <v>0.38522316550390839</v>
      </c>
      <c r="H229" s="369">
        <f t="shared" si="862"/>
        <v>1.533243674876019</v>
      </c>
      <c r="I229" s="367">
        <f t="shared" si="862"/>
        <v>0.39996315401621224</v>
      </c>
      <c r="J229" s="367">
        <f t="shared" si="862"/>
        <v>0.40743710534228722</v>
      </c>
      <c r="K229" s="367">
        <f t="shared" si="862"/>
        <v>0.464567843866171</v>
      </c>
      <c r="L229" s="68">
        <v>0.38522316550390839</v>
      </c>
      <c r="M229" s="266"/>
      <c r="N229" s="68">
        <v>0.40352542071551184</v>
      </c>
      <c r="O229" s="68">
        <v>0.4125723869011062</v>
      </c>
      <c r="P229" s="68">
        <v>0.43295617616741411</v>
      </c>
      <c r="Q229" s="68">
        <v>0.38522316550390839</v>
      </c>
      <c r="R229" s="266"/>
      <c r="S229" s="68">
        <f>AVERAGE(I229,N229)</f>
        <v>0.40174428736586204</v>
      </c>
      <c r="T229" s="68">
        <f t="shared" ref="T229" si="863">AVERAGE(J229,O229)</f>
        <v>0.41000474612169668</v>
      </c>
      <c r="U229" s="68">
        <f t="shared" ref="U229" si="864">AVERAGE(K229,P229)</f>
        <v>0.44876201001679256</v>
      </c>
      <c r="V229" s="68">
        <f t="shared" ref="V229" si="865">AVERAGE(L229,Q229)</f>
        <v>0.38522316550390839</v>
      </c>
      <c r="W229" s="266"/>
      <c r="X229" s="68">
        <f>AVERAGE(N229,S229)</f>
        <v>0.40263485404068694</v>
      </c>
      <c r="Y229" s="68">
        <f t="shared" ref="Y229" si="866">AVERAGE(O229,T229)</f>
        <v>0.41128856651140144</v>
      </c>
      <c r="Z229" s="68">
        <f t="shared" ref="Z229" si="867">AVERAGE(P229,U229)</f>
        <v>0.44085909309210336</v>
      </c>
      <c r="AA229" s="68">
        <f t="shared" ref="AA229" si="868">AVERAGE(Q229,V229)</f>
        <v>0.38522316550390839</v>
      </c>
      <c r="AB229" s="67"/>
      <c r="AC229" s="68">
        <f>AVERAGE(S229,X229)</f>
        <v>0.40218957070327449</v>
      </c>
      <c r="AD229" s="68">
        <f t="shared" ref="AD229" si="869">AVERAGE(T229,Y229)</f>
        <v>0.41064665631654906</v>
      </c>
      <c r="AE229" s="68">
        <f t="shared" ref="AE229" si="870">AVERAGE(U229,Z229)</f>
        <v>0.44481055155444793</v>
      </c>
      <c r="AF229" s="68">
        <f t="shared" ref="AF229" si="871">AVERAGE(V229,AA229)</f>
        <v>0.38522316550390839</v>
      </c>
      <c r="AG229" s="67"/>
      <c r="AH229" s="68">
        <f>AVERAGE(X229,AC229)</f>
        <v>0.40241221237198072</v>
      </c>
      <c r="AI229" s="68">
        <f t="shared" ref="AI229" si="872">AVERAGE(Y229,AD229)</f>
        <v>0.41096761141397525</v>
      </c>
      <c r="AJ229" s="68">
        <f t="shared" ref="AJ229" si="873">AVERAGE(Z229,AE229)</f>
        <v>0.44283482232327565</v>
      </c>
      <c r="AK229" s="68">
        <f t="shared" ref="AK229" si="874">AVERAGE(AA229,AF229)</f>
        <v>0.38522316550390839</v>
      </c>
      <c r="AL229" s="67"/>
    </row>
    <row r="230" spans="1:38" s="47" customFormat="1" outlineLevel="1" x14ac:dyDescent="0.25">
      <c r="A230" s="366"/>
      <c r="B230" s="549" t="s">
        <v>22</v>
      </c>
      <c r="C230" s="550"/>
      <c r="D230" s="38">
        <f>D224/D229</f>
        <v>225.99553571428572</v>
      </c>
      <c r="E230" s="38">
        <f>E224/E229</f>
        <v>215.46168958742632</v>
      </c>
      <c r="F230" s="302">
        <f>F224/F229</f>
        <v>226.73787252556016</v>
      </c>
      <c r="G230" s="302">
        <f>G224/G229</f>
        <v>238.82260528038412</v>
      </c>
      <c r="H230" s="370"/>
      <c r="I230" s="302">
        <f>I224/I229</f>
        <v>230.02118839244588</v>
      </c>
      <c r="J230" s="302">
        <f>J224/J229</f>
        <v>223.34735547355476</v>
      </c>
      <c r="K230" s="302">
        <f>K224/K229</f>
        <v>195.88097024256064</v>
      </c>
      <c r="L230" s="38">
        <f>L224/L229</f>
        <v>238.82260528038412</v>
      </c>
      <c r="M230" s="62"/>
      <c r="N230" s="38">
        <f>N224/N229</f>
        <v>227.99059310035545</v>
      </c>
      <c r="O230" s="38">
        <f>O224/O229</f>
        <v>218.14353761288692</v>
      </c>
      <c r="P230" s="38">
        <f>P224/P229</f>
        <v>210.18293538515641</v>
      </c>
      <c r="Q230" s="38">
        <f>Q224/Q229</f>
        <v>238.82260528038412</v>
      </c>
      <c r="R230" s="62"/>
      <c r="S230" s="38">
        <f>S224/S229</f>
        <v>229.00138942415649</v>
      </c>
      <c r="T230" s="38">
        <f>T224/T229</f>
        <v>219.50965409870255</v>
      </c>
      <c r="U230" s="38">
        <f>U224/U229</f>
        <v>202.7800882623616</v>
      </c>
      <c r="V230" s="38">
        <f>V224/V229</f>
        <v>238.82260528038412</v>
      </c>
      <c r="W230" s="62"/>
      <c r="X230" s="38">
        <f>X224/X229</f>
        <v>228.49487339887182</v>
      </c>
      <c r="Y230" s="38">
        <f>Y224/Y229</f>
        <v>218.82446371750791</v>
      </c>
      <c r="Z230" s="38">
        <f>Z224/Z229</f>
        <v>206.41515946000567</v>
      </c>
      <c r="AA230" s="38">
        <f>AA224/AA229</f>
        <v>238.82260528038412</v>
      </c>
      <c r="AB230" s="62"/>
      <c r="AC230" s="38">
        <f>AC224/AC229</f>
        <v>228.74785101743805</v>
      </c>
      <c r="AD230" s="38">
        <f>AD224/AD229</f>
        <v>221.60170696690682</v>
      </c>
      <c r="AE230" s="38">
        <f>AE224/AE229</f>
        <v>204.58147784936475</v>
      </c>
      <c r="AF230" s="38">
        <f>AF224/AF229</f>
        <v>238.82260528038412</v>
      </c>
      <c r="AG230" s="62"/>
      <c r="AH230" s="38">
        <f>AH224/AH229</f>
        <v>228.62129222598566</v>
      </c>
      <c r="AI230" s="38">
        <f>AI224/AI229</f>
        <v>218.99535997580438</v>
      </c>
      <c r="AJ230" s="38">
        <f>AJ224/AJ229</f>
        <v>205.49422812456407</v>
      </c>
      <c r="AK230" s="38">
        <f>AK224/AK229</f>
        <v>238.82260528038412</v>
      </c>
      <c r="AL230" s="62"/>
    </row>
    <row r="231" spans="1:38" s="47" customFormat="1" outlineLevel="1" x14ac:dyDescent="0.25">
      <c r="A231" s="366"/>
      <c r="B231" s="509" t="s">
        <v>253</v>
      </c>
      <c r="C231" s="510"/>
      <c r="D231" s="64">
        <f>(D190+D185)/D198</f>
        <v>2.4783172266068774E-2</v>
      </c>
      <c r="E231" s="64">
        <f>(E190+E185)/E198</f>
        <v>1.862044337628033E-2</v>
      </c>
      <c r="F231" s="334">
        <f t="shared" ref="F231:K231" si="875">(F190+F185)/F198</f>
        <v>1.4104190097872643E-2</v>
      </c>
      <c r="G231" s="334">
        <f t="shared" si="875"/>
        <v>1.5114935950133718E-2</v>
      </c>
      <c r="H231" s="370">
        <f t="shared" si="875"/>
        <v>1.5114935950133718E-2</v>
      </c>
      <c r="I231" s="334">
        <f t="shared" si="875"/>
        <v>9.6713821566244626E-3</v>
      </c>
      <c r="J231" s="334">
        <f t="shared" si="875"/>
        <v>9.1597553031598795E-3</v>
      </c>
      <c r="K231" s="334">
        <f t="shared" si="875"/>
        <v>1.5555616562459249E-2</v>
      </c>
      <c r="L231" s="72">
        <f>AVERAGE(G231,I231,J231,K231)</f>
        <v>1.2375422493094326E-2</v>
      </c>
      <c r="M231" s="62"/>
      <c r="N231" s="72">
        <f>AVERAGE(I231,J231,K231,L231)</f>
        <v>1.1690544128834478E-2</v>
      </c>
      <c r="O231" s="72">
        <f>AVERAGE(J231,K231,L231,N231)</f>
        <v>1.2195334621886985E-2</v>
      </c>
      <c r="P231" s="72">
        <f>AVERAGE(K231,L231,N231,O231)</f>
        <v>1.2954229451568759E-2</v>
      </c>
      <c r="Q231" s="72">
        <f>AVERAGE(L231,N231,O231,P231)</f>
        <v>1.2303882673846137E-2</v>
      </c>
      <c r="R231" s="62"/>
      <c r="S231" s="72">
        <f>AVERAGE(N231,O231,P231,Q231)</f>
        <v>1.2285997719034089E-2</v>
      </c>
      <c r="T231" s="72">
        <f>AVERAGE(O231,P231,Q231,S231)</f>
        <v>1.2434861116583993E-2</v>
      </c>
      <c r="U231" s="72">
        <f>AVERAGE(P231,Q231,S231,T231)</f>
        <v>1.2494742740258245E-2</v>
      </c>
      <c r="V231" s="72">
        <f>AVERAGE(Q231,S231,T231,U231)</f>
        <v>1.2379871062430617E-2</v>
      </c>
      <c r="W231" s="62"/>
      <c r="X231" s="72">
        <f>AVERAGE(S231,T231,U231,V231)</f>
        <v>1.2398868159576736E-2</v>
      </c>
      <c r="Y231" s="72">
        <f>AVERAGE(T231,U231,V231,X231)</f>
        <v>1.2427085769712397E-2</v>
      </c>
      <c r="Z231" s="72">
        <f>AVERAGE(U231,V231,X231,Y231)</f>
        <v>1.2425141932994498E-2</v>
      </c>
      <c r="AA231" s="72">
        <f>AVERAGE(V231,X231,Y231,Z231)</f>
        <v>1.2407741731178562E-2</v>
      </c>
      <c r="AB231" s="62"/>
      <c r="AC231" s="72">
        <f>AVERAGE(X231,Y231,Z231,AA231)</f>
        <v>1.2414709398365548E-2</v>
      </c>
      <c r="AD231" s="72">
        <f>AVERAGE(Y231,Z231,AA231,AC231)</f>
        <v>1.2418669708062751E-2</v>
      </c>
      <c r="AE231" s="72">
        <f>AVERAGE(Z231,AA231,AC231,AD231)</f>
        <v>1.2416565692650341E-2</v>
      </c>
      <c r="AF231" s="72">
        <f>AVERAGE(AA231,AC231,AD231,AE231)</f>
        <v>1.2414421632564301E-2</v>
      </c>
      <c r="AG231" s="62"/>
      <c r="AH231" s="72">
        <f>AVERAGE(AC231,AD231,AE231,AF231)</f>
        <v>1.2416091607910736E-2</v>
      </c>
      <c r="AI231" s="72">
        <f>AVERAGE(AD231,AE231,AF231,AH231)</f>
        <v>1.2416437160297032E-2</v>
      </c>
      <c r="AJ231" s="72">
        <f>AVERAGE(AE231,AF231,AH231,AI231)</f>
        <v>1.2415879023355603E-2</v>
      </c>
      <c r="AK231" s="72">
        <f>AVERAGE(AF231,AH231,AI231,AJ231)</f>
        <v>1.2415707356031917E-2</v>
      </c>
      <c r="AL231" s="62"/>
    </row>
    <row r="232" spans="1:38" s="47" customFormat="1" outlineLevel="1" x14ac:dyDescent="0.25">
      <c r="A232" s="366"/>
      <c r="B232" s="51" t="s">
        <v>252</v>
      </c>
      <c r="C232" s="297"/>
      <c r="D232" s="64">
        <f>D185/(D185+D190)</f>
        <v>0.4648626817447496</v>
      </c>
      <c r="E232" s="64">
        <f>E185/(E185+E190)</f>
        <v>0.23318112633181123</v>
      </c>
      <c r="F232" s="334">
        <f t="shared" ref="F232:K232" si="876">F185/(F185+F190)</f>
        <v>0.24465558194774345</v>
      </c>
      <c r="G232" s="334">
        <f t="shared" si="876"/>
        <v>0.24268502581755594</v>
      </c>
      <c r="H232" s="370">
        <f t="shared" si="876"/>
        <v>0.24268502581755594</v>
      </c>
      <c r="I232" s="334">
        <f t="shared" si="876"/>
        <v>0.25503355704697983</v>
      </c>
      <c r="J232" s="334">
        <f t="shared" si="876"/>
        <v>0.21017083829956296</v>
      </c>
      <c r="K232" s="334">
        <f t="shared" si="876"/>
        <v>0.50716964482682547</v>
      </c>
      <c r="L232" s="72">
        <f>AVERAGE(G232,I232,J232,K232)</f>
        <v>0.30376476649773104</v>
      </c>
      <c r="M232" s="62"/>
      <c r="N232" s="72">
        <f>AVERAGE(I232,J232,K232,L232)</f>
        <v>0.31903470166777481</v>
      </c>
      <c r="O232" s="72">
        <f>AVERAGE(J232,K232,L232,N232)</f>
        <v>0.33503498782297358</v>
      </c>
      <c r="P232" s="72">
        <f>AVERAGE(K232,L232,N232,O232)</f>
        <v>0.36625102520382624</v>
      </c>
      <c r="Q232" s="72">
        <f>AVERAGE(L232,N232,O232,P232)</f>
        <v>0.33102137029807643</v>
      </c>
      <c r="R232" s="62"/>
      <c r="S232" s="72">
        <f>AVERAGE(N232,O232,P232,Q232)</f>
        <v>0.33783552124816274</v>
      </c>
      <c r="T232" s="72">
        <f>AVERAGE(O232,P232,Q232,S232)</f>
        <v>0.34253572614325972</v>
      </c>
      <c r="U232" s="72">
        <f>AVERAGE(P232,Q232,S232,T232)</f>
        <v>0.3444109107233313</v>
      </c>
      <c r="V232" s="72">
        <f>AVERAGE(Q232,S232,T232,U232)</f>
        <v>0.33895088210320756</v>
      </c>
      <c r="W232" s="62"/>
      <c r="X232" s="72">
        <f>AVERAGE(S232,T232,U232,V232)</f>
        <v>0.34093326005449032</v>
      </c>
      <c r="Y232" s="72">
        <f>AVERAGE(T232,U232,V232,X232)</f>
        <v>0.34170769475607227</v>
      </c>
      <c r="Z232" s="72">
        <f>AVERAGE(U232,V232,X232,Y232)</f>
        <v>0.34150068690927537</v>
      </c>
      <c r="AA232" s="72">
        <f>AVERAGE(V232,X232,Y232,Z232)</f>
        <v>0.34077313095576139</v>
      </c>
      <c r="AB232" s="62"/>
      <c r="AC232" s="72">
        <f>AVERAGE(X232,Y232,Z232,AA232)</f>
        <v>0.34122869316889981</v>
      </c>
      <c r="AD232" s="72">
        <f>AVERAGE(Y232,Z232,AA232,AC232)</f>
        <v>0.34130255144750221</v>
      </c>
      <c r="AE232" s="72">
        <f>AVERAGE(Z232,AA232,AC232,AD232)</f>
        <v>0.34120126562035968</v>
      </c>
      <c r="AF232" s="72">
        <f>AVERAGE(AA232,AC232,AD232,AE232)</f>
        <v>0.34112641029813084</v>
      </c>
      <c r="AG232" s="62"/>
      <c r="AH232" s="72">
        <f>AVERAGE(AC232,AD232,AE232,AF232)</f>
        <v>0.34121473013372311</v>
      </c>
      <c r="AI232" s="72">
        <f>AVERAGE(AD232,AE232,AF232,AH232)</f>
        <v>0.34121123937492898</v>
      </c>
      <c r="AJ232" s="72">
        <f>AVERAGE(AE232,AF232,AH232,AI232)</f>
        <v>0.34118841135678563</v>
      </c>
      <c r="AK232" s="72">
        <f>AVERAGE(AF232,AH232,AI232,AJ232)</f>
        <v>0.34118519779089213</v>
      </c>
      <c r="AL232" s="62"/>
    </row>
    <row r="233" spans="1:38" s="47" customFormat="1" outlineLevel="1" x14ac:dyDescent="0.25">
      <c r="A233" s="366"/>
      <c r="B233" s="84" t="s">
        <v>254</v>
      </c>
      <c r="C233" s="297"/>
      <c r="D233" s="64">
        <f>+(D206+D209)/D219</f>
        <v>-3.1717034875642636</v>
      </c>
      <c r="E233" s="64">
        <f>+(E206+E209)/E219</f>
        <v>-1.8304138862408643</v>
      </c>
      <c r="F233" s="334">
        <f>+(F206+F209)/F219</f>
        <v>-2.5837230840472332</v>
      </c>
      <c r="G233" s="334">
        <f>+(G206+G209)/G219</f>
        <v>-1.7921681913015568</v>
      </c>
      <c r="H233" s="370"/>
      <c r="I233" s="334">
        <f>+(I206+I209)/I219</f>
        <v>-1.7235726649997785</v>
      </c>
      <c r="J233" s="334">
        <f>+(J206+J209)/J219</f>
        <v>-1.8605318005017988</v>
      </c>
      <c r="K233" s="334">
        <f>+(K206+K209)/K219</f>
        <v>-1.9516598448569742</v>
      </c>
      <c r="L233" s="64">
        <f>+(L206+L209)/L219</f>
        <v>-1.7233403723276486</v>
      </c>
      <c r="M233" s="62"/>
      <c r="N233" s="64">
        <f>+(N206+N209)/N219</f>
        <v>-1.5730581763261144</v>
      </c>
      <c r="O233" s="64">
        <f>+(O206+O209)/O219</f>
        <v>-1.462518038529232</v>
      </c>
      <c r="P233" s="64">
        <f>+(P206+P209)/P219</f>
        <v>-1.3476127754579792</v>
      </c>
      <c r="Q233" s="64">
        <f>+(Q206+Q209)/Q219</f>
        <v>-1.3531868740262281</v>
      </c>
      <c r="R233" s="62"/>
      <c r="S233" s="64">
        <f t="shared" ref="S233:AA233" si="877">+(S206+S209)/S219</f>
        <v>-1.3759726439416906</v>
      </c>
      <c r="T233" s="64">
        <f t="shared" si="877"/>
        <v>-1.3445418536430129</v>
      </c>
      <c r="U233" s="64">
        <f t="shared" si="877"/>
        <v>-1.2791854169862111</v>
      </c>
      <c r="V233" s="64">
        <f t="shared" si="877"/>
        <v>-1.2908435198477763</v>
      </c>
      <c r="W233" s="62">
        <f t="shared" si="877"/>
        <v>-1.2908435198477763</v>
      </c>
      <c r="X233" s="64">
        <f t="shared" si="877"/>
        <v>-1.3082128787460316</v>
      </c>
      <c r="Y233" s="64">
        <f t="shared" si="877"/>
        <v>-1.2755706145741439</v>
      </c>
      <c r="Z233" s="64">
        <f t="shared" si="877"/>
        <v>-1.2131669960822118</v>
      </c>
      <c r="AA233" s="64">
        <f t="shared" si="877"/>
        <v>-1.2316728669810397</v>
      </c>
      <c r="AB233" s="62"/>
      <c r="AC233" s="64">
        <f>+(AC206+AC209)/AC219</f>
        <v>-1.2438437762770647</v>
      </c>
      <c r="AD233" s="64">
        <f>+(AD206+AD209)/AD219</f>
        <v>-1.2032224815921002</v>
      </c>
      <c r="AE233" s="64">
        <f>+(AE206+AE209)/AE219</f>
        <v>-1.1318214491808434</v>
      </c>
      <c r="AF233" s="64">
        <f>+(AF206+AF209)/AF219</f>
        <v>-1.144396533503901</v>
      </c>
      <c r="AG233" s="62"/>
      <c r="AH233" s="64">
        <f>+(AH206+AH209)/AH219</f>
        <v>-1.1255583220832419</v>
      </c>
      <c r="AI233" s="64">
        <f>+(AI206+AI209)/AI219</f>
        <v>-1.0501337720498476</v>
      </c>
      <c r="AJ233" s="64">
        <f>+(AJ206+AJ209)/AJ219</f>
        <v>-0.94444478674042509</v>
      </c>
      <c r="AK233" s="64">
        <f>+(AK206+AK209)/AK219</f>
        <v>-0.91842192859774352</v>
      </c>
      <c r="AL233" s="62"/>
    </row>
    <row r="234" spans="1:38" s="47" customFormat="1" outlineLevel="1" x14ac:dyDescent="0.25">
      <c r="A234" s="366"/>
      <c r="B234" s="51" t="s">
        <v>255</v>
      </c>
      <c r="C234" s="297"/>
      <c r="D234" s="64">
        <f>+D206/(D206+D209)</f>
        <v>0</v>
      </c>
      <c r="E234" s="64">
        <f>+E206/(E206+E209)</f>
        <v>8.1375793413985785E-3</v>
      </c>
      <c r="F234" s="334">
        <f>+F206/(F206+F209)</f>
        <v>0</v>
      </c>
      <c r="G234" s="334">
        <f>+G206/(G206+G209)</f>
        <v>0</v>
      </c>
      <c r="H234" s="370"/>
      <c r="I234" s="334">
        <f>+I206/(I206+I209)</f>
        <v>8.5546532987690757E-2</v>
      </c>
      <c r="J234" s="334">
        <f>+J206/(J206+J209)</f>
        <v>0.16813887778982817</v>
      </c>
      <c r="K234" s="334">
        <f>+K206/(K206+K209)</f>
        <v>0.12987992894360045</v>
      </c>
      <c r="L234" s="64">
        <f>+L206/(L206+L209)</f>
        <v>0.10668691711345739</v>
      </c>
      <c r="M234" s="62"/>
      <c r="N234" s="64">
        <f>+N206/(N206+N209)</f>
        <v>8.2223628718424327E-2</v>
      </c>
      <c r="O234" s="64">
        <f>+O206/(O206+O209)</f>
        <v>5.6382766241213342E-2</v>
      </c>
      <c r="P234" s="64">
        <f>+P206/(P206+P209)</f>
        <v>2.9044597810881936E-2</v>
      </c>
      <c r="Q234" s="64">
        <f>+Q206/(Q206+Q209)</f>
        <v>6.827989293712787E-2</v>
      </c>
      <c r="R234" s="62"/>
      <c r="S234" s="64">
        <f t="shared" ref="S234:AA234" si="878">+S206/(S206+S209)</f>
        <v>5.2099252549390088E-2</v>
      </c>
      <c r="T234" s="64">
        <f t="shared" si="878"/>
        <v>3.5346680239791879E-2</v>
      </c>
      <c r="U234" s="64">
        <f t="shared" si="878"/>
        <v>1.7991306600650566E-2</v>
      </c>
      <c r="V234" s="64">
        <f t="shared" si="878"/>
        <v>7.3283695843348776E-2</v>
      </c>
      <c r="W234" s="62">
        <f t="shared" si="878"/>
        <v>7.3283695843348776E-2</v>
      </c>
      <c r="X234" s="64">
        <f t="shared" si="878"/>
        <v>5.5988533548329299E-2</v>
      </c>
      <c r="Y234" s="64">
        <f t="shared" si="878"/>
        <v>3.8035540408958131E-2</v>
      </c>
      <c r="Z234" s="64">
        <f t="shared" si="878"/>
        <v>1.9386457396321225E-2</v>
      </c>
      <c r="AA234" s="64">
        <f t="shared" si="878"/>
        <v>0.12201872588093882</v>
      </c>
      <c r="AB234" s="62"/>
      <c r="AC234" s="64">
        <f>+AC206/(AC206+AC209)</f>
        <v>9.4393487685412142E-2</v>
      </c>
      <c r="AD234" s="64">
        <f>+AD206/(AD206+AD209)</f>
        <v>6.4973345348279032E-2</v>
      </c>
      <c r="AE234" s="64">
        <f>+AE206/(AE206+AE209)</f>
        <v>3.3577493721900879E-2</v>
      </c>
      <c r="AF234" s="64">
        <f>+AF206/(AF206+AF209)</f>
        <v>0.27020697854556591</v>
      </c>
      <c r="AG234" s="62"/>
      <c r="AH234" s="64">
        <f>+AH206/(AH206+AH209)</f>
        <v>0.21733670768695787</v>
      </c>
      <c r="AI234" s="64">
        <f>+AI206/(AI206+AI209)</f>
        <v>0.15620769374960947</v>
      </c>
      <c r="AJ234" s="64">
        <f>+AJ206/(AJ206+AJ209)</f>
        <v>8.472087296387501E-2</v>
      </c>
      <c r="AK234" s="64">
        <f>+AK206/(AK206+AK209)</f>
        <v>0.24683434946807198</v>
      </c>
      <c r="AL234" s="62"/>
    </row>
    <row r="235" spans="1:38" s="47" customFormat="1" outlineLevel="1" x14ac:dyDescent="0.25">
      <c r="A235" s="366"/>
      <c r="B235" s="84" t="s">
        <v>249</v>
      </c>
      <c r="C235" s="297"/>
      <c r="D235" s="64">
        <f>+D194/(D205+D211)</f>
        <v>7.7585075018799465E-2</v>
      </c>
      <c r="E235" s="64">
        <f>+E194/(E205+E211)</f>
        <v>0.12468259571674534</v>
      </c>
      <c r="F235" s="325">
        <f t="shared" ref="F235:K235" si="879">+F194/(F205+F211)</f>
        <v>0.19119242713361023</v>
      </c>
      <c r="G235" s="325">
        <f t="shared" si="879"/>
        <v>0.22035590386103276</v>
      </c>
      <c r="H235" s="365">
        <f t="shared" si="879"/>
        <v>0.22035590386103276</v>
      </c>
      <c r="I235" s="364">
        <f t="shared" si="879"/>
        <v>0.20507171706404201</v>
      </c>
      <c r="J235" s="364">
        <f t="shared" si="879"/>
        <v>0.21050752296288999</v>
      </c>
      <c r="K235" s="325">
        <f t="shared" si="879"/>
        <v>0.2146584586535733</v>
      </c>
      <c r="L235" s="73">
        <f>AVERAGE(G235,I235,J235,K235)</f>
        <v>0.21264840063538454</v>
      </c>
      <c r="M235" s="96"/>
      <c r="N235" s="57">
        <f>AVERAGE(I235,J235,K235,L235)</f>
        <v>0.2107215248289725</v>
      </c>
      <c r="O235" s="57">
        <f>AVERAGE(J235,K235,L235,N235)</f>
        <v>0.21213397677020507</v>
      </c>
      <c r="P235" s="73">
        <f>AVERAGE(K235,L235,N235,O235)</f>
        <v>0.21254059022203386</v>
      </c>
      <c r="Q235" s="73">
        <f>AVERAGE(L235,N235,O235,P235)</f>
        <v>0.21201112311414899</v>
      </c>
      <c r="R235" s="96"/>
      <c r="S235" s="57">
        <f>AVERAGE(N235,O235,P235,Q235)</f>
        <v>0.2118518037338401</v>
      </c>
      <c r="T235" s="57">
        <f>AVERAGE(O235,P235,Q235,S235)</f>
        <v>0.21213437346005704</v>
      </c>
      <c r="U235" s="73">
        <f>AVERAGE(P235,Q235,S235,T235)</f>
        <v>0.21213447263252</v>
      </c>
      <c r="V235" s="73">
        <f>AVERAGE(Q235,S235,T235,U235)</f>
        <v>0.21203294323514155</v>
      </c>
      <c r="W235" s="96"/>
      <c r="X235" s="57">
        <f>AVERAGE(S235,T235,U235,V235)</f>
        <v>0.21203839826538967</v>
      </c>
      <c r="Y235" s="57">
        <f>AVERAGE(T235,U235,V235,X235)</f>
        <v>0.21208504689827706</v>
      </c>
      <c r="Z235" s="73">
        <f>AVERAGE(U235,V235,X235,Y235)</f>
        <v>0.21207271525783206</v>
      </c>
      <c r="AA235" s="184">
        <f>AVERAGE(V235,X235,Y235,Z235)</f>
        <v>0.21205727591416007</v>
      </c>
      <c r="AB235" s="62"/>
      <c r="AC235" s="57">
        <f>AVERAGE(X235,Y235,Z235,AA235)</f>
        <v>0.21206335908391472</v>
      </c>
      <c r="AD235" s="57">
        <f>AVERAGE(Y235,Z235,AA235,AC235)</f>
        <v>0.21206959928854596</v>
      </c>
      <c r="AE235" s="73">
        <f>AVERAGE(Z235,AA235,AC235,AD235)</f>
        <v>0.2120657373861132</v>
      </c>
      <c r="AF235" s="184">
        <f>AVERAGE(AA235,AC235,AD235,AE235)</f>
        <v>0.21206399291818351</v>
      </c>
      <c r="AG235" s="62"/>
      <c r="AH235" s="57">
        <f>AVERAGE(AC235,AD235,AE235,AF235)</f>
        <v>0.21206567216918937</v>
      </c>
      <c r="AI235" s="57">
        <f>AVERAGE(AD235,AE235,AF235,AH235)</f>
        <v>0.21206625044050803</v>
      </c>
      <c r="AJ235" s="73">
        <f>AVERAGE(AE235,AF235,AH235,AI235)</f>
        <v>0.21206541322849853</v>
      </c>
      <c r="AK235" s="184">
        <f>AVERAGE(AF235,AH235,AI235,AJ235)</f>
        <v>0.21206533218909485</v>
      </c>
      <c r="AL235" s="62"/>
    </row>
    <row r="236" spans="1:38" outlineLevel="1" x14ac:dyDescent="0.25">
      <c r="A236" s="300"/>
      <c r="B236" s="95" t="s">
        <v>73</v>
      </c>
      <c r="C236" s="298"/>
      <c r="D236" s="267"/>
      <c r="E236" s="267">
        <f>+E242/((E192+D192)/2)</f>
        <v>6.122482504846076E-2</v>
      </c>
      <c r="F236" s="371">
        <f t="shared" ref="F236:H236" si="880">+F242/((F192+E192)/2)</f>
        <v>5.8442138063667992E-2</v>
      </c>
      <c r="G236" s="371">
        <f t="shared" si="880"/>
        <v>5.7957922263164152E-2</v>
      </c>
      <c r="H236" s="372">
        <f t="shared" si="880"/>
        <v>0.2253370026587061</v>
      </c>
      <c r="I236" s="373">
        <f>+I242/((I192+G192)/2)</f>
        <v>5.75858250276855E-2</v>
      </c>
      <c r="J236" s="373">
        <f>+J242/((J192+I192)/2)</f>
        <v>5.9117695395957084E-2</v>
      </c>
      <c r="K236" s="371">
        <f>+K242/((K192+J192)/2)</f>
        <v>5.9467301657388859E-2</v>
      </c>
      <c r="L236" s="172">
        <f>AVERAGE(G236,I236,J236,K236)</f>
        <v>5.8532186086048897E-2</v>
      </c>
      <c r="M236" s="123"/>
      <c r="N236" s="173">
        <f>AVERAGE(I236,J236,K236,L236)</f>
        <v>5.8675752041770085E-2</v>
      </c>
      <c r="O236" s="173">
        <f>AVERAGE(J236,K236,L236,N236)</f>
        <v>5.8948233795291231E-2</v>
      </c>
      <c r="P236" s="172">
        <f>AVERAGE(K236,L236,N236,O236)</f>
        <v>5.8905868395124766E-2</v>
      </c>
      <c r="Q236" s="172">
        <f>AVERAGE(L236,N236,O236,P236)</f>
        <v>5.8765510079558748E-2</v>
      </c>
      <c r="R236" s="123"/>
      <c r="S236" s="173">
        <f>AVERAGE(N236,O236,P236,Q236)</f>
        <v>5.8823841077936208E-2</v>
      </c>
      <c r="T236" s="173">
        <f>AVERAGE(O236,P236,Q236,S236)</f>
        <v>5.8860863336977737E-2</v>
      </c>
      <c r="U236" s="172">
        <f>AVERAGE(P236,Q236,S236,T236)</f>
        <v>5.8839020722399361E-2</v>
      </c>
      <c r="V236" s="172">
        <f>AVERAGE(Q236,S236,T236,U236)</f>
        <v>5.8822308804218008E-2</v>
      </c>
      <c r="W236" s="123"/>
      <c r="X236" s="173">
        <f>AVERAGE(S236,T236,U236,V236)</f>
        <v>5.8836508485382827E-2</v>
      </c>
      <c r="Y236" s="173">
        <f>AVERAGE(T236,U236,V236,X236)</f>
        <v>5.8839675337244483E-2</v>
      </c>
      <c r="Z236" s="172">
        <f>AVERAGE(U236,V236,X236,Y236)</f>
        <v>5.8834378337311172E-2</v>
      </c>
      <c r="AA236" s="172">
        <f>AVERAGE(V236,X236,Y236,Z236)</f>
        <v>5.8833217741039126E-2</v>
      </c>
      <c r="AB236" s="268"/>
      <c r="AC236" s="173">
        <f>AVERAGE(X236,Y236,Z236,AA236)</f>
        <v>5.88359449752444E-2</v>
      </c>
      <c r="AD236" s="173">
        <f>AVERAGE(Y236,Z236,AA236,AC236)</f>
        <v>5.8835804097709804E-2</v>
      </c>
      <c r="AE236" s="172">
        <f>AVERAGE(Z236,AA236,AC236,AD236)</f>
        <v>5.8834836287826126E-2</v>
      </c>
      <c r="AF236" s="172">
        <f>AVERAGE(AA236,AC236,AD236,AE236)</f>
        <v>5.8834950775454864E-2</v>
      </c>
      <c r="AG236" s="268"/>
      <c r="AH236" s="173">
        <f>AVERAGE(AC236,AD236,AE236,AF236)</f>
        <v>5.8835384034058802E-2</v>
      </c>
      <c r="AI236" s="173">
        <f>AVERAGE(AD236,AE236,AF236,AH236)</f>
        <v>5.8835243798762399E-2</v>
      </c>
      <c r="AJ236" s="172">
        <f>AVERAGE(AE236,AF236,AH236,AI236)</f>
        <v>5.8835103724025548E-2</v>
      </c>
      <c r="AK236" s="172">
        <f>AVERAGE(AF236,AH236,AI236,AJ236)</f>
        <v>5.88351705830754E-2</v>
      </c>
      <c r="AL236" s="268"/>
    </row>
    <row r="237" spans="1:38" x14ac:dyDescent="0.25">
      <c r="A237" s="300"/>
      <c r="B237" s="19"/>
      <c r="C237" s="19"/>
      <c r="D237" s="13"/>
      <c r="E237" s="13"/>
      <c r="F237" s="13"/>
      <c r="G237" s="13"/>
    </row>
    <row r="238" spans="1:38" ht="15.75" x14ac:dyDescent="0.25">
      <c r="A238" s="300"/>
      <c r="B238" s="511" t="s">
        <v>122</v>
      </c>
      <c r="C238" s="512"/>
      <c r="D238" s="35" t="s">
        <v>110</v>
      </c>
      <c r="E238" s="35" t="s">
        <v>281</v>
      </c>
      <c r="F238" s="35" t="s">
        <v>283</v>
      </c>
      <c r="G238" s="35" t="s">
        <v>124</v>
      </c>
      <c r="H238" s="103" t="s">
        <v>124</v>
      </c>
      <c r="I238" s="35" t="s">
        <v>125</v>
      </c>
      <c r="J238" s="35" t="s">
        <v>126</v>
      </c>
      <c r="K238" s="35" t="s">
        <v>127</v>
      </c>
      <c r="L238" s="37" t="s">
        <v>128</v>
      </c>
      <c r="M238" s="106" t="s">
        <v>128</v>
      </c>
      <c r="N238" s="37" t="s">
        <v>129</v>
      </c>
      <c r="O238" s="37" t="s">
        <v>130</v>
      </c>
      <c r="P238" s="37" t="s">
        <v>131</v>
      </c>
      <c r="Q238" s="37" t="s">
        <v>132</v>
      </c>
      <c r="R238" s="106" t="s">
        <v>132</v>
      </c>
      <c r="S238" s="37" t="s">
        <v>133</v>
      </c>
      <c r="T238" s="37" t="s">
        <v>134</v>
      </c>
      <c r="U238" s="37" t="s">
        <v>135</v>
      </c>
      <c r="V238" s="37" t="s">
        <v>136</v>
      </c>
      <c r="W238" s="106" t="s">
        <v>136</v>
      </c>
      <c r="X238" s="37" t="s">
        <v>137</v>
      </c>
      <c r="Y238" s="37" t="s">
        <v>138</v>
      </c>
      <c r="Z238" s="37" t="s">
        <v>139</v>
      </c>
      <c r="AA238" s="37" t="s">
        <v>140</v>
      </c>
      <c r="AB238" s="106" t="s">
        <v>140</v>
      </c>
      <c r="AC238" s="37" t="s">
        <v>285</v>
      </c>
      <c r="AD238" s="37" t="s">
        <v>286</v>
      </c>
      <c r="AE238" s="37" t="s">
        <v>287</v>
      </c>
      <c r="AF238" s="37" t="s">
        <v>288</v>
      </c>
      <c r="AG238" s="106" t="s">
        <v>288</v>
      </c>
      <c r="AH238" s="37" t="s">
        <v>318</v>
      </c>
      <c r="AI238" s="37" t="s">
        <v>319</v>
      </c>
      <c r="AJ238" s="37" t="s">
        <v>320</v>
      </c>
      <c r="AK238" s="37" t="s">
        <v>321</v>
      </c>
      <c r="AL238" s="106" t="s">
        <v>321</v>
      </c>
    </row>
    <row r="239" spans="1:38" ht="17.25" x14ac:dyDescent="0.4">
      <c r="A239" s="300"/>
      <c r="B239" s="88" t="s">
        <v>3</v>
      </c>
      <c r="C239" s="108"/>
      <c r="D239" s="36" t="s">
        <v>123</v>
      </c>
      <c r="E239" s="36" t="s">
        <v>280</v>
      </c>
      <c r="F239" s="36" t="s">
        <v>284</v>
      </c>
      <c r="G239" s="36" t="s">
        <v>294</v>
      </c>
      <c r="H239" s="104" t="s">
        <v>295</v>
      </c>
      <c r="I239" s="36" t="s">
        <v>296</v>
      </c>
      <c r="J239" s="36" t="s">
        <v>297</v>
      </c>
      <c r="K239" s="36" t="s">
        <v>298</v>
      </c>
      <c r="L239" s="34" t="s">
        <v>141</v>
      </c>
      <c r="M239" s="107" t="s">
        <v>142</v>
      </c>
      <c r="N239" s="34" t="s">
        <v>143</v>
      </c>
      <c r="O239" s="34" t="s">
        <v>144</v>
      </c>
      <c r="P239" s="34" t="s">
        <v>145</v>
      </c>
      <c r="Q239" s="34" t="s">
        <v>146</v>
      </c>
      <c r="R239" s="107" t="s">
        <v>147</v>
      </c>
      <c r="S239" s="34" t="s">
        <v>148</v>
      </c>
      <c r="T239" s="34" t="s">
        <v>149</v>
      </c>
      <c r="U239" s="34" t="s">
        <v>150</v>
      </c>
      <c r="V239" s="34" t="s">
        <v>151</v>
      </c>
      <c r="W239" s="107" t="s">
        <v>152</v>
      </c>
      <c r="X239" s="34" t="s">
        <v>153</v>
      </c>
      <c r="Y239" s="34" t="s">
        <v>154</v>
      </c>
      <c r="Z239" s="34" t="s">
        <v>155</v>
      </c>
      <c r="AA239" s="34" t="s">
        <v>156</v>
      </c>
      <c r="AB239" s="107" t="s">
        <v>157</v>
      </c>
      <c r="AC239" s="34" t="s">
        <v>289</v>
      </c>
      <c r="AD239" s="34" t="s">
        <v>290</v>
      </c>
      <c r="AE239" s="34" t="s">
        <v>291</v>
      </c>
      <c r="AF239" s="34" t="s">
        <v>292</v>
      </c>
      <c r="AG239" s="107" t="s">
        <v>293</v>
      </c>
      <c r="AH239" s="34" t="s">
        <v>322</v>
      </c>
      <c r="AI239" s="34" t="s">
        <v>323</v>
      </c>
      <c r="AJ239" s="34" t="s">
        <v>324</v>
      </c>
      <c r="AK239" s="34" t="s">
        <v>325</v>
      </c>
      <c r="AL239" s="107" t="s">
        <v>326</v>
      </c>
    </row>
    <row r="240" spans="1:38" outlineLevel="1" x14ac:dyDescent="0.25">
      <c r="A240" s="300"/>
      <c r="B240" s="503" t="s">
        <v>11</v>
      </c>
      <c r="C240" s="504"/>
      <c r="D240" s="13"/>
      <c r="E240" s="13"/>
      <c r="F240" s="13"/>
      <c r="G240" s="13"/>
      <c r="H240" s="15"/>
      <c r="I240" s="13"/>
      <c r="J240" s="13"/>
      <c r="K240" s="361"/>
      <c r="L240" s="13"/>
      <c r="M240" s="15"/>
      <c r="N240" s="13"/>
      <c r="O240" s="13"/>
      <c r="P240" s="13"/>
      <c r="Q240" s="13"/>
      <c r="R240" s="15"/>
      <c r="S240" s="13"/>
      <c r="T240" s="13"/>
      <c r="U240" s="13"/>
      <c r="V240" s="13"/>
      <c r="W240" s="15"/>
      <c r="X240" s="13"/>
      <c r="Y240" s="13"/>
      <c r="Z240" s="13"/>
      <c r="AA240" s="13"/>
      <c r="AB240" s="15"/>
      <c r="AC240" s="13"/>
      <c r="AD240" s="13"/>
      <c r="AE240" s="13"/>
      <c r="AF240" s="13"/>
      <c r="AG240" s="15"/>
      <c r="AH240" s="13"/>
      <c r="AI240" s="13"/>
      <c r="AJ240" s="13"/>
      <c r="AK240" s="13"/>
      <c r="AL240" s="15"/>
    </row>
    <row r="241" spans="1:38" outlineLevel="1" x14ac:dyDescent="0.25">
      <c r="A241" s="300"/>
      <c r="B241" s="65" t="s">
        <v>232</v>
      </c>
      <c r="C241" s="166"/>
      <c r="D241" s="38">
        <f>D33</f>
        <v>760.40000000000043</v>
      </c>
      <c r="E241" s="302">
        <f>E33-0.2</f>
        <v>658.59999999999968</v>
      </c>
      <c r="F241" s="38">
        <f>F33</f>
        <v>1373.200000000001</v>
      </c>
      <c r="G241" s="38">
        <f>G33+0.2</f>
        <v>802.400000000001</v>
      </c>
      <c r="H241" s="39">
        <f t="shared" ref="H241:AL241" si="881">H33</f>
        <v>3594.6000000000054</v>
      </c>
      <c r="I241" s="38">
        <f t="shared" si="881"/>
        <v>885.29999999999882</v>
      </c>
      <c r="J241" s="38">
        <f t="shared" si="881"/>
        <v>324.79999999999905</v>
      </c>
      <c r="K241" s="38">
        <f t="shared" si="881"/>
        <v>-678.09999999999923</v>
      </c>
      <c r="L241" s="38">
        <f t="shared" si="881"/>
        <v>-319.89730127399901</v>
      </c>
      <c r="M241" s="39">
        <f t="shared" si="881"/>
        <v>212.1026987260023</v>
      </c>
      <c r="N241" s="38">
        <f t="shared" si="881"/>
        <v>-83.144620072985134</v>
      </c>
      <c r="O241" s="38">
        <f t="shared" si="881"/>
        <v>91.778427027498182</v>
      </c>
      <c r="P241" s="38">
        <f t="shared" si="881"/>
        <v>-10.568378033723256</v>
      </c>
      <c r="Q241" s="38">
        <f t="shared" si="881"/>
        <v>960.67233062293053</v>
      </c>
      <c r="R241" s="39">
        <f t="shared" si="881"/>
        <v>958.73775954371217</v>
      </c>
      <c r="S241" s="38">
        <f t="shared" si="881"/>
        <v>1002.3598511407445</v>
      </c>
      <c r="T241" s="38">
        <f t="shared" si="881"/>
        <v>660.12245954282253</v>
      </c>
      <c r="U241" s="38">
        <f t="shared" si="881"/>
        <v>435.86728836775524</v>
      </c>
      <c r="V241" s="38">
        <f t="shared" si="881"/>
        <v>1087.101882144656</v>
      </c>
      <c r="W241" s="39">
        <f t="shared" si="881"/>
        <v>3185.4514811959798</v>
      </c>
      <c r="X241" s="38">
        <f t="shared" si="881"/>
        <v>1120.2467962868391</v>
      </c>
      <c r="Y241" s="38">
        <f t="shared" si="881"/>
        <v>737.60277989561769</v>
      </c>
      <c r="Z241" s="38">
        <f t="shared" si="881"/>
        <v>491.61451663518426</v>
      </c>
      <c r="AA241" s="38">
        <f t="shared" si="881"/>
        <v>1181.2216028497878</v>
      </c>
      <c r="AB241" s="39">
        <f t="shared" si="881"/>
        <v>3530.6856956674292</v>
      </c>
      <c r="AC241" s="38">
        <f t="shared" si="881"/>
        <v>1222.3220206709798</v>
      </c>
      <c r="AD241" s="38">
        <f t="shared" si="881"/>
        <v>815.26692945487798</v>
      </c>
      <c r="AE241" s="38">
        <f t="shared" si="881"/>
        <v>558.27823584492921</v>
      </c>
      <c r="AF241" s="38">
        <f t="shared" si="881"/>
        <v>1290.707817307991</v>
      </c>
      <c r="AG241" s="39">
        <f t="shared" si="881"/>
        <v>3886.5750032787764</v>
      </c>
      <c r="AH241" s="38">
        <f t="shared" si="881"/>
        <v>1338.6707188555126</v>
      </c>
      <c r="AI241" s="38">
        <f t="shared" si="881"/>
        <v>905.06484406442451</v>
      </c>
      <c r="AJ241" s="38">
        <f t="shared" si="881"/>
        <v>635.62876963518147</v>
      </c>
      <c r="AK241" s="38">
        <f t="shared" si="881"/>
        <v>1416.9150706099031</v>
      </c>
      <c r="AL241" s="39">
        <f t="shared" si="881"/>
        <v>4296.2794031650246</v>
      </c>
    </row>
    <row r="242" spans="1:38" outlineLevel="1" x14ac:dyDescent="0.25">
      <c r="A242" s="300"/>
      <c r="B242" s="65" t="s">
        <v>71</v>
      </c>
      <c r="C242" s="166"/>
      <c r="D242" s="38">
        <v>350.8</v>
      </c>
      <c r="E242" s="38">
        <f>723.5-D242</f>
        <v>372.7</v>
      </c>
      <c r="F242" s="38">
        <f>1083.6-E242-D242</f>
        <v>360.09999999999985</v>
      </c>
      <c r="G242" s="38">
        <f>1449.3-F242-E242-D242</f>
        <v>365.7</v>
      </c>
      <c r="H242" s="39">
        <f t="shared" ref="H242:H248" si="882">SUM(D242:G242)</f>
        <v>1449.3</v>
      </c>
      <c r="I242" s="38">
        <v>369.2</v>
      </c>
      <c r="J242" s="38">
        <f>746.9-I242</f>
        <v>377.7</v>
      </c>
      <c r="K242" s="38">
        <f>1124-J242-I242</f>
        <v>377.09999999999997</v>
      </c>
      <c r="L242" s="38">
        <f>(K192*L236)</f>
        <v>368.49523072332948</v>
      </c>
      <c r="M242" s="39">
        <f t="shared" ref="M242:M248" si="883">SUM(I242:L242)</f>
        <v>1492.4952307233295</v>
      </c>
      <c r="N242" s="38">
        <f>(M192*N236)</f>
        <v>368.99841571956341</v>
      </c>
      <c r="O242" s="38">
        <f>(N192*O236)</f>
        <v>376.24601609753734</v>
      </c>
      <c r="P242" s="38">
        <f>(O192*P236)</f>
        <v>378.11355194030091</v>
      </c>
      <c r="Q242" s="38">
        <f>(P192*Q236)</f>
        <v>374.49478131314862</v>
      </c>
      <c r="R242" s="39">
        <f t="shared" ref="R242:R248" si="884">SUM(N242:Q242)</f>
        <v>1497.8527650705503</v>
      </c>
      <c r="S242" s="38">
        <f>(R192*S236)</f>
        <v>382.88566105697652</v>
      </c>
      <c r="T242" s="38">
        <f>(S192*T236)</f>
        <v>390.97484923366625</v>
      </c>
      <c r="U242" s="38">
        <f>(T192*U236)</f>
        <v>392.25077386484969</v>
      </c>
      <c r="V242" s="38">
        <f>(U192*V236)</f>
        <v>388.44283573762613</v>
      </c>
      <c r="W242" s="39">
        <f t="shared" ref="W242:W248" si="885">SUM(S242:V242)</f>
        <v>1554.5541198931187</v>
      </c>
      <c r="X242" s="38">
        <f>(W192*X236)</f>
        <v>396.39957648315158</v>
      </c>
      <c r="Y242" s="38">
        <f>(X192*Y236)</f>
        <v>399.87928823204874</v>
      </c>
      <c r="Z242" s="38">
        <f>(Y192*Z236)</f>
        <v>397.83578131756542</v>
      </c>
      <c r="AA242" s="38">
        <f>(Z192*AA236)</f>
        <v>391.49949524647582</v>
      </c>
      <c r="AB242" s="39">
        <f t="shared" ref="AB242:AB248" si="886">SUM(X242:AA242)</f>
        <v>1585.6141412792417</v>
      </c>
      <c r="AC242" s="38">
        <f>(AB192*AC236)</f>
        <v>395.5671726563138</v>
      </c>
      <c r="AD242" s="38">
        <f>(AC192*AD236)</f>
        <v>400.61981696108478</v>
      </c>
      <c r="AE242" s="38">
        <f>(AD192*AE236)</f>
        <v>399.79376545108249</v>
      </c>
      <c r="AF242" s="38">
        <f>(AE192*AF236)</f>
        <v>394.38450904481113</v>
      </c>
      <c r="AG242" s="39">
        <f t="shared" ref="AG242" si="887">SUM(AC242:AF242)</f>
        <v>1590.3652641132921</v>
      </c>
      <c r="AH242" s="38">
        <f>(AG192*AH236)</f>
        <v>399.93649527517505</v>
      </c>
      <c r="AI242" s="38">
        <f>(AH192*AI236)</f>
        <v>406.54413055950795</v>
      </c>
      <c r="AJ242" s="38">
        <f>(AI192*AJ236)</f>
        <v>406.82233831504573</v>
      </c>
      <c r="AK242" s="38">
        <f>(AJ192*AK236)</f>
        <v>402.1972514551199</v>
      </c>
      <c r="AL242" s="39">
        <f t="shared" ref="AL242" si="888">SUM(AH242:AK242)</f>
        <v>1615.5002156048486</v>
      </c>
    </row>
    <row r="243" spans="1:38" outlineLevel="1" x14ac:dyDescent="0.25">
      <c r="A243" s="300"/>
      <c r="B243" s="65" t="s">
        <v>233</v>
      </c>
      <c r="C243" s="166"/>
      <c r="D243" s="38">
        <v>-354.6</v>
      </c>
      <c r="E243" s="38">
        <f>-714.5-D243</f>
        <v>-359.9</v>
      </c>
      <c r="F243" s="38">
        <f>-1243.5-E243-D243</f>
        <v>-529</v>
      </c>
      <c r="G243" s="302">
        <f>-1495.4-F243-E243-D243</f>
        <v>-251.90000000000009</v>
      </c>
      <c r="H243" s="39">
        <f>SUM(D243:G243)</f>
        <v>-1495.4</v>
      </c>
      <c r="I243" s="38">
        <v>10.4</v>
      </c>
      <c r="J243" s="38">
        <f>47.7-I243</f>
        <v>37.300000000000004</v>
      </c>
      <c r="K243" s="38">
        <f>20-J243-I243</f>
        <v>-27.700000000000003</v>
      </c>
      <c r="L243" s="38">
        <f>-(L194-K194)</f>
        <v>25.055166400376265</v>
      </c>
      <c r="M243" s="39">
        <f>SUM(I243:L243)</f>
        <v>45.055166400376265</v>
      </c>
      <c r="N243" s="38">
        <f>-(N194-L194)</f>
        <v>-70.463367615727748</v>
      </c>
      <c r="O243" s="38">
        <f>-(O194-N194)</f>
        <v>53.549754982101831</v>
      </c>
      <c r="P243" s="38">
        <f>-(P194-O194)</f>
        <v>5.6625068847347393</v>
      </c>
      <c r="Q243" s="38">
        <f>-(Q194-P194)</f>
        <v>13.203700820194626</v>
      </c>
      <c r="R243" s="39">
        <f>SUM(N243:Q243)</f>
        <v>1.952595071303449</v>
      </c>
      <c r="S243" s="38">
        <f>-(S194-Q194)</f>
        <v>-92.909097737393495</v>
      </c>
      <c r="T243" s="38">
        <f>-(T194-S194)</f>
        <v>67.994166337819706</v>
      </c>
      <c r="U243" s="38">
        <f>-(U194-T194)</f>
        <v>9.1574316432540854</v>
      </c>
      <c r="V243" s="38">
        <f>-(V194-U194)</f>
        <v>9.9225845020494035</v>
      </c>
      <c r="W243" s="39">
        <f>SUM(S243:V243)</f>
        <v>-5.8349152542702996</v>
      </c>
      <c r="X243" s="38">
        <f>-(X194-V194)</f>
        <v>-102.69593898336075</v>
      </c>
      <c r="Y243" s="38">
        <f>-(Y194-X194)</f>
        <v>75.284447809598078</v>
      </c>
      <c r="Z243" s="38">
        <f>-(Z194-Y194)</f>
        <v>9.4751715599220461</v>
      </c>
      <c r="AA243" s="38">
        <f>-(AA194-Z194)</f>
        <v>9.4380135637345575</v>
      </c>
      <c r="AB243" s="39">
        <f>SUM(X243:AA243)</f>
        <v>-8.4983060501060663</v>
      </c>
      <c r="AC243" s="38">
        <f>-(AC194-AA194)</f>
        <v>-111.77312612313131</v>
      </c>
      <c r="AD243" s="38">
        <f>-(AD194-AC194)</f>
        <v>81.372296787129244</v>
      </c>
      <c r="AE243" s="38">
        <f>-(AE194-AD194)</f>
        <v>9.6501090012479835</v>
      </c>
      <c r="AF243" s="38">
        <f>-(AF194-AE194)</f>
        <v>9.5680554352488798</v>
      </c>
      <c r="AG243" s="39">
        <f>SUM(AC243:AF243)</f>
        <v>-11.182664899505198</v>
      </c>
      <c r="AH243" s="38">
        <f>-(AH194-AF194)</f>
        <v>-121.54194663776229</v>
      </c>
      <c r="AI243" s="38">
        <f>-(AI194-AH194)</f>
        <v>87.652256704996034</v>
      </c>
      <c r="AJ243" s="38">
        <f>-(AJ194-AI194)</f>
        <v>9.8986538853296224</v>
      </c>
      <c r="AK243" s="38">
        <f>-(AK194-AJ194)</f>
        <v>9.8247388848267292</v>
      </c>
      <c r="AL243" s="39">
        <f>SUM(AH243:AK243)</f>
        <v>-14.166297162609908</v>
      </c>
    </row>
    <row r="244" spans="1:38" outlineLevel="1" x14ac:dyDescent="0.25">
      <c r="A244" s="300"/>
      <c r="B244" s="65" t="s">
        <v>234</v>
      </c>
      <c r="C244" s="166"/>
      <c r="D244" s="38">
        <v>-55</v>
      </c>
      <c r="E244" s="38">
        <f>-108.2-D244</f>
        <v>-53.2</v>
      </c>
      <c r="F244" s="38">
        <f>-174.1-E244-D244</f>
        <v>-65.899999999999991</v>
      </c>
      <c r="G244" s="302">
        <f>-250.6-F244-E244-D244</f>
        <v>-76.5</v>
      </c>
      <c r="H244" s="39">
        <f t="shared" si="882"/>
        <v>-250.6</v>
      </c>
      <c r="I244" s="38">
        <v>-62.9</v>
      </c>
      <c r="J244" s="38">
        <f>-116.3-I244</f>
        <v>-53.4</v>
      </c>
      <c r="K244" s="38">
        <f>-182.3-J244-I244</f>
        <v>-66</v>
      </c>
      <c r="L244" s="38">
        <f>-L24</f>
        <v>-75.524999999999991</v>
      </c>
      <c r="M244" s="39">
        <f t="shared" ref="M244:M247" si="889">SUM(I244:L244)</f>
        <v>-257.82499999999999</v>
      </c>
      <c r="N244" s="38">
        <f>-N24</f>
        <v>-71.431250000000006</v>
      </c>
      <c r="O244" s="38">
        <f>-O24</f>
        <v>-70.814062499999991</v>
      </c>
      <c r="P244" s="38">
        <f>-P24</f>
        <v>-71.542578124999991</v>
      </c>
      <c r="Q244" s="38">
        <f>-Q24</f>
        <v>-72.328222656249991</v>
      </c>
      <c r="R244" s="39">
        <f t="shared" ref="R244:R247" si="890">SUM(N244:Q244)</f>
        <v>-286.11611328124997</v>
      </c>
      <c r="S244" s="38">
        <f>-S24</f>
        <v>-71.529028320312491</v>
      </c>
      <c r="T244" s="38">
        <f>-T24</f>
        <v>-71.553472900390616</v>
      </c>
      <c r="U244" s="38">
        <f>-U24</f>
        <v>-71.738325500488273</v>
      </c>
      <c r="V244" s="38">
        <f>-V24</f>
        <v>-71.787262344360343</v>
      </c>
      <c r="W244" s="39">
        <f t="shared" ref="W244:W247" si="891">SUM(S244:V244)</f>
        <v>-286.60808906555172</v>
      </c>
      <c r="X244" s="38">
        <f>-X24</f>
        <v>-71.652022266387931</v>
      </c>
      <c r="Y244" s="38">
        <f>-Y24</f>
        <v>-71.682770752906791</v>
      </c>
      <c r="Z244" s="38">
        <f>-Z24</f>
        <v>-71.715095216035834</v>
      </c>
      <c r="AA244" s="38">
        <f>-AA24</f>
        <v>-71.709287644922725</v>
      </c>
      <c r="AB244" s="39">
        <f t="shared" ref="AB244:AB247" si="892">SUM(X244:AA244)</f>
        <v>-286.75917588025328</v>
      </c>
      <c r="AC244" s="38">
        <f>-AC24</f>
        <v>-71.68979397006332</v>
      </c>
      <c r="AD244" s="38">
        <f>-AD24</f>
        <v>-71.699236895982168</v>
      </c>
      <c r="AE244" s="38">
        <f>-AE24</f>
        <v>-71.703353431751012</v>
      </c>
      <c r="AF244" s="38">
        <f>-AF24</f>
        <v>-71.700417985679806</v>
      </c>
      <c r="AG244" s="39">
        <f t="shared" ref="AG244:AG248" si="893">SUM(AC244:AF244)</f>
        <v>-286.79280228347631</v>
      </c>
      <c r="AH244" s="38">
        <f>-AH24</f>
        <v>-71.698200570869076</v>
      </c>
      <c r="AI244" s="38">
        <f>-AI24</f>
        <v>-71.700302221070515</v>
      </c>
      <c r="AJ244" s="38">
        <f>-AJ24</f>
        <v>-71.700568552342602</v>
      </c>
      <c r="AK244" s="38">
        <f>-AK24</f>
        <v>-71.6998723324905</v>
      </c>
      <c r="AL244" s="39">
        <f t="shared" ref="AL244:AL248" si="894">SUM(AH244:AK244)</f>
        <v>-286.79894367677269</v>
      </c>
    </row>
    <row r="245" spans="1:38" outlineLevel="1" x14ac:dyDescent="0.25">
      <c r="A245" s="300"/>
      <c r="B245" s="65" t="s">
        <v>235</v>
      </c>
      <c r="C245" s="166"/>
      <c r="D245" s="38">
        <v>63.7</v>
      </c>
      <c r="E245" s="38">
        <f>93.3-D245</f>
        <v>29.599999999999994</v>
      </c>
      <c r="F245" s="38">
        <f>163.7-E245-D245</f>
        <v>70.399999999999991</v>
      </c>
      <c r="G245" s="302">
        <f>216.8-F245-E245-D245</f>
        <v>53.100000000000037</v>
      </c>
      <c r="H245" s="39">
        <f t="shared" si="882"/>
        <v>216.8</v>
      </c>
      <c r="I245" s="38">
        <v>64.3</v>
      </c>
      <c r="J245" s="38">
        <f>98.1-I245</f>
        <v>33.799999999999997</v>
      </c>
      <c r="K245" s="38">
        <f>165.6-J245-I245</f>
        <v>67.500000000000014</v>
      </c>
      <c r="L245" s="38">
        <f>-L289*L244</f>
        <v>75.524999999999991</v>
      </c>
      <c r="M245" s="39">
        <f t="shared" si="889"/>
        <v>241.125</v>
      </c>
      <c r="N245" s="38">
        <f>-N289*N244</f>
        <v>71.431250000000006</v>
      </c>
      <c r="O245" s="38">
        <f>-O289*O244</f>
        <v>70.814062499999991</v>
      </c>
      <c r="P245" s="38">
        <f>-P289*P244</f>
        <v>71.542578124999991</v>
      </c>
      <c r="Q245" s="38">
        <f>-Q289*Q244</f>
        <v>72.328222656249991</v>
      </c>
      <c r="R245" s="39">
        <f t="shared" si="890"/>
        <v>286.11611328124997</v>
      </c>
      <c r="S245" s="38">
        <f>-S289*S244</f>
        <v>71.529028320312491</v>
      </c>
      <c r="T245" s="38">
        <f>-T289*T244</f>
        <v>71.553472900390616</v>
      </c>
      <c r="U245" s="38">
        <f>-U289*U244</f>
        <v>71.738325500488273</v>
      </c>
      <c r="V245" s="38">
        <f>-V289*V244</f>
        <v>71.787262344360343</v>
      </c>
      <c r="W245" s="39">
        <f t="shared" si="891"/>
        <v>286.60808906555172</v>
      </c>
      <c r="X245" s="38">
        <f>-X289*X244</f>
        <v>71.652022266387931</v>
      </c>
      <c r="Y245" s="38">
        <f>-Y289*Y244</f>
        <v>71.682770752906791</v>
      </c>
      <c r="Z245" s="38">
        <f>-Z289*Z244</f>
        <v>71.715095216035834</v>
      </c>
      <c r="AA245" s="38">
        <f>-AA289*AA244</f>
        <v>71.709287644922725</v>
      </c>
      <c r="AB245" s="39">
        <f t="shared" si="892"/>
        <v>286.75917588025328</v>
      </c>
      <c r="AC245" s="38">
        <f>-AC289*AC244</f>
        <v>71.68979397006332</v>
      </c>
      <c r="AD245" s="38">
        <f>-AD289*AD244</f>
        <v>71.699236895982168</v>
      </c>
      <c r="AE245" s="38">
        <f>-AE289*AE244</f>
        <v>71.703353431751012</v>
      </c>
      <c r="AF245" s="38">
        <f>-AF289*AF244</f>
        <v>71.700417985679806</v>
      </c>
      <c r="AG245" s="39">
        <f t="shared" si="893"/>
        <v>286.79280228347631</v>
      </c>
      <c r="AH245" s="38">
        <f>-AH289*AH244</f>
        <v>71.698200570869076</v>
      </c>
      <c r="AI245" s="38">
        <f>-AI289*AI244</f>
        <v>71.700302221070515</v>
      </c>
      <c r="AJ245" s="38">
        <f>-AJ289*AJ244</f>
        <v>71.700568552342602</v>
      </c>
      <c r="AK245" s="38">
        <f>-AK289*AK244</f>
        <v>71.6998723324905</v>
      </c>
      <c r="AL245" s="39">
        <f t="shared" si="894"/>
        <v>286.79894367677269</v>
      </c>
    </row>
    <row r="246" spans="1:38" outlineLevel="1" x14ac:dyDescent="0.25">
      <c r="A246" s="300"/>
      <c r="B246" s="65" t="s">
        <v>241</v>
      </c>
      <c r="C246" s="166"/>
      <c r="D246" s="38">
        <v>0</v>
      </c>
      <c r="E246" s="38">
        <f>-21-D246</f>
        <v>-21</v>
      </c>
      <c r="F246" s="38">
        <f>-622.8-E246-D246</f>
        <v>-601.79999999999995</v>
      </c>
      <c r="G246" s="302">
        <f>-622.8-F246-E246-D246</f>
        <v>0</v>
      </c>
      <c r="H246" s="39">
        <f t="shared" si="882"/>
        <v>-622.79999999999995</v>
      </c>
      <c r="I246" s="38">
        <v>0</v>
      </c>
      <c r="J246" s="38">
        <f t="shared" ref="J246" si="895">0-I246</f>
        <v>0</v>
      </c>
      <c r="K246" s="38">
        <f t="shared" ref="K246" si="896">0-J246-I246</f>
        <v>0</v>
      </c>
      <c r="L246" s="38">
        <f>L28</f>
        <v>0</v>
      </c>
      <c r="M246" s="39">
        <f t="shared" si="889"/>
        <v>0</v>
      </c>
      <c r="N246" s="38">
        <f>N28</f>
        <v>0</v>
      </c>
      <c r="O246" s="38">
        <f>O28</f>
        <v>0</v>
      </c>
      <c r="P246" s="38">
        <f>P28</f>
        <v>0</v>
      </c>
      <c r="Q246" s="38">
        <f>Q28</f>
        <v>0</v>
      </c>
      <c r="R246" s="39">
        <f t="shared" si="890"/>
        <v>0</v>
      </c>
      <c r="S246" s="38">
        <f>S28</f>
        <v>0</v>
      </c>
      <c r="T246" s="38">
        <f>T28</f>
        <v>0</v>
      </c>
      <c r="U246" s="38">
        <f>U28</f>
        <v>0</v>
      </c>
      <c r="V246" s="38">
        <f>V28</f>
        <v>0</v>
      </c>
      <c r="W246" s="39">
        <f t="shared" si="891"/>
        <v>0</v>
      </c>
      <c r="X246" s="38">
        <f>X28</f>
        <v>0</v>
      </c>
      <c r="Y246" s="38">
        <f>Y28</f>
        <v>0</v>
      </c>
      <c r="Z246" s="38">
        <f>Z28</f>
        <v>0</v>
      </c>
      <c r="AA246" s="38">
        <f>AA28</f>
        <v>0</v>
      </c>
      <c r="AB246" s="39">
        <f t="shared" si="892"/>
        <v>0</v>
      </c>
      <c r="AC246" s="38">
        <f>AC28</f>
        <v>0</v>
      </c>
      <c r="AD246" s="38">
        <f>AD28</f>
        <v>0</v>
      </c>
      <c r="AE246" s="38">
        <f>AE28</f>
        <v>0</v>
      </c>
      <c r="AF246" s="38">
        <f>AF28</f>
        <v>0</v>
      </c>
      <c r="AG246" s="39">
        <f t="shared" si="893"/>
        <v>0</v>
      </c>
      <c r="AH246" s="38">
        <f>AH28</f>
        <v>0</v>
      </c>
      <c r="AI246" s="38">
        <f>AI28</f>
        <v>0</v>
      </c>
      <c r="AJ246" s="38">
        <f>AJ28</f>
        <v>0</v>
      </c>
      <c r="AK246" s="38">
        <f>AK28</f>
        <v>0</v>
      </c>
      <c r="AL246" s="39">
        <f t="shared" si="894"/>
        <v>0</v>
      </c>
    </row>
    <row r="247" spans="1:38" outlineLevel="1" x14ac:dyDescent="0.25">
      <c r="A247" s="300"/>
      <c r="B247" s="65" t="s">
        <v>236</v>
      </c>
      <c r="C247" s="166"/>
      <c r="D247" s="38">
        <v>97.3</v>
      </c>
      <c r="E247" s="38">
        <f>192.1-D247</f>
        <v>94.8</v>
      </c>
      <c r="F247" s="38">
        <f>255.4-E247-D247</f>
        <v>63.300000000000026</v>
      </c>
      <c r="G247" s="302">
        <f>308-F247-E247-D247</f>
        <v>52.59999999999998</v>
      </c>
      <c r="H247" s="39">
        <f t="shared" si="882"/>
        <v>308</v>
      </c>
      <c r="I247" s="38">
        <v>90.3</v>
      </c>
      <c r="J247" s="38">
        <f>146.6-I247</f>
        <v>56.3</v>
      </c>
      <c r="K247" s="38">
        <f>188-J247-I247</f>
        <v>41.399999999999991</v>
      </c>
      <c r="L247" s="38">
        <f>L16*L288</f>
        <v>59.58380704167773</v>
      </c>
      <c r="M247" s="39">
        <f t="shared" si="889"/>
        <v>247.58380704167774</v>
      </c>
      <c r="N247" s="38">
        <f>N16*N288</f>
        <v>78.562572327834204</v>
      </c>
      <c r="O247" s="38">
        <f>O16*O288</f>
        <v>64.640411703823304</v>
      </c>
      <c r="P247" s="38">
        <f>P16*P288</f>
        <v>52.15893890651283</v>
      </c>
      <c r="Q247" s="38">
        <f>Q16*Q288</f>
        <v>82.7493096559419</v>
      </c>
      <c r="R247" s="39">
        <f t="shared" si="890"/>
        <v>278.11123259411221</v>
      </c>
      <c r="S247" s="38">
        <f>S16*S288</f>
        <v>87.025005671086845</v>
      </c>
      <c r="T247" s="38">
        <f>T16*T288</f>
        <v>69.381917110347018</v>
      </c>
      <c r="U247" s="38">
        <f>U16*U288</f>
        <v>55.236071520879875</v>
      </c>
      <c r="V247" s="38">
        <f>V16*V288</f>
        <v>87.626446254103641</v>
      </c>
      <c r="W247" s="39">
        <f t="shared" si="891"/>
        <v>299.26944055641741</v>
      </c>
      <c r="X247" s="38">
        <f>X16*X288</f>
        <v>91.659415950729056</v>
      </c>
      <c r="Y247" s="38">
        <f>Y16*Y288</f>
        <v>73.568551955076799</v>
      </c>
      <c r="Z247" s="38">
        <f>Z16*Z288</f>
        <v>58.426884398532636</v>
      </c>
      <c r="AA247" s="38">
        <f>AA16*AA288</f>
        <v>92.664252975515097</v>
      </c>
      <c r="AB247" s="39">
        <f t="shared" si="892"/>
        <v>316.3191052798536</v>
      </c>
      <c r="AC247" s="38">
        <f>AC16*AC288</f>
        <v>96.905557734235501</v>
      </c>
      <c r="AD247" s="38">
        <f>AD16*AD288</f>
        <v>77.821671010431359</v>
      </c>
      <c r="AE247" s="38">
        <f>AE16*AE288</f>
        <v>61.961451212400071</v>
      </c>
      <c r="AF247" s="38">
        <f>AF16*AF288</f>
        <v>98.363383401098758</v>
      </c>
      <c r="AG247" s="39">
        <f t="shared" si="893"/>
        <v>335.0520633581657</v>
      </c>
      <c r="AH247" s="38">
        <f>AH16*AH288</f>
        <v>103.10224415255779</v>
      </c>
      <c r="AI247" s="38">
        <f>AI16*AI288</f>
        <v>82.779383848450465</v>
      </c>
      <c r="AJ247" s="38">
        <f>AJ16*AJ288</f>
        <v>66.058388623637299</v>
      </c>
      <c r="AK247" s="38">
        <f>AK16*AK288</f>
        <v>104.86481243597621</v>
      </c>
      <c r="AL247" s="39">
        <f t="shared" si="894"/>
        <v>356.80482906062178</v>
      </c>
    </row>
    <row r="248" spans="1:38" outlineLevel="1" x14ac:dyDescent="0.25">
      <c r="A248" s="300"/>
      <c r="B248" s="169" t="s">
        <v>242</v>
      </c>
      <c r="C248" s="170"/>
      <c r="D248" s="38">
        <v>6.1</v>
      </c>
      <c r="E248" s="302">
        <f>5.4+91.1-D248</f>
        <v>90.4</v>
      </c>
      <c r="F248" s="302">
        <f>10.5+122.3-E248-D248</f>
        <v>36.300000000000004</v>
      </c>
      <c r="G248" s="302">
        <f>10.5+187.9-F248-E248-D248</f>
        <v>65.599999999999994</v>
      </c>
      <c r="H248" s="39">
        <f t="shared" si="882"/>
        <v>198.4</v>
      </c>
      <c r="I248" s="302">
        <f>5.1+294.9</f>
        <v>300</v>
      </c>
      <c r="J248" s="302">
        <f>596.3+67.7-I248</f>
        <v>364</v>
      </c>
      <c r="K248" s="302">
        <f>902.4+124.6+63.7-J248-I248</f>
        <v>426.70000000000005</v>
      </c>
      <c r="L248" s="71">
        <v>0</v>
      </c>
      <c r="M248" s="39">
        <f t="shared" si="883"/>
        <v>1090.7</v>
      </c>
      <c r="N248" s="71">
        <v>0</v>
      </c>
      <c r="O248" s="71">
        <v>0</v>
      </c>
      <c r="P248" s="71">
        <v>0</v>
      </c>
      <c r="Q248" s="71">
        <v>0</v>
      </c>
      <c r="R248" s="39">
        <f t="shared" si="884"/>
        <v>0</v>
      </c>
      <c r="S248" s="71">
        <v>0</v>
      </c>
      <c r="T248" s="71">
        <v>0</v>
      </c>
      <c r="U248" s="71">
        <v>0</v>
      </c>
      <c r="V248" s="71">
        <v>0</v>
      </c>
      <c r="W248" s="39">
        <f t="shared" si="885"/>
        <v>0</v>
      </c>
      <c r="X248" s="71">
        <v>0</v>
      </c>
      <c r="Y248" s="71">
        <v>0</v>
      </c>
      <c r="Z248" s="71">
        <v>0</v>
      </c>
      <c r="AA248" s="71">
        <v>0</v>
      </c>
      <c r="AB248" s="39">
        <f t="shared" si="886"/>
        <v>0</v>
      </c>
      <c r="AC248" s="71">
        <v>0</v>
      </c>
      <c r="AD248" s="71">
        <v>0</v>
      </c>
      <c r="AE248" s="71">
        <v>0</v>
      </c>
      <c r="AF248" s="71">
        <v>0</v>
      </c>
      <c r="AG248" s="39">
        <f t="shared" si="893"/>
        <v>0</v>
      </c>
      <c r="AH248" s="71">
        <v>0</v>
      </c>
      <c r="AI248" s="71">
        <v>0</v>
      </c>
      <c r="AJ248" s="71">
        <v>0</v>
      </c>
      <c r="AK248" s="71">
        <v>0</v>
      </c>
      <c r="AL248" s="39">
        <f t="shared" si="894"/>
        <v>0</v>
      </c>
    </row>
    <row r="249" spans="1:38" outlineLevel="1" x14ac:dyDescent="0.25">
      <c r="A249" s="300"/>
      <c r="B249" s="499" t="s">
        <v>72</v>
      </c>
      <c r="C249" s="500"/>
      <c r="D249" s="284"/>
      <c r="E249" s="437"/>
      <c r="F249" s="279"/>
      <c r="G249" s="279"/>
      <c r="H249" s="280"/>
      <c r="I249" s="279"/>
      <c r="J249" s="279"/>
      <c r="K249" s="279"/>
      <c r="L249" s="279"/>
      <c r="M249" s="280"/>
      <c r="N249" s="279"/>
      <c r="O249" s="279"/>
      <c r="P249" s="279"/>
      <c r="Q249" s="279"/>
      <c r="R249" s="280"/>
      <c r="S249" s="279"/>
      <c r="T249" s="279"/>
      <c r="U249" s="279"/>
      <c r="V249" s="279"/>
      <c r="W249" s="280"/>
      <c r="X249" s="279"/>
      <c r="Y249" s="279"/>
      <c r="Z249" s="279"/>
      <c r="AA249" s="279"/>
      <c r="AB249" s="280"/>
      <c r="AC249" s="279"/>
      <c r="AD249" s="279"/>
      <c r="AE249" s="279"/>
      <c r="AF249" s="279"/>
      <c r="AG249" s="280"/>
      <c r="AH249" s="279"/>
      <c r="AI249" s="279"/>
      <c r="AJ249" s="279"/>
      <c r="AK249" s="279"/>
      <c r="AL249" s="280"/>
    </row>
    <row r="250" spans="1:38" outlineLevel="1" x14ac:dyDescent="0.25">
      <c r="A250" s="300"/>
      <c r="B250" s="513" t="s">
        <v>112</v>
      </c>
      <c r="C250" s="514"/>
      <c r="D250" s="99">
        <v>-28.8</v>
      </c>
      <c r="E250" s="99">
        <f>9.8-D250</f>
        <v>38.6</v>
      </c>
      <c r="F250" s="99">
        <f>-70.1-E250-D250</f>
        <v>-79.899999999999991</v>
      </c>
      <c r="G250" s="99">
        <f>-197.7-F250-E250-D250</f>
        <v>-127.60000000000001</v>
      </c>
      <c r="H250" s="100">
        <f t="shared" ref="H250:H255" si="897">SUM(D250:G250)</f>
        <v>-197.7</v>
      </c>
      <c r="I250" s="99">
        <v>-22.9</v>
      </c>
      <c r="J250" s="99">
        <f>-60.7-I250</f>
        <v>-37.800000000000004</v>
      </c>
      <c r="K250" s="99">
        <f>13.4-J250-I250</f>
        <v>74.099999999999994</v>
      </c>
      <c r="L250" s="99">
        <f>-(L186-K186)</f>
        <v>-9.0650160202643519</v>
      </c>
      <c r="M250" s="100">
        <f t="shared" ref="M250:M255" si="898">SUM(I250:L250)</f>
        <v>4.3349839797356395</v>
      </c>
      <c r="N250" s="99">
        <f>-(N186-L186)</f>
        <v>-111.08063448094038</v>
      </c>
      <c r="O250" s="99">
        <f t="shared" ref="O250:Q252" si="899">-(O186-N186)</f>
        <v>114.12053884173156</v>
      </c>
      <c r="P250" s="99">
        <f t="shared" si="899"/>
        <v>225.49830806213959</v>
      </c>
      <c r="Q250" s="99">
        <f t="shared" si="899"/>
        <v>-402.35608763038738</v>
      </c>
      <c r="R250" s="100">
        <f t="shared" ref="R250:R255" si="900">SUM(N250:Q250)</f>
        <v>-173.81787520745661</v>
      </c>
      <c r="S250" s="99">
        <f>-(S186-Q186)</f>
        <v>-83.173979107797095</v>
      </c>
      <c r="T250" s="99">
        <f t="shared" ref="T250:V252" si="901">-(T186-S186)</f>
        <v>207.44456391369408</v>
      </c>
      <c r="U250" s="99">
        <f t="shared" si="901"/>
        <v>241.68002100297394</v>
      </c>
      <c r="V250" s="99">
        <f t="shared" si="901"/>
        <v>-429.47274866292878</v>
      </c>
      <c r="W250" s="100">
        <f t="shared" ref="W250:W255" si="902">SUM(S250:V250)</f>
        <v>-63.522142854057847</v>
      </c>
      <c r="X250" s="99">
        <f>-(X186-V186)</f>
        <v>-86.297165956113304</v>
      </c>
      <c r="Y250" s="99">
        <f t="shared" ref="Y250:AA252" si="903">-(Y186-X186)</f>
        <v>220.25081980365724</v>
      </c>
      <c r="Z250" s="99">
        <f t="shared" si="903"/>
        <v>255.4361125439699</v>
      </c>
      <c r="AA250" s="99">
        <f t="shared" si="903"/>
        <v>-454.84475933774502</v>
      </c>
      <c r="AB250" s="100">
        <f t="shared" ref="AB250:AB255" si="904">SUM(X250:AA250)</f>
        <v>-65.454992946231187</v>
      </c>
      <c r="AC250" s="99">
        <f>-(AC186-AA186)</f>
        <v>-90.934102084958568</v>
      </c>
      <c r="AD250" s="99">
        <f t="shared" ref="AD250:AF252" si="905">-(AD186-AC186)</f>
        <v>233.47806556503565</v>
      </c>
      <c r="AE250" s="99">
        <f t="shared" si="905"/>
        <v>267.62028804166778</v>
      </c>
      <c r="AF250" s="99">
        <f t="shared" si="905"/>
        <v>-483.69409619838541</v>
      </c>
      <c r="AG250" s="100">
        <f t="shared" ref="AG250:AG255" si="906">SUM(AC250:AF250)</f>
        <v>-73.52984467664055</v>
      </c>
      <c r="AH250" s="99">
        <f>-(AH186-AF186)</f>
        <v>-99.537130333163077</v>
      </c>
      <c r="AI250" s="99">
        <f t="shared" ref="AI250:AK252" si="907">-(AI186-AH186)</f>
        <v>248.79375532646827</v>
      </c>
      <c r="AJ250" s="99">
        <f t="shared" si="907"/>
        <v>282.65847598627374</v>
      </c>
      <c r="AK250" s="99">
        <f t="shared" si="907"/>
        <v>-515.65341155577175</v>
      </c>
      <c r="AL250" s="100">
        <f t="shared" ref="AL250:AL255" si="908">SUM(AH250:AK250)</f>
        <v>-83.738310576192816</v>
      </c>
    </row>
    <row r="251" spans="1:38" outlineLevel="1" x14ac:dyDescent="0.25">
      <c r="A251" s="300"/>
      <c r="B251" s="58" t="s">
        <v>222</v>
      </c>
      <c r="C251" s="52"/>
      <c r="D251" s="99">
        <v>44.8</v>
      </c>
      <c r="E251" s="99">
        <f>-51-D251</f>
        <v>-95.8</v>
      </c>
      <c r="F251" s="99">
        <f>-140.5-E251-D251</f>
        <v>-89.5</v>
      </c>
      <c r="G251" s="99">
        <f>-173-F251-E251-D251</f>
        <v>-32.5</v>
      </c>
      <c r="H251" s="100">
        <f t="shared" si="897"/>
        <v>-173</v>
      </c>
      <c r="I251" s="99">
        <v>122.8</v>
      </c>
      <c r="J251" s="99">
        <f>36.9-I251</f>
        <v>-85.9</v>
      </c>
      <c r="K251" s="99">
        <f>-51.7-J251-I251</f>
        <v>-88.6</v>
      </c>
      <c r="L251" s="99">
        <f>-(L187-K187)</f>
        <v>-231.55414712650099</v>
      </c>
      <c r="M251" s="100">
        <f t="shared" si="898"/>
        <v>-283.25414712650098</v>
      </c>
      <c r="N251" s="99">
        <f>-(N187-L187)</f>
        <v>-154.408717624465</v>
      </c>
      <c r="O251" s="99">
        <f t="shared" si="899"/>
        <v>194.08175235042495</v>
      </c>
      <c r="P251" s="99">
        <f t="shared" si="899"/>
        <v>315.79646309371287</v>
      </c>
      <c r="Q251" s="99">
        <f t="shared" si="899"/>
        <v>-507.56024074065908</v>
      </c>
      <c r="R251" s="100">
        <f t="shared" si="900"/>
        <v>-152.09074292098626</v>
      </c>
      <c r="S251" s="99">
        <f>-(S187-Q187)</f>
        <v>65.102338373374096</v>
      </c>
      <c r="T251" s="99">
        <f t="shared" si="901"/>
        <v>206.9317359690308</v>
      </c>
      <c r="U251" s="99">
        <f t="shared" si="901"/>
        <v>306.44090884077741</v>
      </c>
      <c r="V251" s="99">
        <f t="shared" si="901"/>
        <v>-679.43821368864701</v>
      </c>
      <c r="W251" s="100">
        <f t="shared" si="902"/>
        <v>-100.96323050546471</v>
      </c>
      <c r="X251" s="99">
        <f>-(X187-V187)</f>
        <v>69.42104812010507</v>
      </c>
      <c r="Y251" s="99">
        <f t="shared" si="903"/>
        <v>212.28690899742651</v>
      </c>
      <c r="Z251" s="99">
        <f t="shared" si="903"/>
        <v>319.33395684430593</v>
      </c>
      <c r="AA251" s="99">
        <f t="shared" si="903"/>
        <v>-720.50648469516045</v>
      </c>
      <c r="AB251" s="100">
        <f t="shared" si="904"/>
        <v>-119.46457073332294</v>
      </c>
      <c r="AC251" s="99">
        <f>-(AC187-AA187)</f>
        <v>73.425516175077973</v>
      </c>
      <c r="AD251" s="99">
        <f t="shared" si="905"/>
        <v>226.47951629186014</v>
      </c>
      <c r="AE251" s="99">
        <f t="shared" si="905"/>
        <v>333.87360613679448</v>
      </c>
      <c r="AF251" s="99">
        <f t="shared" si="905"/>
        <v>-767.15569561207326</v>
      </c>
      <c r="AG251" s="100">
        <f t="shared" si="906"/>
        <v>-133.37705700834067</v>
      </c>
      <c r="AH251" s="99">
        <f>-(AH187-AF187)</f>
        <v>73.478806985770916</v>
      </c>
      <c r="AI251" s="99">
        <f t="shared" si="907"/>
        <v>242.57205219294451</v>
      </c>
      <c r="AJ251" s="99">
        <f t="shared" si="907"/>
        <v>351.68408007774883</v>
      </c>
      <c r="AK251" s="99">
        <f t="shared" si="907"/>
        <v>-819.45128494568371</v>
      </c>
      <c r="AL251" s="100">
        <f t="shared" si="908"/>
        <v>-151.71634568921945</v>
      </c>
    </row>
    <row r="252" spans="1:38" outlineLevel="1" x14ac:dyDescent="0.25">
      <c r="A252" s="300"/>
      <c r="B252" s="513" t="s">
        <v>245</v>
      </c>
      <c r="C252" s="514"/>
      <c r="D252" s="99">
        <v>847.3</v>
      </c>
      <c r="E252" s="99">
        <f>774.6-D252</f>
        <v>-72.699999999999932</v>
      </c>
      <c r="F252" s="99">
        <f>831.6-E252-D252</f>
        <v>57</v>
      </c>
      <c r="G252" s="99">
        <f>922-F252-E252-D252</f>
        <v>90.399999999999977</v>
      </c>
      <c r="H252" s="100">
        <f t="shared" si="897"/>
        <v>922</v>
      </c>
      <c r="I252" s="99">
        <v>-28.5</v>
      </c>
      <c r="J252" s="99">
        <f>-247.7-I252</f>
        <v>-219.2</v>
      </c>
      <c r="K252" s="99">
        <f>-492.1-J252-I252</f>
        <v>-244.40000000000003</v>
      </c>
      <c r="L252" s="99">
        <f>-(L188-K188)</f>
        <v>138.04499999999996</v>
      </c>
      <c r="M252" s="100">
        <f t="shared" si="898"/>
        <v>-354.05500000000006</v>
      </c>
      <c r="N252" s="99">
        <f>-(N188-L188)</f>
        <v>78.225500000000011</v>
      </c>
      <c r="O252" s="99">
        <f t="shared" si="899"/>
        <v>35.201475000000073</v>
      </c>
      <c r="P252" s="99">
        <f t="shared" si="899"/>
        <v>33.441401250000013</v>
      </c>
      <c r="Q252" s="99">
        <f t="shared" si="899"/>
        <v>31.769331187500029</v>
      </c>
      <c r="R252" s="100">
        <f t="shared" si="900"/>
        <v>178.63770743750013</v>
      </c>
      <c r="S252" s="99">
        <f>-(S188-Q188)</f>
        <v>-12.07234585125002</v>
      </c>
      <c r="T252" s="99">
        <f t="shared" si="901"/>
        <v>-12.313792768274993</v>
      </c>
      <c r="U252" s="99">
        <f t="shared" si="901"/>
        <v>-12.560068623640518</v>
      </c>
      <c r="V252" s="99">
        <f t="shared" si="901"/>
        <v>-12.81126999611331</v>
      </c>
      <c r="W252" s="100">
        <f t="shared" si="902"/>
        <v>-49.757477239278842</v>
      </c>
      <c r="X252" s="99">
        <f>-(X188-V188)</f>
        <v>-13.067495396035611</v>
      </c>
      <c r="Y252" s="99">
        <f t="shared" si="903"/>
        <v>-13.328845303956314</v>
      </c>
      <c r="Z252" s="99">
        <f t="shared" si="903"/>
        <v>-13.595422210035395</v>
      </c>
      <c r="AA252" s="99">
        <f t="shared" si="903"/>
        <v>-13.867330654236184</v>
      </c>
      <c r="AB252" s="100">
        <f t="shared" si="904"/>
        <v>-53.859093564263503</v>
      </c>
      <c r="AC252" s="99">
        <f>-(AC188-AA188)</f>
        <v>-14.144677267320844</v>
      </c>
      <c r="AD252" s="99">
        <f t="shared" si="905"/>
        <v>-14.427570812667227</v>
      </c>
      <c r="AE252" s="99">
        <f t="shared" si="905"/>
        <v>-14.716122228920653</v>
      </c>
      <c r="AF252" s="99">
        <f t="shared" si="905"/>
        <v>-15.010444673499023</v>
      </c>
      <c r="AG252" s="100">
        <f t="shared" si="906"/>
        <v>-58.298814982407748</v>
      </c>
      <c r="AH252" s="99">
        <f>-(AH188-AF188)</f>
        <v>-15.310653566968995</v>
      </c>
      <c r="AI252" s="99">
        <f t="shared" si="907"/>
        <v>-15.616866638308352</v>
      </c>
      <c r="AJ252" s="99">
        <f t="shared" si="907"/>
        <v>-15.929203971074571</v>
      </c>
      <c r="AK252" s="99">
        <f t="shared" si="907"/>
        <v>-16.247788050496069</v>
      </c>
      <c r="AL252" s="100">
        <f t="shared" si="908"/>
        <v>-63.104512226847987</v>
      </c>
    </row>
    <row r="253" spans="1:38" outlineLevel="1" x14ac:dyDescent="0.25">
      <c r="A253" s="300"/>
      <c r="B253" s="513" t="s">
        <v>38</v>
      </c>
      <c r="C253" s="514"/>
      <c r="D253" s="99">
        <v>-21.3</v>
      </c>
      <c r="E253" s="99">
        <f>-83.4-D253</f>
        <v>-62.100000000000009</v>
      </c>
      <c r="F253" s="99">
        <f>-15.1-E253-D253</f>
        <v>68.300000000000011</v>
      </c>
      <c r="G253" s="99">
        <f>31.9-F253-E253-D253</f>
        <v>47</v>
      </c>
      <c r="H253" s="100">
        <f t="shared" si="897"/>
        <v>31.900000000000006</v>
      </c>
      <c r="I253" s="99">
        <v>-110.3</v>
      </c>
      <c r="J253" s="99">
        <f>-186.4-I253</f>
        <v>-76.100000000000009</v>
      </c>
      <c r="K253" s="99">
        <f>-320.3-J253-I253</f>
        <v>-133.89999999999998</v>
      </c>
      <c r="L253" s="99">
        <f>L200-K200</f>
        <v>259.9215161634545</v>
      </c>
      <c r="M253" s="100">
        <f t="shared" si="898"/>
        <v>-60.378483836545456</v>
      </c>
      <c r="N253" s="99">
        <f>N200-L200</f>
        <v>28.703437912969321</v>
      </c>
      <c r="O253" s="99">
        <f>O200-N200</f>
        <v>-161.64508565151186</v>
      </c>
      <c r="P253" s="99">
        <f>P200-O200</f>
        <v>-113.78383469012249</v>
      </c>
      <c r="Q253" s="99">
        <f>Q200-P200</f>
        <v>209.09757271370688</v>
      </c>
      <c r="R253" s="100">
        <f t="shared" si="900"/>
        <v>-37.62790971495815</v>
      </c>
      <c r="S253" s="99">
        <f>S200-Q200</f>
        <v>25.407372808761011</v>
      </c>
      <c r="T253" s="99">
        <f>T200-S200</f>
        <v>-149.29937035650528</v>
      </c>
      <c r="U253" s="99">
        <f>U200-T200</f>
        <v>-136.53859005580273</v>
      </c>
      <c r="V253" s="99">
        <f>V200-U200</f>
        <v>309.21223209898483</v>
      </c>
      <c r="W253" s="100">
        <f t="shared" si="902"/>
        <v>48.781644495437831</v>
      </c>
      <c r="X253" s="99">
        <f>X200-V200</f>
        <v>-8.7464219146099822</v>
      </c>
      <c r="Y253" s="99">
        <f>Y200-X200</f>
        <v>-147.3391369227453</v>
      </c>
      <c r="Z253" s="99">
        <f>Z200-Y200</f>
        <v>-117.64470180372371</v>
      </c>
      <c r="AA253" s="99">
        <f>AA200-Z200</f>
        <v>309.63344053793776</v>
      </c>
      <c r="AB253" s="100">
        <f t="shared" si="904"/>
        <v>35.903179896858774</v>
      </c>
      <c r="AC253" s="99">
        <f>AC200-AA200</f>
        <v>-9.9343750788102625</v>
      </c>
      <c r="AD253" s="99">
        <f>AD200-AC200</f>
        <v>-154.95015500590978</v>
      </c>
      <c r="AE253" s="99">
        <f>AE200-AD200</f>
        <v>-130.4661272855958</v>
      </c>
      <c r="AF253" s="99">
        <f>AF200-AE200</f>
        <v>333.2157917528051</v>
      </c>
      <c r="AG253" s="100">
        <f t="shared" si="906"/>
        <v>37.865134382489259</v>
      </c>
      <c r="AH253" s="99">
        <f>AH200-AF200</f>
        <v>-8.3877099947744682</v>
      </c>
      <c r="AI253" s="99">
        <f>AI200-AH200</f>
        <v>-165.21377759223174</v>
      </c>
      <c r="AJ253" s="99">
        <f>AJ200-AI200</f>
        <v>-130.40973177626051</v>
      </c>
      <c r="AK253" s="99">
        <f>AK200-AJ200</f>
        <v>348.03906841608091</v>
      </c>
      <c r="AL253" s="100">
        <f t="shared" si="908"/>
        <v>44.02784905281419</v>
      </c>
    </row>
    <row r="254" spans="1:38" outlineLevel="1" x14ac:dyDescent="0.25">
      <c r="A254" s="300"/>
      <c r="B254" s="58" t="s">
        <v>227</v>
      </c>
      <c r="C254" s="52"/>
      <c r="D254" s="99">
        <v>362.7</v>
      </c>
      <c r="E254" s="99">
        <f>9.4-D254</f>
        <v>-353.3</v>
      </c>
      <c r="F254" s="99">
        <f>-32.4-E254-D254</f>
        <v>-41.799999999999955</v>
      </c>
      <c r="G254" s="99">
        <f>-30.5-F254-E254-D254</f>
        <v>1.8999999999999773</v>
      </c>
      <c r="H254" s="100">
        <f t="shared" si="897"/>
        <v>-30.5</v>
      </c>
      <c r="I254" s="99">
        <v>426.7</v>
      </c>
      <c r="J254" s="99">
        <f>112.1-I254</f>
        <v>-314.60000000000002</v>
      </c>
      <c r="K254" s="99">
        <f>92-J254-I254</f>
        <v>-20.099999999999966</v>
      </c>
      <c r="L254" s="99">
        <f>+(L205-K205)</f>
        <v>-14.633000000000038</v>
      </c>
      <c r="M254" s="100">
        <f t="shared" si="898"/>
        <v>77.366999999999962</v>
      </c>
      <c r="N254" s="99">
        <f>+(N205-L205)</f>
        <v>434.60010000000011</v>
      </c>
      <c r="O254" s="99">
        <f>+(O205-N205)</f>
        <v>-282.49006499999996</v>
      </c>
      <c r="P254" s="99">
        <f>+(P205-O205)</f>
        <v>-16.007770350000101</v>
      </c>
      <c r="Q254" s="99">
        <f>+(Q205-P205)</f>
        <v>-15.847692646500036</v>
      </c>
      <c r="R254" s="100">
        <f t="shared" si="900"/>
        <v>120.25457200350002</v>
      </c>
      <c r="S254" s="99">
        <f>+(S205-Q205)</f>
        <v>470.67647160105003</v>
      </c>
      <c r="T254" s="99">
        <f>+(T205-S205)</f>
        <v>-305.93970654068244</v>
      </c>
      <c r="U254" s="99">
        <f>+(U205-T205)</f>
        <v>-17.336583370638664</v>
      </c>
      <c r="V254" s="99">
        <f>+(V205-U205)</f>
        <v>-17.163217536932279</v>
      </c>
      <c r="W254" s="100">
        <f t="shared" si="902"/>
        <v>130.23696415279665</v>
      </c>
      <c r="X254" s="99">
        <f>+(X205-V205)</f>
        <v>509.74756084688897</v>
      </c>
      <c r="Y254" s="99">
        <f>+(Y205-X205)</f>
        <v>-331.33591455047781</v>
      </c>
      <c r="Z254" s="99">
        <f>+(Z205-Y205)</f>
        <v>-18.775701824527005</v>
      </c>
      <c r="AA254" s="99">
        <f>+(AA205-Z205)</f>
        <v>-18.587944806281712</v>
      </c>
      <c r="AB254" s="100">
        <f t="shared" si="904"/>
        <v>141.04799966560245</v>
      </c>
      <c r="AC254" s="99">
        <f>+(AC205-AA205)</f>
        <v>552.06196074656987</v>
      </c>
      <c r="AD254" s="99">
        <f>+(AD205-AC205)</f>
        <v>-358.84027448527036</v>
      </c>
      <c r="AE254" s="99">
        <f>+(AE205-AD205)</f>
        <v>-20.334282220831938</v>
      </c>
      <c r="AF254" s="99">
        <f>+(AF205-AE205)</f>
        <v>-20.130939398623696</v>
      </c>
      <c r="AG254" s="100">
        <f t="shared" si="906"/>
        <v>152.75646464184388</v>
      </c>
      <c r="AH254" s="99">
        <f>+(AH205-AF205)</f>
        <v>597.88890013912305</v>
      </c>
      <c r="AI254" s="99">
        <f>+(AI205-AH205)</f>
        <v>-388.62778509042982</v>
      </c>
      <c r="AJ254" s="99">
        <f>+(AJ205-AI205)</f>
        <v>-22.022241155124448</v>
      </c>
      <c r="AK254" s="99">
        <f>+(AK205-AJ205)</f>
        <v>-21.802018743573171</v>
      </c>
      <c r="AL254" s="100">
        <f t="shared" si="908"/>
        <v>165.43685514999561</v>
      </c>
    </row>
    <row r="255" spans="1:38" outlineLevel="1" x14ac:dyDescent="0.25">
      <c r="A255" s="300"/>
      <c r="B255" s="346" t="s">
        <v>305</v>
      </c>
      <c r="C255" s="347"/>
      <c r="D255" s="99">
        <v>0</v>
      </c>
      <c r="E255" s="99">
        <v>0</v>
      </c>
      <c r="F255" s="99">
        <f>1045.4-E255-D255</f>
        <v>1045.4000000000001</v>
      </c>
      <c r="G255" s="99">
        <f>1237-F255-E255-D255</f>
        <v>191.59999999999991</v>
      </c>
      <c r="H255" s="100">
        <f t="shared" si="897"/>
        <v>1237</v>
      </c>
      <c r="I255" s="99">
        <v>125.1</v>
      </c>
      <c r="J255" s="99">
        <f>-1227.4-I255</f>
        <v>-1352.5</v>
      </c>
      <c r="K255" s="99">
        <f>-1224.5-J255-I255</f>
        <v>2.9000000000000057</v>
      </c>
      <c r="L255" s="99">
        <f>+(L203-K203)</f>
        <v>0</v>
      </c>
      <c r="M255" s="100">
        <f t="shared" si="898"/>
        <v>-1224.5</v>
      </c>
      <c r="N255" s="99">
        <f>+(N203-L203)</f>
        <v>0</v>
      </c>
      <c r="O255" s="99">
        <f t="shared" ref="O255:Q255" si="909">+(O203-N203)</f>
        <v>0</v>
      </c>
      <c r="P255" s="99">
        <f t="shared" si="909"/>
        <v>0</v>
      </c>
      <c r="Q255" s="99">
        <f t="shared" si="909"/>
        <v>0</v>
      </c>
      <c r="R255" s="100">
        <f t="shared" si="900"/>
        <v>0</v>
      </c>
      <c r="S255" s="99">
        <f>+(S203-Q203)</f>
        <v>0</v>
      </c>
      <c r="T255" s="99">
        <f t="shared" ref="T255:V255" si="910">+(T203-S203)</f>
        <v>0</v>
      </c>
      <c r="U255" s="99">
        <f t="shared" si="910"/>
        <v>0</v>
      </c>
      <c r="V255" s="99">
        <f t="shared" si="910"/>
        <v>0</v>
      </c>
      <c r="W255" s="100">
        <f t="shared" si="902"/>
        <v>0</v>
      </c>
      <c r="X255" s="99">
        <f>+(X203-V203)</f>
        <v>0</v>
      </c>
      <c r="Y255" s="99">
        <f t="shared" ref="Y255:AA255" si="911">+(Y203-X203)</f>
        <v>0</v>
      </c>
      <c r="Z255" s="99">
        <f t="shared" si="911"/>
        <v>0</v>
      </c>
      <c r="AA255" s="99">
        <f t="shared" si="911"/>
        <v>0</v>
      </c>
      <c r="AB255" s="100">
        <f t="shared" si="904"/>
        <v>0</v>
      </c>
      <c r="AC255" s="99">
        <f>+(AC203-AA203)</f>
        <v>0</v>
      </c>
      <c r="AD255" s="99">
        <f t="shared" ref="AD255:AF255" si="912">+(AD203-AC203)</f>
        <v>0</v>
      </c>
      <c r="AE255" s="99">
        <f t="shared" si="912"/>
        <v>0</v>
      </c>
      <c r="AF255" s="99">
        <f t="shared" si="912"/>
        <v>0</v>
      </c>
      <c r="AG255" s="100">
        <f t="shared" si="906"/>
        <v>0</v>
      </c>
      <c r="AH255" s="99">
        <f>+(AH203-AF203)</f>
        <v>0</v>
      </c>
      <c r="AI255" s="99">
        <f t="shared" ref="AI255:AK255" si="913">+(AI203-AH203)</f>
        <v>0</v>
      </c>
      <c r="AJ255" s="99">
        <f t="shared" si="913"/>
        <v>0</v>
      </c>
      <c r="AK255" s="99">
        <f t="shared" si="913"/>
        <v>0</v>
      </c>
      <c r="AL255" s="100">
        <f t="shared" si="908"/>
        <v>0</v>
      </c>
    </row>
    <row r="256" spans="1:38" ht="17.25" outlineLevel="1" x14ac:dyDescent="0.4">
      <c r="A256" s="300"/>
      <c r="B256" s="513" t="s">
        <v>243</v>
      </c>
      <c r="C256" s="514"/>
      <c r="D256" s="281">
        <v>305.60000000000002</v>
      </c>
      <c r="E256" s="281">
        <f>429.3-D256</f>
        <v>123.69999999999999</v>
      </c>
      <c r="F256" s="281">
        <f>-67.4-E256-D256</f>
        <v>-496.70000000000005</v>
      </c>
      <c r="G256" s="281">
        <f>-141.1-F256-E256-D256</f>
        <v>-73.699999999999989</v>
      </c>
      <c r="H256" s="274">
        <f t="shared" ref="H256" si="914">SUM(D256:G256)</f>
        <v>-141.10000000000002</v>
      </c>
      <c r="I256" s="281">
        <f>-31.8-301.6</f>
        <v>-333.40000000000003</v>
      </c>
      <c r="J256" s="281">
        <f>-608.6-140.5-I256</f>
        <v>-415.7</v>
      </c>
      <c r="K256" s="281">
        <f>-918.2+70.5-J256-I256</f>
        <v>-98.600000000000023</v>
      </c>
      <c r="L256" s="281">
        <f>(L201-K201)+(L211-K211)+(L212-K212)+(L204-K204)+(L202-K202)</f>
        <v>-25.980657935110003</v>
      </c>
      <c r="M256" s="274">
        <f t="shared" ref="M256" si="915">SUM(I256:L256)</f>
        <v>-873.68065793511005</v>
      </c>
      <c r="N256" s="281">
        <f>(N201-L201)+(N211-L211)+(N212-L212)+(N204-L204)+(N202-L202)</f>
        <v>28.326330419090027</v>
      </c>
      <c r="O256" s="281">
        <f t="shared" ref="O256:Q256" si="916">(O201-N201)+(O211-N211)+(O212-N212)+(O204-N204)+(O202-N202)</f>
        <v>-130.35760099785728</v>
      </c>
      <c r="P256" s="281">
        <f t="shared" si="916"/>
        <v>-211.73132000232044</v>
      </c>
      <c r="Q256" s="281">
        <f t="shared" si="916"/>
        <v>340.94299182554414</v>
      </c>
      <c r="R256" s="274">
        <f t="shared" ref="R256" si="917">SUM(N256:Q256)</f>
        <v>27.180401244456448</v>
      </c>
      <c r="S256" s="281">
        <f>(S201-Q201)+(S211-Q211)+(S212-Q212)+(S204-Q204)+(S202-Q202)</f>
        <v>325.44177745997206</v>
      </c>
      <c r="T256" s="281">
        <f t="shared" ref="T256:V256" si="918">(T201-S201)+(T211-S211)+(T212-S212)+(T204-S204)+(T202-S202)</f>
        <v>-361.85125637358283</v>
      </c>
      <c r="U256" s="281">
        <f t="shared" si="918"/>
        <v>-352.32702286416418</v>
      </c>
      <c r="V256" s="281">
        <f t="shared" si="918"/>
        <v>452.01058960668729</v>
      </c>
      <c r="W256" s="274">
        <f t="shared" ref="W256" si="919">SUM(S256:V256)</f>
        <v>63.274087828912343</v>
      </c>
      <c r="X256" s="281">
        <f>(X201-V201)+(X211-V211)+(X212-V212)+(X204-V204)+(X202-V202)</f>
        <v>69.903499508288974</v>
      </c>
      <c r="Y256" s="281">
        <f t="shared" ref="Y256:AA256" si="920">(Y201-X201)+(Y211-X211)+(Y212-X212)+(Y204-X204)+(Y202-X202)</f>
        <v>-364.51993458516654</v>
      </c>
      <c r="Z256" s="281">
        <f t="shared" si="920"/>
        <v>-333.59810649523831</v>
      </c>
      <c r="AA256" s="281">
        <f t="shared" si="920"/>
        <v>628.2086199838659</v>
      </c>
      <c r="AB256" s="274">
        <f t="shared" ref="AB256" si="921">SUM(X256:AA256)</f>
        <v>-5.9215882499756844E-3</v>
      </c>
      <c r="AC256" s="281">
        <f>(AC201-AA201)+(AC211-AA211)+(AC212-AA212)+(AC204-AA204)+(AC202-AA202)</f>
        <v>76.080816581277759</v>
      </c>
      <c r="AD256" s="281">
        <f t="shared" ref="AD256:AF256" si="922">(AD201-AC201)+(AD211-AC211)+(AD212-AC212)+(AD204-AC204)+(AD202-AC202)</f>
        <v>-375.46847427158787</v>
      </c>
      <c r="AE256" s="281">
        <f t="shared" si="922"/>
        <v>-345.41026981063828</v>
      </c>
      <c r="AF256" s="281">
        <f t="shared" si="922"/>
        <v>668.69981190157341</v>
      </c>
      <c r="AG256" s="274">
        <f t="shared" ref="AG256" si="923">SUM(AC256:AF256)</f>
        <v>23.901884400625022</v>
      </c>
      <c r="AH256" s="281">
        <f>(AH201-AF201)+(AH211-AF211)+(AH212-AF212)+(AH204-AF204)+(AH202-AF202)</f>
        <v>82.307809416428881</v>
      </c>
      <c r="AI256" s="281">
        <f t="shared" ref="AI256:AK256" si="924">(AI201-AH201)+(AI211-AH211)+(AI212-AH212)+(AI204-AH204)+(AI202-AH202)</f>
        <v>-394.68706317284</v>
      </c>
      <c r="AJ256" s="281">
        <f t="shared" si="924"/>
        <v>-358.29846962155102</v>
      </c>
      <c r="AK256" s="281">
        <f t="shared" si="924"/>
        <v>714.39715401567992</v>
      </c>
      <c r="AL256" s="274">
        <f t="shared" ref="AL256" si="925">SUM(AH256:AK256)</f>
        <v>43.719430637717778</v>
      </c>
    </row>
    <row r="257" spans="1:38" outlineLevel="1" x14ac:dyDescent="0.25">
      <c r="A257" s="300"/>
      <c r="B257" s="518" t="s">
        <v>12</v>
      </c>
      <c r="C257" s="519"/>
      <c r="D257" s="98">
        <f t="shared" ref="D257:AL257" si="926">D241+SUM(D242:D256)</f>
        <v>2379.0000000000005</v>
      </c>
      <c r="E257" s="98">
        <f t="shared" si="926"/>
        <v>390.39999999999969</v>
      </c>
      <c r="F257" s="98">
        <f t="shared" si="926"/>
        <v>1169.400000000001</v>
      </c>
      <c r="G257" s="98">
        <f t="shared" si="926"/>
        <v>1108.1000000000008</v>
      </c>
      <c r="H257" s="275">
        <f t="shared" si="926"/>
        <v>5046.9000000000051</v>
      </c>
      <c r="I257" s="98">
        <f t="shared" si="926"/>
        <v>1836.0999999999985</v>
      </c>
      <c r="J257" s="98">
        <f t="shared" si="926"/>
        <v>-1361.3000000000009</v>
      </c>
      <c r="K257" s="98">
        <f t="shared" si="926"/>
        <v>-367.69999999999925</v>
      </c>
      <c r="L257" s="98">
        <f t="shared" si="926"/>
        <v>249.97059797296356</v>
      </c>
      <c r="M257" s="275">
        <f t="shared" si="926"/>
        <v>357.07059797296534</v>
      </c>
      <c r="N257" s="98">
        <f t="shared" si="926"/>
        <v>598.31901658533877</v>
      </c>
      <c r="O257" s="98">
        <f t="shared" si="926"/>
        <v>355.12562435374821</v>
      </c>
      <c r="P257" s="98">
        <f t="shared" si="926"/>
        <v>658.57986706123472</v>
      </c>
      <c r="Q257" s="98">
        <f t="shared" si="926"/>
        <v>1087.1659971214203</v>
      </c>
      <c r="R257" s="275">
        <f t="shared" si="926"/>
        <v>2699.1905051217336</v>
      </c>
      <c r="S257" s="98">
        <f t="shared" si="926"/>
        <v>2170.7430554155244</v>
      </c>
      <c r="T257" s="98">
        <f t="shared" si="926"/>
        <v>773.44556606833487</v>
      </c>
      <c r="U257" s="98">
        <f t="shared" si="926"/>
        <v>921.87023032624415</v>
      </c>
      <c r="V257" s="98">
        <f t="shared" si="926"/>
        <v>1195.431120459486</v>
      </c>
      <c r="W257" s="275">
        <f t="shared" si="926"/>
        <v>5061.4899722695909</v>
      </c>
      <c r="X257" s="98">
        <f t="shared" si="926"/>
        <v>2046.5708749458831</v>
      </c>
      <c r="Y257" s="98">
        <f t="shared" si="926"/>
        <v>862.34896533107906</v>
      </c>
      <c r="Z257" s="98">
        <f t="shared" si="926"/>
        <v>1048.5084909659558</v>
      </c>
      <c r="AA257" s="98">
        <f t="shared" si="926"/>
        <v>1404.8589056638934</v>
      </c>
      <c r="AB257" s="275">
        <f t="shared" si="926"/>
        <v>5362.2872369068118</v>
      </c>
      <c r="AC257" s="98">
        <f t="shared" si="926"/>
        <v>2189.576764010234</v>
      </c>
      <c r="AD257" s="98">
        <f t="shared" si="926"/>
        <v>931.35182149498394</v>
      </c>
      <c r="AE257" s="98">
        <f t="shared" si="926"/>
        <v>1120.2506541421355</v>
      </c>
      <c r="AF257" s="98">
        <f t="shared" si="926"/>
        <v>1508.9481929609469</v>
      </c>
      <c r="AG257" s="275">
        <f t="shared" si="926"/>
        <v>5750.1274326082985</v>
      </c>
      <c r="AH257" s="98">
        <f t="shared" si="926"/>
        <v>2350.6075342918994</v>
      </c>
      <c r="AI257" s="98">
        <f t="shared" si="926"/>
        <v>1009.2609302029819</v>
      </c>
      <c r="AJ257" s="98">
        <f t="shared" si="926"/>
        <v>1226.0910599992062</v>
      </c>
      <c r="AK257" s="98">
        <f t="shared" si="926"/>
        <v>1623.0835925220622</v>
      </c>
      <c r="AL257" s="275">
        <f t="shared" si="926"/>
        <v>6209.0431170161528</v>
      </c>
    </row>
    <row r="258" spans="1:38" outlineLevel="1" x14ac:dyDescent="0.25">
      <c r="A258" s="300"/>
      <c r="B258" s="547" t="s">
        <v>13</v>
      </c>
      <c r="C258" s="548"/>
      <c r="D258" s="438"/>
      <c r="E258" s="25"/>
      <c r="F258" s="25"/>
      <c r="G258" s="25"/>
      <c r="H258" s="26"/>
      <c r="I258" s="360"/>
      <c r="J258" s="360"/>
      <c r="K258" s="25"/>
      <c r="L258" s="25"/>
      <c r="M258" s="282"/>
      <c r="N258" s="25"/>
      <c r="O258" s="25"/>
      <c r="P258" s="25"/>
      <c r="Q258" s="25"/>
      <c r="R258" s="282"/>
      <c r="S258" s="25"/>
      <c r="T258" s="25"/>
      <c r="U258" s="25"/>
      <c r="V258" s="25"/>
      <c r="W258" s="282"/>
      <c r="X258" s="25"/>
      <c r="Y258" s="25"/>
      <c r="Z258" s="25"/>
      <c r="AA258" s="25"/>
      <c r="AB258" s="282"/>
      <c r="AC258" s="25"/>
      <c r="AD258" s="25"/>
      <c r="AE258" s="25"/>
      <c r="AF258" s="25"/>
      <c r="AG258" s="282"/>
      <c r="AH258" s="25"/>
      <c r="AI258" s="25"/>
      <c r="AJ258" s="25"/>
      <c r="AK258" s="25"/>
      <c r="AL258" s="282"/>
    </row>
    <row r="259" spans="1:38" outlineLevel="1" x14ac:dyDescent="0.25">
      <c r="A259" s="300"/>
      <c r="B259" s="84" t="s">
        <v>239</v>
      </c>
      <c r="C259" s="85"/>
      <c r="D259" s="38">
        <f>-108.7+32.1+14.2</f>
        <v>-62.399999999999991</v>
      </c>
      <c r="E259" s="38">
        <f>-150.2+218.3+55.1-D259</f>
        <v>185.60000000000002</v>
      </c>
      <c r="F259" s="38">
        <f>-176.3+281.7+57.5-E259-D259</f>
        <v>39.699999999999946</v>
      </c>
      <c r="G259" s="38">
        <f>-190.4+298.3+59.8-F259-E259-D259</f>
        <v>4.8000000000000256</v>
      </c>
      <c r="H259" s="39">
        <f>SUM(D259:G259)</f>
        <v>167.7</v>
      </c>
      <c r="I259" s="38">
        <f>-38+64.6+1.3</f>
        <v>27.899999999999995</v>
      </c>
      <c r="J259" s="38">
        <f>-65.1+93.7+4.3-I259</f>
        <v>5.0000000000000107</v>
      </c>
      <c r="K259" s="38">
        <f>-297.4+133.5+10-J259-I259</f>
        <v>-186.79999999999998</v>
      </c>
      <c r="L259" s="38">
        <f>-(L185-K185)-(L190-K190)</f>
        <v>107.31604204501011</v>
      </c>
      <c r="M259" s="39">
        <f>SUM(I259:L259)</f>
        <v>-46.58395795498987</v>
      </c>
      <c r="N259" s="38">
        <f>-(N185-L185)-(N190-L190)</f>
        <v>26.77188495573084</v>
      </c>
      <c r="O259" s="38">
        <f>-(O185-N185)-(O190-N190)</f>
        <v>5.173525242383775</v>
      </c>
      <c r="P259" s="38">
        <f>-(P185-O185)-(P190-O190)</f>
        <v>-0.97380227329348656</v>
      </c>
      <c r="Q259" s="38">
        <f>-(Q185-P185)-(Q190-P190)</f>
        <v>10.986249336372012</v>
      </c>
      <c r="R259" s="39">
        <f>SUM(N259:Q259)</f>
        <v>41.957857261193141</v>
      </c>
      <c r="S259" s="38">
        <f>-(S185-Q185)-(S190-Q190)</f>
        <v>-10.119813910526815</v>
      </c>
      <c r="T259" s="38">
        <f>-(T185-S185)-(T190-S190)</f>
        <v>11.087867015368033</v>
      </c>
      <c r="U259" s="38">
        <f>-(U185-T185)-(U190-T190)</f>
        <v>13.154823295985054</v>
      </c>
      <c r="V259" s="38">
        <f>-(V185-U185)-(V190-U190)</f>
        <v>-6.1890124021038986</v>
      </c>
      <c r="W259" s="39">
        <f>SUM(S259:V259)</f>
        <v>7.9338639987223729</v>
      </c>
      <c r="X259" s="38">
        <f>-(X185-V185)-(X190-V190)</f>
        <v>-7.675978955491658</v>
      </c>
      <c r="Y259" s="38">
        <f>-(Y185-X185)-(Y190-X190)</f>
        <v>14.574820585532933</v>
      </c>
      <c r="Z259" s="38">
        <f>-(Z185-Y185)-(Z190-Y190)</f>
        <v>13.86920991430263</v>
      </c>
      <c r="AA259" s="38">
        <f>-(AA185-Z185)-(AA190-Z190)</f>
        <v>-11.576749560434251</v>
      </c>
      <c r="AB259" s="39">
        <f>SUM(X259:AA259)</f>
        <v>9.1913019839096535</v>
      </c>
      <c r="AC259" s="38">
        <f>-(AC185-AA185)-(AC190-AA190)</f>
        <v>-7.3105650558271407</v>
      </c>
      <c r="AD259" s="38">
        <f>-(AD185-AC185)-(AD190-AC190)</f>
        <v>16.716787509005172</v>
      </c>
      <c r="AE259" s="38">
        <f>-(AE185-AD185)-(AE190-AD190)</f>
        <v>15.31347930768915</v>
      </c>
      <c r="AF259" s="38">
        <f>-(AF185-AE185)-(AF190-AE190)</f>
        <v>-12.114410706537413</v>
      </c>
      <c r="AG259" s="39">
        <f>SUM(AC259:AF259)</f>
        <v>12.605291054329768</v>
      </c>
      <c r="AH259" s="38">
        <f>-(AH185-AF185)-(AH190-AF190)</f>
        <v>-4.522263535965422</v>
      </c>
      <c r="AI259" s="38">
        <f>-(AI185-AH185)-(AI190-AH190)</f>
        <v>21.20970783568157</v>
      </c>
      <c r="AJ259" s="38">
        <f>-(AJ185-AI185)-(AJ190-AI190)</f>
        <v>19.295072863921249</v>
      </c>
      <c r="AK259" s="38">
        <f>-(AK185-AJ185)-(AK190-AJ190)</f>
        <v>-9.6693590290387306</v>
      </c>
      <c r="AL259" s="39">
        <f>SUM(AH259:AK259)</f>
        <v>26.313158134598666</v>
      </c>
    </row>
    <row r="260" spans="1:38" outlineLevel="1" x14ac:dyDescent="0.25">
      <c r="A260" s="300"/>
      <c r="B260" s="509" t="s">
        <v>240</v>
      </c>
      <c r="C260" s="510"/>
      <c r="D260" s="38">
        <v>-431.4</v>
      </c>
      <c r="E260" s="38">
        <f>-845.6-D260</f>
        <v>-414.20000000000005</v>
      </c>
      <c r="F260" s="38">
        <f>-1280.7-E260-D260</f>
        <v>-435.1</v>
      </c>
      <c r="G260" s="38">
        <f>-1806.6-F260-E260-D260</f>
        <v>-525.9</v>
      </c>
      <c r="H260" s="303">
        <f>SUM(D260:G260)</f>
        <v>-1806.6</v>
      </c>
      <c r="I260" s="38">
        <v>-394.3</v>
      </c>
      <c r="J260" s="38">
        <f>-758.3-I260</f>
        <v>-363.99999999999994</v>
      </c>
      <c r="K260" s="38">
        <f>-1138.4-J260-I260</f>
        <v>-380.10000000000008</v>
      </c>
      <c r="L260" s="38">
        <f>-L16*L291</f>
        <v>-361.66704666666652</v>
      </c>
      <c r="M260" s="431">
        <f>SUM(I260:L260)</f>
        <v>-1500.0670466666666</v>
      </c>
      <c r="N260" s="38">
        <f>-N16*N291</f>
        <v>-462.87781548731942</v>
      </c>
      <c r="O260" s="38">
        <f>-O16*O291</f>
        <v>-412.54018294182191</v>
      </c>
      <c r="P260" s="38">
        <f>-P16*P291</f>
        <v>-331.86502517915932</v>
      </c>
      <c r="Q260" s="38">
        <f>-Q16*Q291</f>
        <v>-510.81967657539275</v>
      </c>
      <c r="R260" s="39">
        <f>SUM(N260:Q260)</f>
        <v>-1718.1027001836935</v>
      </c>
      <c r="S260" s="38">
        <f>-S16*S291</f>
        <v>-516.22059775989715</v>
      </c>
      <c r="T260" s="38">
        <f>-T16*T291</f>
        <v>-415.12567721754033</v>
      </c>
      <c r="U260" s="38">
        <f>-U16*U291</f>
        <v>-329.40849388280384</v>
      </c>
      <c r="V260" s="38">
        <f>-V16*V291</f>
        <v>-522.08385229475084</v>
      </c>
      <c r="W260" s="39">
        <f>SUM(S260:V260)</f>
        <v>-1782.8386211549921</v>
      </c>
      <c r="X260" s="38">
        <f>-X16*X291</f>
        <v>-455.17583040072464</v>
      </c>
      <c r="Y260" s="38">
        <f>-Y16*Y291</f>
        <v>-365.7579441703939</v>
      </c>
      <c r="Z260" s="38">
        <f>-Z16*Z291</f>
        <v>-290.27004877462701</v>
      </c>
      <c r="AA260" s="38">
        <f>-AA16*AA291</f>
        <v>-460.32696656032522</v>
      </c>
      <c r="AB260" s="39">
        <f>SUM(X260:AA260)</f>
        <v>-1571.5307899060708</v>
      </c>
      <c r="AC260" s="38">
        <f>-AC16*AC291</f>
        <v>-481.46030411492666</v>
      </c>
      <c r="AD260" s="38">
        <f>-AD16*AD291</f>
        <v>-386.69164732705929</v>
      </c>
      <c r="AE260" s="38">
        <f>-AE16*AE291</f>
        <v>-307.84103497521028</v>
      </c>
      <c r="AF260" s="38">
        <f>-AF16*AF291</f>
        <v>-488.69989573212143</v>
      </c>
      <c r="AG260" s="39">
        <f>SUM(AC260:AF260)</f>
        <v>-1664.6928821493177</v>
      </c>
      <c r="AH260" s="38">
        <f>-AH16*AH291</f>
        <v>-512.26013182622637</v>
      </c>
      <c r="AI260" s="38">
        <f>-AI16*AI291</f>
        <v>-411.28918303109589</v>
      </c>
      <c r="AJ260" s="38">
        <f>-AJ16*AJ291</f>
        <v>-328.20356116261212</v>
      </c>
      <c r="AK260" s="38">
        <f>-AK16*AK291</f>
        <v>-521.01196119877113</v>
      </c>
      <c r="AL260" s="39">
        <f>SUM(AH260:AK260)</f>
        <v>-1772.7648372187055</v>
      </c>
    </row>
    <row r="261" spans="1:38" ht="17.25" outlineLevel="1" x14ac:dyDescent="0.4">
      <c r="A261" s="300"/>
      <c r="B261" s="509" t="s">
        <v>113</v>
      </c>
      <c r="C261" s="510"/>
      <c r="D261" s="41">
        <v>-16.600000000000001</v>
      </c>
      <c r="E261" s="41">
        <f>48.5-37.1-D261</f>
        <v>28</v>
      </c>
      <c r="F261" s="41">
        <f>684.2-72.9-E261-D261</f>
        <v>599.90000000000009</v>
      </c>
      <c r="G261" s="41">
        <f>684.3-56.2-F261-E261-D261</f>
        <v>16.79999999999982</v>
      </c>
      <c r="H261" s="42">
        <f>SUM(D261:G261)</f>
        <v>628.09999999999991</v>
      </c>
      <c r="I261" s="41">
        <v>-19.899999999999999</v>
      </c>
      <c r="J261" s="41">
        <f>-22.5-I261</f>
        <v>-2.6000000000000014</v>
      </c>
      <c r="K261" s="41">
        <f>-39.4-J261-I261</f>
        <v>-16.899999999999999</v>
      </c>
      <c r="L261" s="41">
        <f>-(L191-K191)-(L195-K195)-(L193-K193)+(L210-K210)-(L196-K196)-(L197-K197)</f>
        <v>63.945248969416753</v>
      </c>
      <c r="M261" s="42">
        <f>SUM(I261:L261)</f>
        <v>24.545248969416754</v>
      </c>
      <c r="N261" s="41">
        <f>-(N191-L191)-(N195-L195)-(N193-L193)+(N210-L210)-(N196-L196)-(N197-L197)</f>
        <v>51.692823644430064</v>
      </c>
      <c r="O261" s="41">
        <f t="shared" ref="O261:Q261" si="927">-(O191-N191)-(O195-N195)-(O193-N193)+(O210-N210)-(O196-N196)-(O197-N197)</f>
        <v>66.662050012327654</v>
      </c>
      <c r="P261" s="41">
        <f t="shared" si="927"/>
        <v>62.411547748385658</v>
      </c>
      <c r="Q261" s="41">
        <f t="shared" si="927"/>
        <v>26.053843084400739</v>
      </c>
      <c r="R261" s="42">
        <f>SUM(N261:Q261)</f>
        <v>206.82026448954412</v>
      </c>
      <c r="S261" s="41">
        <f>-(S191-Q191)-(S195-Q195)-(S193-Q193)+(S210-Q210)-(S196-Q196)-(S197-Q197)</f>
        <v>15.483498836224101</v>
      </c>
      <c r="T261" s="41">
        <f t="shared" ref="T261:V261" si="928">-(T191-S191)-(T195-S195)-(T193-S193)+(T210-S210)-(T196-S196)-(T197-S197)</f>
        <v>52.734591424541065</v>
      </c>
      <c r="U261" s="41">
        <f t="shared" si="928"/>
        <v>50.660660267230242</v>
      </c>
      <c r="V261" s="41">
        <f t="shared" si="928"/>
        <v>13.58230675261251</v>
      </c>
      <c r="W261" s="42">
        <f>SUM(S261:V261)</f>
        <v>132.46105728060792</v>
      </c>
      <c r="X261" s="41">
        <f>-(X191-V191)-(X195-V195)-(X193-V193)+(X210-V210)-(X196-V196)-(X197-V197)</f>
        <v>14.724406078127799</v>
      </c>
      <c r="Y261" s="41">
        <f t="shared" ref="Y261:AA261" si="929">-(Y191-X191)-(Y195-X195)-(Y193-X193)+(Y210-X210)-(Y196-X196)-(Y197-X197)</f>
        <v>47.66501368045391</v>
      </c>
      <c r="Z261" s="41">
        <f t="shared" si="929"/>
        <v>44.261465929352823</v>
      </c>
      <c r="AA261" s="41">
        <f t="shared" si="929"/>
        <v>3.8660927224404986</v>
      </c>
      <c r="AB261" s="42">
        <f>SUM(X261:AA261)</f>
        <v>110.51697841037503</v>
      </c>
      <c r="AC261" s="41">
        <f>-(AC191-AA191)-(AC195-AA195)-(AC193-AA193)+(AC210-AA210)-(AC196-AA196)-(AC197-AA197)</f>
        <v>10.126951841905452</v>
      </c>
      <c r="AD261" s="41">
        <f t="shared" ref="AD261:AF261" si="930">-(AD191-AC191)-(AD195-AC195)-(AD193-AC193)+(AD210-AC210)-(AD196-AC196)-(AD197-AC197)</f>
        <v>45.583326594934448</v>
      </c>
      <c r="AE261" s="41">
        <f t="shared" si="930"/>
        <v>42.280587776663793</v>
      </c>
      <c r="AF261" s="41">
        <f t="shared" si="930"/>
        <v>-0.37428865394181798</v>
      </c>
      <c r="AG261" s="42">
        <f>SUM(AC261:AF261)</f>
        <v>97.616577559561875</v>
      </c>
      <c r="AH261" s="41">
        <f>-(AH191-AF191)-(AH195-AF195)-(AH193-AF193)+(AH210-AF210)-(AH196-AF196)-(AH197-AF197)</f>
        <v>10.461311214079331</v>
      </c>
      <c r="AI261" s="41">
        <f t="shared" ref="AI261:AK261" si="931">-(AI191-AH191)-(AI195-AH195)-(AI193-AH193)+(AI210-AH210)-(AI196-AH196)-(AI197-AH197)</f>
        <v>48.787581995902457</v>
      </c>
      <c r="AJ261" s="41">
        <f t="shared" si="931"/>
        <v>45.089353111863772</v>
      </c>
      <c r="AK261" s="41">
        <f t="shared" si="931"/>
        <v>0.29492686364952192</v>
      </c>
      <c r="AL261" s="42">
        <f>SUM(AH261:AK261)</f>
        <v>104.63317318549508</v>
      </c>
    </row>
    <row r="262" spans="1:38" outlineLevel="1" x14ac:dyDescent="0.25">
      <c r="A262" s="300"/>
      <c r="B262" s="501" t="s">
        <v>14</v>
      </c>
      <c r="C262" s="502"/>
      <c r="D262" s="45">
        <f t="shared" ref="D262:AA262" si="932">SUM(D259:D261)</f>
        <v>-510.4</v>
      </c>
      <c r="E262" s="45">
        <f t="shared" si="932"/>
        <v>-200.60000000000002</v>
      </c>
      <c r="F262" s="45">
        <f t="shared" si="932"/>
        <v>204.5</v>
      </c>
      <c r="G262" s="45">
        <f t="shared" si="932"/>
        <v>-504.30000000000007</v>
      </c>
      <c r="H262" s="46">
        <f t="shared" si="932"/>
        <v>-1010.8</v>
      </c>
      <c r="I262" s="45">
        <f t="shared" si="932"/>
        <v>-386.3</v>
      </c>
      <c r="J262" s="45">
        <f t="shared" si="932"/>
        <v>-361.59999999999997</v>
      </c>
      <c r="K262" s="45">
        <f t="shared" si="932"/>
        <v>-583.80000000000007</v>
      </c>
      <c r="L262" s="45">
        <f t="shared" si="932"/>
        <v>-190.40575565223966</v>
      </c>
      <c r="M262" s="46">
        <f t="shared" si="932"/>
        <v>-1522.1057556522398</v>
      </c>
      <c r="N262" s="45">
        <f t="shared" si="932"/>
        <v>-384.41310688715851</v>
      </c>
      <c r="O262" s="45">
        <f t="shared" si="932"/>
        <v>-340.70460768711047</v>
      </c>
      <c r="P262" s="45">
        <f t="shared" si="932"/>
        <v>-270.42727970406713</v>
      </c>
      <c r="Q262" s="45">
        <f t="shared" si="932"/>
        <v>-473.77958415462001</v>
      </c>
      <c r="R262" s="46">
        <f t="shared" ref="R262" si="933">SUM(R259:R261)</f>
        <v>-1469.3245784329563</v>
      </c>
      <c r="S262" s="45">
        <f t="shared" si="932"/>
        <v>-510.85691283419982</v>
      </c>
      <c r="T262" s="45">
        <f t="shared" si="932"/>
        <v>-351.30321877763123</v>
      </c>
      <c r="U262" s="45">
        <f t="shared" si="932"/>
        <v>-265.59301031958853</v>
      </c>
      <c r="V262" s="45">
        <f t="shared" si="932"/>
        <v>-514.6905579442423</v>
      </c>
      <c r="W262" s="46">
        <f t="shared" ref="W262" si="934">SUM(W259:W261)</f>
        <v>-1642.4436998756617</v>
      </c>
      <c r="X262" s="45">
        <f t="shared" si="932"/>
        <v>-448.12740327808848</v>
      </c>
      <c r="Y262" s="45">
        <f t="shared" si="932"/>
        <v>-303.51810990440703</v>
      </c>
      <c r="Z262" s="45">
        <f t="shared" si="932"/>
        <v>-232.13937293097155</v>
      </c>
      <c r="AA262" s="45">
        <f t="shared" si="932"/>
        <v>-468.03762339831894</v>
      </c>
      <c r="AB262" s="46">
        <f t="shared" ref="AB262" si="935">SUM(AB259:AB261)</f>
        <v>-1451.8225095117862</v>
      </c>
      <c r="AC262" s="45">
        <f t="shared" ref="AC262:AG262" si="936">SUM(AC259:AC261)</f>
        <v>-478.64391732884837</v>
      </c>
      <c r="AD262" s="45">
        <f t="shared" si="936"/>
        <v>-324.39153322311972</v>
      </c>
      <c r="AE262" s="45">
        <f t="shared" si="936"/>
        <v>-250.24696789085735</v>
      </c>
      <c r="AF262" s="45">
        <f t="shared" si="936"/>
        <v>-501.18859509260062</v>
      </c>
      <c r="AG262" s="46">
        <f t="shared" si="936"/>
        <v>-1554.4710135354262</v>
      </c>
      <c r="AH262" s="45">
        <f t="shared" ref="AH262:AL262" si="937">SUM(AH259:AH261)</f>
        <v>-506.32108414811245</v>
      </c>
      <c r="AI262" s="45">
        <f t="shared" si="937"/>
        <v>-341.29189319951183</v>
      </c>
      <c r="AJ262" s="45">
        <f t="shared" si="937"/>
        <v>-263.81913518682711</v>
      </c>
      <c r="AK262" s="45">
        <f t="shared" si="937"/>
        <v>-530.38639336416043</v>
      </c>
      <c r="AL262" s="46">
        <f t="shared" si="937"/>
        <v>-1641.8185058986116</v>
      </c>
    </row>
    <row r="263" spans="1:38" outlineLevel="1" x14ac:dyDescent="0.25">
      <c r="A263" s="300"/>
      <c r="B263" s="499" t="s">
        <v>15</v>
      </c>
      <c r="C263" s="500"/>
      <c r="D263" s="284"/>
      <c r="E263" s="279"/>
      <c r="F263" s="279"/>
      <c r="G263" s="279"/>
      <c r="H263" s="280"/>
      <c r="I263" s="279"/>
      <c r="J263" s="279"/>
      <c r="K263" s="279"/>
      <c r="L263" s="279"/>
      <c r="M263" s="280"/>
      <c r="N263" s="279"/>
      <c r="O263" s="279"/>
      <c r="P263" s="279"/>
      <c r="Q263" s="279"/>
      <c r="R263" s="280"/>
      <c r="S263" s="279"/>
      <c r="T263" s="279"/>
      <c r="U263" s="279"/>
      <c r="V263" s="279"/>
      <c r="W263" s="280"/>
      <c r="X263" s="279"/>
      <c r="Y263" s="279"/>
      <c r="Z263" s="279"/>
      <c r="AA263" s="279"/>
      <c r="AB263" s="280"/>
      <c r="AC263" s="279"/>
      <c r="AD263" s="279"/>
      <c r="AE263" s="279"/>
      <c r="AF263" s="279"/>
      <c r="AG263" s="280"/>
      <c r="AH263" s="279"/>
      <c r="AI263" s="279"/>
      <c r="AJ263" s="279"/>
      <c r="AK263" s="279"/>
      <c r="AL263" s="280"/>
    </row>
    <row r="264" spans="1:38" outlineLevel="1" x14ac:dyDescent="0.25">
      <c r="A264" s="300"/>
      <c r="B264" s="513" t="s">
        <v>307</v>
      </c>
      <c r="C264" s="514"/>
      <c r="D264" s="99">
        <v>0</v>
      </c>
      <c r="E264" s="99">
        <f>-D264</f>
        <v>0</v>
      </c>
      <c r="F264" s="99">
        <f>1996-350-E264-D264</f>
        <v>1646</v>
      </c>
      <c r="G264" s="99">
        <f>1996-F264-E264-D264</f>
        <v>350</v>
      </c>
      <c r="H264" s="100">
        <f t="shared" ref="H264:H268" si="938">SUM(D264:G264)</f>
        <v>1996</v>
      </c>
      <c r="I264" s="99">
        <v>0</v>
      </c>
      <c r="J264" s="99">
        <f>1739.7-I264</f>
        <v>1739.7</v>
      </c>
      <c r="K264" s="99">
        <f>1157.2+4727.6-J264-I264</f>
        <v>4145.1000000000004</v>
      </c>
      <c r="L264" s="99">
        <f>+(L206-K206)+(L209-K209)</f>
        <v>-437</v>
      </c>
      <c r="M264" s="100">
        <f t="shared" ref="M264:M268" si="939">SUM(I264:L264)</f>
        <v>5447.8</v>
      </c>
      <c r="N264" s="99">
        <f>+(N206-L206)+(N209-L209)</f>
        <v>-437</v>
      </c>
      <c r="O264" s="99">
        <f>+(O206-N206)+(O209-N209)</f>
        <v>-437</v>
      </c>
      <c r="P264" s="99">
        <f>+(P206-O206)+(P209-O209)</f>
        <v>-437</v>
      </c>
      <c r="Q264" s="99">
        <f>+(Q206-P206)+(Q209-P209)</f>
        <v>-438.09999999999991</v>
      </c>
      <c r="R264" s="100">
        <f t="shared" ref="R264:R268" si="940">SUM(N264:Q264)</f>
        <v>-1749.1</v>
      </c>
      <c r="S264" s="99">
        <f>+(S206-Q206)+(S209-Q209)</f>
        <v>-250</v>
      </c>
      <c r="T264" s="99">
        <f>+(T206-S206)+(T209-S209)</f>
        <v>-250</v>
      </c>
      <c r="U264" s="99">
        <f>+(U206-T206)+(U209-T209)</f>
        <v>-250</v>
      </c>
      <c r="V264" s="99">
        <f>+(V206-U206)+(V209-U209)</f>
        <v>-250</v>
      </c>
      <c r="W264" s="100">
        <f t="shared" ref="W264:W268" si="941">SUM(S264:V264)</f>
        <v>-1000</v>
      </c>
      <c r="X264" s="99">
        <f>+(X206-V206)+(X209-V209)</f>
        <v>-250</v>
      </c>
      <c r="Y264" s="99">
        <f>+(Y206-X206)+(Y209-X209)</f>
        <v>-250</v>
      </c>
      <c r="Z264" s="99">
        <f>+(Z206-Y206)+(Z209-Y209)</f>
        <v>-250</v>
      </c>
      <c r="AA264" s="99">
        <f>+(AA206-Z206)+(AA209-Z209)</f>
        <v>-250</v>
      </c>
      <c r="AB264" s="100">
        <f t="shared" ref="AB264:AB268" si="942">SUM(X264:AA264)</f>
        <v>-1000</v>
      </c>
      <c r="AC264" s="99">
        <f>+(AC206-AA206)+(AC209-AA209)</f>
        <v>-385.75</v>
      </c>
      <c r="AD264" s="99">
        <f>+(AD206-AC206)+(AD209-AC209)</f>
        <v>-385.75</v>
      </c>
      <c r="AE264" s="99">
        <f>+(AE206-AD206)+(AE209-AD209)</f>
        <v>-385.75</v>
      </c>
      <c r="AF264" s="99">
        <f>+(AF206-AE206)+(AF209-AE209)</f>
        <v>-385.75</v>
      </c>
      <c r="AG264" s="100">
        <f t="shared" ref="AG264:AG268" si="943">SUM(AC264:AF264)</f>
        <v>-1543</v>
      </c>
      <c r="AH264" s="99">
        <f>+(AH206-AF206)+(AH209-AF209)</f>
        <v>-750</v>
      </c>
      <c r="AI264" s="99">
        <f>+(AI206-AH206)+(AI209-AH209)</f>
        <v>-750</v>
      </c>
      <c r="AJ264" s="99">
        <f>+(AJ206-AI206)+(AJ209-AI209)</f>
        <v>-750</v>
      </c>
      <c r="AK264" s="99">
        <f>+(AK206-AJ206)+(AK209-AJ209)</f>
        <v>-750</v>
      </c>
      <c r="AL264" s="100">
        <f t="shared" ref="AL264:AL268" si="944">SUM(AH264:AK264)</f>
        <v>-3000</v>
      </c>
    </row>
    <row r="265" spans="1:38" outlineLevel="1" x14ac:dyDescent="0.25">
      <c r="A265" s="300"/>
      <c r="B265" s="346" t="s">
        <v>306</v>
      </c>
      <c r="C265" s="347"/>
      <c r="D265" s="99">
        <v>-350</v>
      </c>
      <c r="E265" s="99">
        <v>0</v>
      </c>
      <c r="F265" s="99">
        <f>-75-E265-D265</f>
        <v>275</v>
      </c>
      <c r="G265" s="99">
        <f>-350-F265-E265-D265</f>
        <v>-275</v>
      </c>
      <c r="H265" s="100">
        <f t="shared" si="938"/>
        <v>-350</v>
      </c>
      <c r="I265" s="99"/>
      <c r="J265" s="99">
        <f t="shared" ref="J265" si="945">0-I265</f>
        <v>0</v>
      </c>
      <c r="K265" s="99">
        <v>-220.7</v>
      </c>
      <c r="L265" s="99"/>
      <c r="M265" s="100">
        <f t="shared" si="939"/>
        <v>-220.7</v>
      </c>
      <c r="N265" s="99"/>
      <c r="O265" s="99"/>
      <c r="P265" s="99"/>
      <c r="Q265" s="99"/>
      <c r="R265" s="100">
        <f t="shared" si="940"/>
        <v>0</v>
      </c>
      <c r="S265" s="99"/>
      <c r="T265" s="99"/>
      <c r="U265" s="99"/>
      <c r="V265" s="99"/>
      <c r="W265" s="100">
        <f t="shared" si="941"/>
        <v>0</v>
      </c>
      <c r="X265" s="99"/>
      <c r="Y265" s="99"/>
      <c r="Z265" s="99"/>
      <c r="AA265" s="99"/>
      <c r="AB265" s="100">
        <f t="shared" si="942"/>
        <v>0</v>
      </c>
      <c r="AC265" s="99"/>
      <c r="AD265" s="99"/>
      <c r="AE265" s="99"/>
      <c r="AF265" s="99"/>
      <c r="AG265" s="100">
        <f t="shared" si="943"/>
        <v>0</v>
      </c>
      <c r="AH265" s="99"/>
      <c r="AI265" s="99"/>
      <c r="AJ265" s="99"/>
      <c r="AK265" s="99"/>
      <c r="AL265" s="100">
        <f t="shared" si="944"/>
        <v>0</v>
      </c>
    </row>
    <row r="266" spans="1:38" outlineLevel="1" x14ac:dyDescent="0.25">
      <c r="A266" s="300"/>
      <c r="B266" s="346" t="s">
        <v>304</v>
      </c>
      <c r="C266" s="347"/>
      <c r="D266" s="99"/>
      <c r="E266" s="99">
        <v>75</v>
      </c>
      <c r="F266" s="99">
        <v>0</v>
      </c>
      <c r="G266" s="99">
        <f>0-F266-E266-D266</f>
        <v>-75</v>
      </c>
      <c r="H266" s="100">
        <f t="shared" si="938"/>
        <v>0</v>
      </c>
      <c r="I266" s="99">
        <f>398.9+99</f>
        <v>497.9</v>
      </c>
      <c r="J266" s="99">
        <f>613+494.1-I266</f>
        <v>609.19999999999993</v>
      </c>
      <c r="K266" s="99">
        <f t="shared" ref="K266" si="946">0-J266-I266</f>
        <v>-1107.0999999999999</v>
      </c>
      <c r="L266" s="99"/>
      <c r="M266" s="100">
        <f t="shared" si="939"/>
        <v>0</v>
      </c>
      <c r="N266" s="99"/>
      <c r="O266" s="99"/>
      <c r="P266" s="99"/>
      <c r="Q266" s="99"/>
      <c r="R266" s="100">
        <f t="shared" si="940"/>
        <v>0</v>
      </c>
      <c r="S266" s="99"/>
      <c r="T266" s="99"/>
      <c r="U266" s="99"/>
      <c r="V266" s="99"/>
      <c r="W266" s="100">
        <f t="shared" si="941"/>
        <v>0</v>
      </c>
      <c r="X266" s="99"/>
      <c r="Y266" s="99"/>
      <c r="Z266" s="99"/>
      <c r="AA266" s="99"/>
      <c r="AB266" s="100">
        <f t="shared" si="942"/>
        <v>0</v>
      </c>
      <c r="AC266" s="99"/>
      <c r="AD266" s="99"/>
      <c r="AE266" s="99"/>
      <c r="AF266" s="99"/>
      <c r="AG266" s="100">
        <f t="shared" si="943"/>
        <v>0</v>
      </c>
      <c r="AH266" s="99"/>
      <c r="AI266" s="99"/>
      <c r="AJ266" s="99"/>
      <c r="AK266" s="99"/>
      <c r="AL266" s="100">
        <f t="shared" si="944"/>
        <v>0</v>
      </c>
    </row>
    <row r="267" spans="1:38" outlineLevel="1" x14ac:dyDescent="0.25">
      <c r="A267" s="300"/>
      <c r="B267" s="58" t="s">
        <v>238</v>
      </c>
      <c r="C267" s="52"/>
      <c r="D267" s="99">
        <v>108.4</v>
      </c>
      <c r="E267" s="99">
        <f>275.7-D267</f>
        <v>167.29999999999998</v>
      </c>
      <c r="F267" s="99">
        <f>358.5-E267-D267</f>
        <v>82.800000000000011</v>
      </c>
      <c r="G267" s="99">
        <f>409.8-F267-E267-D267</f>
        <v>51.300000000000011</v>
      </c>
      <c r="H267" s="100">
        <f t="shared" si="938"/>
        <v>409.8</v>
      </c>
      <c r="I267" s="99">
        <v>33.1</v>
      </c>
      <c r="J267" s="99">
        <f>65.4-I267</f>
        <v>32.300000000000004</v>
      </c>
      <c r="K267" s="99">
        <f>98.9-J267-I267</f>
        <v>33.499999999999993</v>
      </c>
      <c r="L267" s="99">
        <v>0</v>
      </c>
      <c r="M267" s="100">
        <f t="shared" si="939"/>
        <v>98.9</v>
      </c>
      <c r="N267" s="99">
        <v>0</v>
      </c>
      <c r="O267" s="99">
        <v>0</v>
      </c>
      <c r="P267" s="99">
        <v>0</v>
      </c>
      <c r="Q267" s="99">
        <v>0</v>
      </c>
      <c r="R267" s="100">
        <f t="shared" si="940"/>
        <v>0</v>
      </c>
      <c r="S267" s="99">
        <v>0</v>
      </c>
      <c r="T267" s="99">
        <v>0</v>
      </c>
      <c r="U267" s="99">
        <v>0</v>
      </c>
      <c r="V267" s="99">
        <v>0</v>
      </c>
      <c r="W267" s="100">
        <f t="shared" si="941"/>
        <v>0</v>
      </c>
      <c r="X267" s="99">
        <v>0</v>
      </c>
      <c r="Y267" s="99">
        <v>0</v>
      </c>
      <c r="Z267" s="99">
        <v>0</v>
      </c>
      <c r="AA267" s="99">
        <v>0</v>
      </c>
      <c r="AB267" s="100">
        <f t="shared" si="942"/>
        <v>0</v>
      </c>
      <c r="AC267" s="99">
        <v>0</v>
      </c>
      <c r="AD267" s="99">
        <v>0</v>
      </c>
      <c r="AE267" s="99">
        <v>0</v>
      </c>
      <c r="AF267" s="99">
        <v>0</v>
      </c>
      <c r="AG267" s="100">
        <f t="shared" si="943"/>
        <v>0</v>
      </c>
      <c r="AH267" s="99">
        <v>0</v>
      </c>
      <c r="AI267" s="99">
        <v>0</v>
      </c>
      <c r="AJ267" s="99">
        <v>0</v>
      </c>
      <c r="AK267" s="99">
        <v>0</v>
      </c>
      <c r="AL267" s="100">
        <f t="shared" si="944"/>
        <v>0</v>
      </c>
    </row>
    <row r="268" spans="1:38" outlineLevel="1" x14ac:dyDescent="0.25">
      <c r="A268" s="300"/>
      <c r="B268" s="58" t="s">
        <v>244</v>
      </c>
      <c r="C268" s="52"/>
      <c r="D268" s="99">
        <v>-446.7</v>
      </c>
      <c r="E268" s="99">
        <f>-894.5-D268</f>
        <v>-447.8</v>
      </c>
      <c r="F268" s="99">
        <f>-1330.7-E268-D268</f>
        <v>-436.2000000000001</v>
      </c>
      <c r="G268" s="99">
        <f>-1761.3-F268-E268-D268</f>
        <v>-430.59999999999997</v>
      </c>
      <c r="H268" s="100">
        <f t="shared" si="938"/>
        <v>-1761.3</v>
      </c>
      <c r="I268" s="99">
        <v>-484.2</v>
      </c>
      <c r="J268" s="99">
        <f>-965.2-I268</f>
        <v>-481.00000000000006</v>
      </c>
      <c r="K268" s="99">
        <f>-1444.2-J268-I268</f>
        <v>-479.00000000000006</v>
      </c>
      <c r="L268" s="99">
        <f>-L43*L38</f>
        <v>-526.55438537883424</v>
      </c>
      <c r="M268" s="100">
        <f t="shared" si="939"/>
        <v>-1970.7543853788343</v>
      </c>
      <c r="N268" s="99">
        <f>-N43*N38</f>
        <v>-523.62483085981182</v>
      </c>
      <c r="O268" s="99">
        <f>-O43*O38</f>
        <v>-522.01028478812293</v>
      </c>
      <c r="P268" s="99">
        <f>-P43*P38</f>
        <v>-520.29087719064216</v>
      </c>
      <c r="Q268" s="99">
        <f>-Q43*Q38</f>
        <v>-570.56299566877772</v>
      </c>
      <c r="R268" s="100">
        <f t="shared" si="940"/>
        <v>-2136.4889885073544</v>
      </c>
      <c r="S268" s="99">
        <f>-S43*S38</f>
        <v>-625.3151740795123</v>
      </c>
      <c r="T268" s="99">
        <f>-T43*T38</f>
        <v>-685.62233774539015</v>
      </c>
      <c r="U268" s="99">
        <f>-U43*U38</f>
        <v>-731.19419541619902</v>
      </c>
      <c r="V268" s="99">
        <f>-V43*V38</f>
        <v>-779.77507875995752</v>
      </c>
      <c r="W268" s="100">
        <f t="shared" si="941"/>
        <v>-2821.9067860010591</v>
      </c>
      <c r="X268" s="99">
        <f>-X43*X38</f>
        <v>-777.13094767035432</v>
      </c>
      <c r="Y268" s="99">
        <f>-Y43*Y38</f>
        <v>-774.55021743067198</v>
      </c>
      <c r="Z268" s="99">
        <f>-Z43*Z38</f>
        <v>-771.96117572449657</v>
      </c>
      <c r="AA268" s="99">
        <f>-AA43*AA38</f>
        <v>-807.84137399994358</v>
      </c>
      <c r="AB268" s="100">
        <f t="shared" si="942"/>
        <v>-3131.4837148254664</v>
      </c>
      <c r="AC268" s="99">
        <f>-AC43*AC38</f>
        <v>-805.12726749559977</v>
      </c>
      <c r="AD268" s="99">
        <f>-AD43*AD38</f>
        <v>-802.42852975160019</v>
      </c>
      <c r="AE268" s="99">
        <f>-AE43*AE38</f>
        <v>-799.73257279775828</v>
      </c>
      <c r="AF268" s="99">
        <f>-AF43*AF38</f>
        <v>-836.89433707664909</v>
      </c>
      <c r="AG268" s="100">
        <f t="shared" si="943"/>
        <v>-3244.1827071216076</v>
      </c>
      <c r="AH268" s="99">
        <f>-AH43*AH38</f>
        <v>-834.07664762236993</v>
      </c>
      <c r="AI268" s="99">
        <f>-AI43*AI38</f>
        <v>-831.26692769015199</v>
      </c>
      <c r="AJ268" s="99">
        <f>-AJ43*AJ38</f>
        <v>-828.46316922902486</v>
      </c>
      <c r="AK268" s="99">
        <f>-AK43*AK38</f>
        <v>-866.94942579707697</v>
      </c>
      <c r="AL268" s="100">
        <f t="shared" si="944"/>
        <v>-3360.7561703386236</v>
      </c>
    </row>
    <row r="269" spans="1:38" outlineLevel="1" x14ac:dyDescent="0.25">
      <c r="A269" s="300"/>
      <c r="B269" s="58" t="s">
        <v>114</v>
      </c>
      <c r="C269" s="171"/>
      <c r="D269" s="99">
        <v>-5114.7</v>
      </c>
      <c r="E269" s="99">
        <f>-7827.9-D269</f>
        <v>-2713.2</v>
      </c>
      <c r="F269" s="99">
        <f>-7972.9-E269-D269</f>
        <v>-145</v>
      </c>
      <c r="G269" s="99">
        <f>-10222.3-F269-E269-D269</f>
        <v>-2249.3999999999996</v>
      </c>
      <c r="H269" s="100">
        <f>SUM(D269:G269)</f>
        <v>-10222.299999999999</v>
      </c>
      <c r="I269" s="99">
        <v>-1091.4000000000001</v>
      </c>
      <c r="J269" s="99">
        <f>-1698.9-I269</f>
        <v>-607.5</v>
      </c>
      <c r="K269" s="99">
        <f>-1698.9-J269-I269</f>
        <v>0</v>
      </c>
      <c r="L269" s="99">
        <f>-L160</f>
        <v>-100</v>
      </c>
      <c r="M269" s="100">
        <f>SUM(I269:L269)</f>
        <v>-1798.9</v>
      </c>
      <c r="N269" s="99">
        <f>-N160</f>
        <v>-100</v>
      </c>
      <c r="O269" s="99">
        <f>-O160</f>
        <v>-100</v>
      </c>
      <c r="P269" s="99">
        <f>-P160</f>
        <v>-100</v>
      </c>
      <c r="Q269" s="99">
        <f>-Q160</f>
        <v>-100</v>
      </c>
      <c r="R269" s="100">
        <f>SUM(N269:Q269)</f>
        <v>-400</v>
      </c>
      <c r="S269" s="99">
        <f>-S160</f>
        <v>-100</v>
      </c>
      <c r="T269" s="99">
        <f>-T160</f>
        <v>-100</v>
      </c>
      <c r="U269" s="99">
        <f>-U160</f>
        <v>-100</v>
      </c>
      <c r="V269" s="99">
        <f>-V160</f>
        <v>-100</v>
      </c>
      <c r="W269" s="100">
        <f>SUM(S269:V269)</f>
        <v>-400</v>
      </c>
      <c r="X269" s="99">
        <f>-X160</f>
        <v>-100</v>
      </c>
      <c r="Y269" s="99">
        <f>-Y160</f>
        <v>-100</v>
      </c>
      <c r="Z269" s="99">
        <f>-Z160</f>
        <v>-100</v>
      </c>
      <c r="AA269" s="99">
        <f>-AA160</f>
        <v>-100</v>
      </c>
      <c r="AB269" s="100">
        <f>SUM(X269:AA269)</f>
        <v>-400</v>
      </c>
      <c r="AC269" s="99">
        <f>-AC160</f>
        <v>-100</v>
      </c>
      <c r="AD269" s="99">
        <f>-AD160</f>
        <v>-100</v>
      </c>
      <c r="AE269" s="99">
        <f>-AE160</f>
        <v>-100</v>
      </c>
      <c r="AF269" s="99">
        <f>-AF160</f>
        <v>-100</v>
      </c>
      <c r="AG269" s="100">
        <f>SUM(AC269:AF269)</f>
        <v>-400</v>
      </c>
      <c r="AH269" s="99">
        <f>-AH160</f>
        <v>-100</v>
      </c>
      <c r="AI269" s="99">
        <f>-AI160</f>
        <v>-100</v>
      </c>
      <c r="AJ269" s="99">
        <f>-AJ160</f>
        <v>-100</v>
      </c>
      <c r="AK269" s="99">
        <f>-AK160</f>
        <v>-100</v>
      </c>
      <c r="AL269" s="100">
        <f>SUM(AH269:AK269)</f>
        <v>-400</v>
      </c>
    </row>
    <row r="270" spans="1:38" outlineLevel="1" x14ac:dyDescent="0.25">
      <c r="A270" s="300"/>
      <c r="B270" s="58" t="s">
        <v>277</v>
      </c>
      <c r="C270" s="89"/>
      <c r="D270" s="99">
        <v>-55.3</v>
      </c>
      <c r="E270" s="99">
        <f>-56.3-D270</f>
        <v>-1</v>
      </c>
      <c r="F270" s="99">
        <f>-106.1-E270-D270</f>
        <v>-49.8</v>
      </c>
      <c r="G270" s="99">
        <f>-111.6-F270-E270-D270</f>
        <v>-5.5</v>
      </c>
      <c r="H270" s="100">
        <f t="shared" ref="H270" si="947">SUM(D270:G270)</f>
        <v>-111.6</v>
      </c>
      <c r="I270" s="99">
        <v>-78.400000000000006</v>
      </c>
      <c r="J270" s="99">
        <f>-87.6-I270</f>
        <v>-9.1999999999999886</v>
      </c>
      <c r="K270" s="99">
        <f>-89.1-J270-I270</f>
        <v>-1.5</v>
      </c>
      <c r="L270" s="99">
        <f>(K270/K247)*L247</f>
        <v>-2.1588335884665848</v>
      </c>
      <c r="M270" s="100">
        <f t="shared" ref="M270" si="948">SUM(I270:L270)</f>
        <v>-91.258833588466572</v>
      </c>
      <c r="N270" s="99">
        <f>(L270/L247)*N247</f>
        <v>-2.8464700118780515</v>
      </c>
      <c r="O270" s="99">
        <f>(N270/N247)*O247</f>
        <v>-2.3420439023124389</v>
      </c>
      <c r="P270" s="99">
        <f>(O270/O247)*P247</f>
        <v>-1.8898166270475667</v>
      </c>
      <c r="Q270" s="99">
        <f>(P270/P247)*Q247</f>
        <v>-2.9981633933312288</v>
      </c>
      <c r="R270" s="100">
        <f t="shared" ref="R270" si="949">SUM(N270:Q270)</f>
        <v>-10.076493934569285</v>
      </c>
      <c r="S270" s="99">
        <f>(Q270/Q247)*S247</f>
        <v>-3.1530799156190894</v>
      </c>
      <c r="T270" s="99">
        <f>(S270/S247)*T247</f>
        <v>-2.513837576461849</v>
      </c>
      <c r="U270" s="99">
        <f>(T270/T247)*U247</f>
        <v>-2.0013069391623146</v>
      </c>
      <c r="V270" s="99">
        <f>(U270/U247)*V247</f>
        <v>-3.1748712410907123</v>
      </c>
      <c r="W270" s="100">
        <f t="shared" ref="W270" si="950">SUM(S270:V270)</f>
        <v>-10.843095672333966</v>
      </c>
      <c r="X270" s="99">
        <f>(V270/V247)*X247</f>
        <v>-3.3209933315481548</v>
      </c>
      <c r="Y270" s="99">
        <f>(X270/X247)*Y247</f>
        <v>-2.66552724474916</v>
      </c>
      <c r="Z270" s="99">
        <f>(Y270/Y247)*Z247</f>
        <v>-2.1169161013961104</v>
      </c>
      <c r="AA270" s="99">
        <f>(Z270/Z247)*AA247</f>
        <v>-3.3574004701273594</v>
      </c>
      <c r="AB270" s="100">
        <f t="shared" ref="AB270" si="951">SUM(X270:AA270)</f>
        <v>-11.460837147820785</v>
      </c>
      <c r="AC270" s="99">
        <f>(AA270/AA247)*AC247</f>
        <v>-3.5110709323998379</v>
      </c>
      <c r="AD270" s="99">
        <f>(AC270/AC247)*AD247</f>
        <v>-2.8196257612475137</v>
      </c>
      <c r="AE270" s="99">
        <f>(AD270/AD247)*AE247</f>
        <v>-2.2449801163913072</v>
      </c>
      <c r="AF270" s="99">
        <f>(AE270/AE247)*AF247</f>
        <v>-3.5638907029383615</v>
      </c>
      <c r="AG270" s="100">
        <f t="shared" ref="AG270" si="952">SUM(AC270:AF270)</f>
        <v>-12.13956751297702</v>
      </c>
      <c r="AH270" s="99">
        <f>(AF270/AF247)*AH247</f>
        <v>-3.7355885562520945</v>
      </c>
      <c r="AI270" s="99">
        <f>(AH270/AH247)*AI247</f>
        <v>-2.9992530379873363</v>
      </c>
      <c r="AJ270" s="99">
        <f>(AI270/AI247)*AJ247</f>
        <v>-2.3934198776680184</v>
      </c>
      <c r="AK270" s="99">
        <f>(AJ270/AJ247)*AK247</f>
        <v>-3.7994497259411677</v>
      </c>
      <c r="AL270" s="100">
        <f t="shared" ref="AL270" si="953">SUM(AH270:AK270)</f>
        <v>-12.927711197848616</v>
      </c>
    </row>
    <row r="271" spans="1:38" ht="17.25" outlineLevel="1" x14ac:dyDescent="0.4">
      <c r="A271" s="300"/>
      <c r="B271" s="513" t="s">
        <v>115</v>
      </c>
      <c r="C271" s="514"/>
      <c r="D271" s="281">
        <v>-0.3</v>
      </c>
      <c r="E271" s="281">
        <f>0.1-D271</f>
        <v>0.4</v>
      </c>
      <c r="F271" s="281">
        <f>-17.6-E271-D271</f>
        <v>-17.7</v>
      </c>
      <c r="G271" s="281">
        <f>-17.5-F271-E271-D271</f>
        <v>9.9999999999999256E-2</v>
      </c>
      <c r="H271" s="274">
        <f t="shared" ref="H271" si="954">SUM(D271:G271)</f>
        <v>-17.5</v>
      </c>
      <c r="I271" s="281">
        <v>0</v>
      </c>
      <c r="J271" s="281">
        <f>-10.4-I271</f>
        <v>-10.4</v>
      </c>
      <c r="K271" s="281">
        <f>-37.8-J271-I271</f>
        <v>-27.4</v>
      </c>
      <c r="L271" s="281">
        <v>0</v>
      </c>
      <c r="M271" s="274">
        <f t="shared" ref="M271" si="955">SUM(I271:L271)</f>
        <v>-37.799999999999997</v>
      </c>
      <c r="N271" s="281">
        <v>0</v>
      </c>
      <c r="O271" s="281">
        <v>0</v>
      </c>
      <c r="P271" s="281">
        <v>0</v>
      </c>
      <c r="Q271" s="281">
        <v>0</v>
      </c>
      <c r="R271" s="274">
        <f t="shared" ref="R271" si="956">SUM(N271:Q271)</f>
        <v>0</v>
      </c>
      <c r="S271" s="281">
        <v>0</v>
      </c>
      <c r="T271" s="281">
        <v>0</v>
      </c>
      <c r="U271" s="281">
        <v>0</v>
      </c>
      <c r="V271" s="281">
        <v>0</v>
      </c>
      <c r="W271" s="274">
        <f t="shared" ref="W271" si="957">SUM(S271:V271)</f>
        <v>0</v>
      </c>
      <c r="X271" s="281">
        <v>0</v>
      </c>
      <c r="Y271" s="281">
        <v>0</v>
      </c>
      <c r="Z271" s="281">
        <v>0</v>
      </c>
      <c r="AA271" s="281">
        <v>0</v>
      </c>
      <c r="AB271" s="274">
        <f t="shared" ref="AB271" si="958">SUM(X271:AA271)</f>
        <v>0</v>
      </c>
      <c r="AC271" s="281">
        <v>0</v>
      </c>
      <c r="AD271" s="281">
        <v>0</v>
      </c>
      <c r="AE271" s="281">
        <v>0</v>
      </c>
      <c r="AF271" s="281">
        <v>0</v>
      </c>
      <c r="AG271" s="274">
        <f t="shared" ref="AG271" si="959">SUM(AC271:AF271)</f>
        <v>0</v>
      </c>
      <c r="AH271" s="281">
        <v>0</v>
      </c>
      <c r="AI271" s="281">
        <v>0</v>
      </c>
      <c r="AJ271" s="281">
        <v>0</v>
      </c>
      <c r="AK271" s="281">
        <v>0</v>
      </c>
      <c r="AL271" s="274">
        <f t="shared" ref="AL271" si="960">SUM(AH271:AK271)</f>
        <v>0</v>
      </c>
    </row>
    <row r="272" spans="1:38" outlineLevel="1" x14ac:dyDescent="0.25">
      <c r="A272" s="300"/>
      <c r="B272" s="518" t="s">
        <v>16</v>
      </c>
      <c r="C272" s="519"/>
      <c r="D272" s="98">
        <f t="shared" ref="D272:AB272" si="961">SUM(D264:D271)</f>
        <v>-5858.6</v>
      </c>
      <c r="E272" s="98">
        <f t="shared" si="961"/>
        <v>-2919.2999999999997</v>
      </c>
      <c r="F272" s="98">
        <f t="shared" si="961"/>
        <v>1355.1</v>
      </c>
      <c r="G272" s="98">
        <f t="shared" si="961"/>
        <v>-2634.1</v>
      </c>
      <c r="H272" s="275">
        <f t="shared" si="961"/>
        <v>-10056.9</v>
      </c>
      <c r="I272" s="98">
        <f t="shared" si="961"/>
        <v>-1123.0000000000002</v>
      </c>
      <c r="J272" s="98">
        <f t="shared" si="961"/>
        <v>1273.1000000000001</v>
      </c>
      <c r="K272" s="98">
        <f t="shared" si="961"/>
        <v>2342.9000000000005</v>
      </c>
      <c r="L272" s="98">
        <f t="shared" si="961"/>
        <v>-1065.7132189673009</v>
      </c>
      <c r="M272" s="275">
        <f t="shared" si="961"/>
        <v>1427.2867810326991</v>
      </c>
      <c r="N272" s="98">
        <f t="shared" si="961"/>
        <v>-1063.4713008716899</v>
      </c>
      <c r="O272" s="98">
        <f t="shared" si="961"/>
        <v>-1061.3523286904356</v>
      </c>
      <c r="P272" s="98">
        <f t="shared" si="961"/>
        <v>-1059.1806938176899</v>
      </c>
      <c r="Q272" s="98">
        <f t="shared" si="961"/>
        <v>-1111.6611590621087</v>
      </c>
      <c r="R272" s="275">
        <f t="shared" si="961"/>
        <v>-4295.6654824419229</v>
      </c>
      <c r="S272" s="98">
        <f t="shared" si="961"/>
        <v>-978.46825399513136</v>
      </c>
      <c r="T272" s="98">
        <f t="shared" si="961"/>
        <v>-1038.1361753218521</v>
      </c>
      <c r="U272" s="98">
        <f t="shared" si="961"/>
        <v>-1083.1955023553612</v>
      </c>
      <c r="V272" s="98">
        <f t="shared" si="961"/>
        <v>-1132.9499500010481</v>
      </c>
      <c r="W272" s="275">
        <f t="shared" si="961"/>
        <v>-4232.7498816733932</v>
      </c>
      <c r="X272" s="98">
        <f t="shared" si="961"/>
        <v>-1130.4519410019025</v>
      </c>
      <c r="Y272" s="98">
        <f t="shared" si="961"/>
        <v>-1127.2157446754213</v>
      </c>
      <c r="Z272" s="98">
        <f t="shared" si="961"/>
        <v>-1124.0780918258927</v>
      </c>
      <c r="AA272" s="98">
        <f t="shared" si="961"/>
        <v>-1161.1987744700712</v>
      </c>
      <c r="AB272" s="275">
        <f t="shared" si="961"/>
        <v>-4542.9445519732872</v>
      </c>
      <c r="AC272" s="98">
        <f t="shared" ref="AC272:AG272" si="962">SUM(AC264:AC271)</f>
        <v>-1294.3883384279998</v>
      </c>
      <c r="AD272" s="98">
        <f t="shared" si="962"/>
        <v>-1290.9981555128479</v>
      </c>
      <c r="AE272" s="98">
        <f t="shared" si="962"/>
        <v>-1287.7275529141496</v>
      </c>
      <c r="AF272" s="98">
        <f t="shared" si="962"/>
        <v>-1326.2082277795876</v>
      </c>
      <c r="AG272" s="275">
        <f t="shared" si="962"/>
        <v>-5199.3222746345846</v>
      </c>
      <c r="AH272" s="98">
        <f t="shared" ref="AH272:AL272" si="963">SUM(AH264:AH271)</f>
        <v>-1687.812236178622</v>
      </c>
      <c r="AI272" s="98">
        <f t="shared" si="963"/>
        <v>-1684.2661807281393</v>
      </c>
      <c r="AJ272" s="98">
        <f t="shared" si="963"/>
        <v>-1680.856589106693</v>
      </c>
      <c r="AK272" s="98">
        <f t="shared" si="963"/>
        <v>-1720.7488755230181</v>
      </c>
      <c r="AL272" s="275">
        <f t="shared" si="963"/>
        <v>-6773.6838815364727</v>
      </c>
    </row>
    <row r="273" spans="1:38" outlineLevel="1" x14ac:dyDescent="0.25">
      <c r="A273" s="300"/>
      <c r="B273" s="90" t="s">
        <v>117</v>
      </c>
      <c r="C273" s="91"/>
      <c r="D273" s="438">
        <f>-4.7-0.1</f>
        <v>-4.8</v>
      </c>
      <c r="E273" s="358">
        <f>18.3-0.1-D273</f>
        <v>23</v>
      </c>
      <c r="F273" s="358">
        <f>-2.5-E273-D273</f>
        <v>-20.7</v>
      </c>
      <c r="G273" s="358">
        <f>-49-F273-E273-D273</f>
        <v>-46.5</v>
      </c>
      <c r="H273" s="282">
        <f>SUM(D273:G273)</f>
        <v>-49</v>
      </c>
      <c r="I273" s="358">
        <v>27.1</v>
      </c>
      <c r="J273" s="358">
        <f>8.7-I273</f>
        <v>-18.400000000000002</v>
      </c>
      <c r="K273" s="358">
        <f>10.9-J273-I273</f>
        <v>2.2000000000000028</v>
      </c>
      <c r="L273" s="283">
        <v>0</v>
      </c>
      <c r="M273" s="282">
        <f>SUM(I273:L273)</f>
        <v>10.900000000000002</v>
      </c>
      <c r="N273" s="283">
        <v>0</v>
      </c>
      <c r="O273" s="283">
        <v>0</v>
      </c>
      <c r="P273" s="283">
        <v>0</v>
      </c>
      <c r="Q273" s="283">
        <v>0</v>
      </c>
      <c r="R273" s="282">
        <f>SUM(N273:Q273)</f>
        <v>0</v>
      </c>
      <c r="S273" s="283">
        <v>0</v>
      </c>
      <c r="T273" s="283">
        <v>0</v>
      </c>
      <c r="U273" s="283">
        <v>0</v>
      </c>
      <c r="V273" s="283">
        <v>0</v>
      </c>
      <c r="W273" s="282">
        <f>SUM(S273:V273)</f>
        <v>0</v>
      </c>
      <c r="X273" s="283">
        <v>0</v>
      </c>
      <c r="Y273" s="283">
        <v>0</v>
      </c>
      <c r="Z273" s="283">
        <v>0</v>
      </c>
      <c r="AA273" s="283">
        <v>0</v>
      </c>
      <c r="AB273" s="282">
        <f>SUM(X273:AA273)</f>
        <v>0</v>
      </c>
      <c r="AC273" s="283">
        <v>0</v>
      </c>
      <c r="AD273" s="283">
        <v>0</v>
      </c>
      <c r="AE273" s="283">
        <v>0</v>
      </c>
      <c r="AF273" s="283">
        <v>0</v>
      </c>
      <c r="AG273" s="282">
        <f>SUM(AC273:AF273)</f>
        <v>0</v>
      </c>
      <c r="AH273" s="283">
        <v>0</v>
      </c>
      <c r="AI273" s="283">
        <v>0</v>
      </c>
      <c r="AJ273" s="283">
        <v>0</v>
      </c>
      <c r="AK273" s="283">
        <v>0</v>
      </c>
      <c r="AL273" s="282">
        <f>SUM(AH273:AK273)</f>
        <v>0</v>
      </c>
    </row>
    <row r="274" spans="1:38" ht="17.25" outlineLevel="1" x14ac:dyDescent="0.4">
      <c r="A274" s="300"/>
      <c r="B274" s="509" t="s">
        <v>17</v>
      </c>
      <c r="C274" s="510"/>
      <c r="D274" s="41">
        <f t="shared" ref="D274:AB274" si="964">D272+D262+D257+D273</f>
        <v>-3994.7999999999997</v>
      </c>
      <c r="E274" s="41">
        <f t="shared" si="964"/>
        <v>-2706.5</v>
      </c>
      <c r="F274" s="41">
        <f t="shared" si="964"/>
        <v>2708.3000000000011</v>
      </c>
      <c r="G274" s="41">
        <f t="shared" si="964"/>
        <v>-2076.7999999999993</v>
      </c>
      <c r="H274" s="42">
        <f t="shared" si="964"/>
        <v>-6069.7999999999938</v>
      </c>
      <c r="I274" s="41">
        <f t="shared" si="964"/>
        <v>353.89999999999839</v>
      </c>
      <c r="J274" s="41">
        <f t="shared" si="964"/>
        <v>-468.20000000000061</v>
      </c>
      <c r="K274" s="41">
        <f t="shared" si="964"/>
        <v>1393.600000000001</v>
      </c>
      <c r="L274" s="41">
        <f t="shared" si="964"/>
        <v>-1006.1483766465769</v>
      </c>
      <c r="M274" s="42">
        <f t="shared" si="964"/>
        <v>273.15162335342455</v>
      </c>
      <c r="N274" s="41">
        <f t="shared" si="964"/>
        <v>-849.56539117350951</v>
      </c>
      <c r="O274" s="41">
        <f t="shared" si="964"/>
        <v>-1046.9313120237978</v>
      </c>
      <c r="P274" s="41">
        <f t="shared" si="964"/>
        <v>-671.02810646052228</v>
      </c>
      <c r="Q274" s="41">
        <f t="shared" si="964"/>
        <v>-498.27474609530827</v>
      </c>
      <c r="R274" s="42">
        <f t="shared" si="964"/>
        <v>-3065.7995557531458</v>
      </c>
      <c r="S274" s="41">
        <f t="shared" si="964"/>
        <v>681.41788858619316</v>
      </c>
      <c r="T274" s="41">
        <f t="shared" si="964"/>
        <v>-615.99382803114838</v>
      </c>
      <c r="U274" s="41">
        <f t="shared" si="964"/>
        <v>-426.91828234870559</v>
      </c>
      <c r="V274" s="41">
        <f t="shared" si="964"/>
        <v>-452.20938748580443</v>
      </c>
      <c r="W274" s="42">
        <f t="shared" si="964"/>
        <v>-813.70360927946422</v>
      </c>
      <c r="X274" s="41">
        <f t="shared" si="964"/>
        <v>467.99153066589224</v>
      </c>
      <c r="Y274" s="41">
        <f t="shared" si="964"/>
        <v>-568.38488924874935</v>
      </c>
      <c r="Z274" s="41">
        <f t="shared" si="964"/>
        <v>-307.70897379090843</v>
      </c>
      <c r="AA274" s="41">
        <f t="shared" si="964"/>
        <v>-224.37749220449678</v>
      </c>
      <c r="AB274" s="42">
        <f t="shared" si="964"/>
        <v>-632.47982457826129</v>
      </c>
      <c r="AC274" s="41">
        <f t="shared" ref="AC274:AG274" si="965">AC272+AC262+AC257+AC273</f>
        <v>416.54450825338586</v>
      </c>
      <c r="AD274" s="41">
        <f t="shared" si="965"/>
        <v>-684.0378672409837</v>
      </c>
      <c r="AE274" s="41">
        <f t="shared" si="965"/>
        <v>-417.72386666287139</v>
      </c>
      <c r="AF274" s="41">
        <f t="shared" si="965"/>
        <v>-318.44862991124137</v>
      </c>
      <c r="AG274" s="42">
        <f t="shared" si="965"/>
        <v>-1003.6658555617123</v>
      </c>
      <c r="AH274" s="41">
        <f t="shared" ref="AH274:AL274" si="966">AH272+AH262+AH257+AH273</f>
        <v>156.47421396516484</v>
      </c>
      <c r="AI274" s="41">
        <f t="shared" si="966"/>
        <v>-1016.2971437246692</v>
      </c>
      <c r="AJ274" s="41">
        <f t="shared" si="966"/>
        <v>-718.58466429431382</v>
      </c>
      <c r="AK274" s="41">
        <f t="shared" si="966"/>
        <v>-628.05167636511624</v>
      </c>
      <c r="AL274" s="42">
        <f t="shared" si="966"/>
        <v>-2206.4592704189317</v>
      </c>
    </row>
    <row r="275" spans="1:38" ht="17.25" outlineLevel="1" x14ac:dyDescent="0.4">
      <c r="A275" s="300"/>
      <c r="B275" s="509" t="s">
        <v>18</v>
      </c>
      <c r="C275" s="510"/>
      <c r="D275" s="41">
        <v>8756.2999999999993</v>
      </c>
      <c r="E275" s="41">
        <f>D276</f>
        <v>4761.6000000000004</v>
      </c>
      <c r="F275" s="41">
        <f>E276</f>
        <v>2055.1000000000004</v>
      </c>
      <c r="G275" s="41">
        <f>F276</f>
        <v>4763.4000000000015</v>
      </c>
      <c r="H275" s="42">
        <f>D275</f>
        <v>8756.2999999999993</v>
      </c>
      <c r="I275" s="317">
        <f>H276</f>
        <v>2686.5000000000055</v>
      </c>
      <c r="J275" s="41">
        <f>I276</f>
        <v>3040.5000000000036</v>
      </c>
      <c r="K275" s="41">
        <f>J276</f>
        <v>2572.3000000000029</v>
      </c>
      <c r="L275" s="41">
        <f>K276</f>
        <v>3965.9000000000042</v>
      </c>
      <c r="M275" s="42">
        <f>H276</f>
        <v>2686.5000000000055</v>
      </c>
      <c r="N275" s="41">
        <f>+M276</f>
        <v>2959.6516233534298</v>
      </c>
      <c r="O275" s="41">
        <f>N276</f>
        <v>2110.0862321799204</v>
      </c>
      <c r="P275" s="41">
        <f>O276</f>
        <v>1063.1549201561227</v>
      </c>
      <c r="Q275" s="41">
        <f>P276</f>
        <v>392.12681369560039</v>
      </c>
      <c r="R275" s="42">
        <f>M276</f>
        <v>2959.6516233534298</v>
      </c>
      <c r="S275" s="41">
        <f>+R276</f>
        <v>-106.14793239971596</v>
      </c>
      <c r="T275" s="41">
        <f>S276</f>
        <v>575.2699561864772</v>
      </c>
      <c r="U275" s="41">
        <f>T276</f>
        <v>-40.72387184467118</v>
      </c>
      <c r="V275" s="41">
        <f>U276</f>
        <v>-467.64215419337677</v>
      </c>
      <c r="W275" s="42">
        <f>R276</f>
        <v>-106.14793239971596</v>
      </c>
      <c r="X275" s="41">
        <f>+W276</f>
        <v>-919.85154167918017</v>
      </c>
      <c r="Y275" s="41">
        <f>X276</f>
        <v>-451.86001101328793</v>
      </c>
      <c r="Z275" s="41">
        <f>Y276</f>
        <v>-1020.2449002620373</v>
      </c>
      <c r="AA275" s="41">
        <f>Z276</f>
        <v>-1327.9538740529456</v>
      </c>
      <c r="AB275" s="42">
        <f>W276</f>
        <v>-919.85154167918017</v>
      </c>
      <c r="AC275" s="41">
        <f>+AB276</f>
        <v>-1552.3313662574415</v>
      </c>
      <c r="AD275" s="41">
        <f>AC276</f>
        <v>-1135.7868580040556</v>
      </c>
      <c r="AE275" s="41">
        <f>AD276</f>
        <v>-1819.8247252450392</v>
      </c>
      <c r="AF275" s="41">
        <f>AE276</f>
        <v>-2237.5485919079106</v>
      </c>
      <c r="AG275" s="42">
        <f>AB276</f>
        <v>-1552.3313662574415</v>
      </c>
      <c r="AH275" s="41">
        <f>+AG276</f>
        <v>-2555.9972218191538</v>
      </c>
      <c r="AI275" s="41">
        <f>AH276</f>
        <v>-2399.5230078539889</v>
      </c>
      <c r="AJ275" s="41">
        <f>AI276</f>
        <v>-3415.8201515786582</v>
      </c>
      <c r="AK275" s="41">
        <f>AJ276</f>
        <v>-4134.404815872972</v>
      </c>
      <c r="AL275" s="42">
        <f>AG276</f>
        <v>-2555.9972218191538</v>
      </c>
    </row>
    <row r="276" spans="1:38" outlineLevel="1" x14ac:dyDescent="0.25">
      <c r="A276" s="300"/>
      <c r="B276" s="527" t="s">
        <v>116</v>
      </c>
      <c r="C276" s="528"/>
      <c r="D276" s="332">
        <f>+D275+D274+0.1</f>
        <v>4761.6000000000004</v>
      </c>
      <c r="E276" s="332">
        <f t="shared" ref="E276" si="967">+E275+E274</f>
        <v>2055.1000000000004</v>
      </c>
      <c r="F276" s="332">
        <f t="shared" ref="F276" si="968">+F275+F274</f>
        <v>4763.4000000000015</v>
      </c>
      <c r="G276" s="332">
        <f t="shared" ref="G276" si="969">+G275+G274</f>
        <v>2686.6000000000022</v>
      </c>
      <c r="H276" s="441">
        <f>+D275+H274</f>
        <v>2686.5000000000055</v>
      </c>
      <c r="I276" s="332">
        <f>+I275+I274+0.1</f>
        <v>3040.5000000000036</v>
      </c>
      <c r="J276" s="332">
        <f t="shared" ref="J276:L276" si="970">+J275+J274</f>
        <v>2572.3000000000029</v>
      </c>
      <c r="K276" s="332">
        <f t="shared" si="970"/>
        <v>3965.9000000000042</v>
      </c>
      <c r="L276" s="45">
        <f t="shared" si="970"/>
        <v>2959.751623353427</v>
      </c>
      <c r="M276" s="46">
        <f>+I275+M274</f>
        <v>2959.6516233534298</v>
      </c>
      <c r="N276" s="45">
        <f>+N275+N274</f>
        <v>2110.0862321799204</v>
      </c>
      <c r="O276" s="45">
        <f t="shared" ref="O276:Q276" si="971">+O275+O274</f>
        <v>1063.1549201561227</v>
      </c>
      <c r="P276" s="45">
        <f t="shared" si="971"/>
        <v>392.12681369560039</v>
      </c>
      <c r="Q276" s="45">
        <f t="shared" si="971"/>
        <v>-106.14793239970788</v>
      </c>
      <c r="R276" s="46">
        <f>+N275+R274</f>
        <v>-106.14793239971596</v>
      </c>
      <c r="S276" s="45">
        <f>+S275+S274</f>
        <v>575.2699561864772</v>
      </c>
      <c r="T276" s="45">
        <f t="shared" ref="T276:V276" si="972">+T275+T274</f>
        <v>-40.72387184467118</v>
      </c>
      <c r="U276" s="45">
        <f t="shared" si="972"/>
        <v>-467.64215419337677</v>
      </c>
      <c r="V276" s="45">
        <f t="shared" si="972"/>
        <v>-919.8515416791812</v>
      </c>
      <c r="W276" s="46">
        <f>+S275+W274</f>
        <v>-919.85154167918017</v>
      </c>
      <c r="X276" s="45">
        <f>+X275+X274</f>
        <v>-451.86001101328793</v>
      </c>
      <c r="Y276" s="45">
        <f t="shared" ref="Y276:AA276" si="973">+Y275+Y274</f>
        <v>-1020.2449002620373</v>
      </c>
      <c r="Z276" s="45">
        <f t="shared" si="973"/>
        <v>-1327.9538740529456</v>
      </c>
      <c r="AA276" s="45">
        <f t="shared" si="973"/>
        <v>-1552.3313662574424</v>
      </c>
      <c r="AB276" s="46">
        <f>+X275+AB274</f>
        <v>-1552.3313662574415</v>
      </c>
      <c r="AC276" s="45">
        <f>+AC275+AC274</f>
        <v>-1135.7868580040556</v>
      </c>
      <c r="AD276" s="45">
        <f t="shared" ref="AD276:AF276" si="974">+AD275+AD274</f>
        <v>-1819.8247252450392</v>
      </c>
      <c r="AE276" s="45">
        <f t="shared" si="974"/>
        <v>-2237.5485919079106</v>
      </c>
      <c r="AF276" s="45">
        <f t="shared" si="974"/>
        <v>-2555.9972218191519</v>
      </c>
      <c r="AG276" s="46">
        <f>+AC275+AG274</f>
        <v>-2555.9972218191538</v>
      </c>
      <c r="AH276" s="45">
        <f>+AH275+AH274</f>
        <v>-2399.5230078539889</v>
      </c>
      <c r="AI276" s="45">
        <f t="shared" ref="AI276:AK276" si="975">+AI275+AI274</f>
        <v>-3415.8201515786582</v>
      </c>
      <c r="AJ276" s="45">
        <f t="shared" si="975"/>
        <v>-4134.404815872972</v>
      </c>
      <c r="AK276" s="45">
        <f t="shared" si="975"/>
        <v>-4762.4564922380887</v>
      </c>
      <c r="AL276" s="46">
        <f>+AH275+AL274</f>
        <v>-4762.456492238085</v>
      </c>
    </row>
    <row r="277" spans="1:38" s="47" customFormat="1" outlineLevel="1" x14ac:dyDescent="0.25">
      <c r="A277" s="366"/>
      <c r="B277" s="523" t="s">
        <v>75</v>
      </c>
      <c r="C277" s="524"/>
      <c r="D277" s="284">
        <f>D257-(-D260)+((-D30*(1-$C$314)))</f>
        <v>2001.4385898363512</v>
      </c>
      <c r="E277" s="284">
        <f t="shared" ref="E277:F277" si="976">E257-(-E260)+((-E30*(1-$C$314)))</f>
        <v>29.248957185417268</v>
      </c>
      <c r="F277" s="284">
        <f t="shared" si="976"/>
        <v>796.32205549147704</v>
      </c>
      <c r="G277" s="284">
        <f>G257-(-G260)+((-G30*(1-$C$314)))</f>
        <v>650.89804063118436</v>
      </c>
      <c r="H277" s="285">
        <f>SUM(D277:G277)</f>
        <v>3477.90764314443</v>
      </c>
      <c r="I277" s="284">
        <f>I257-(-I260)+((-I30*(1-$C$314)))</f>
        <v>1507.7702187461405</v>
      </c>
      <c r="J277" s="284">
        <f t="shared" ref="J277:K277" si="977">J257-(-J260)+((-J30*(1-$C$314)))</f>
        <v>-1654.0894918431209</v>
      </c>
      <c r="K277" s="284">
        <f t="shared" si="977"/>
        <v>-661.08397797025032</v>
      </c>
      <c r="L277" s="284">
        <f>L257-(-L260)+((-L30*(1-$C$314)))</f>
        <v>-17.062753379222372</v>
      </c>
      <c r="M277" s="285">
        <f>SUM(I277:L277)</f>
        <v>-824.4660044464531</v>
      </c>
      <c r="N277" s="284">
        <f>N257-(-N260)+((-N30*(1-$C$314)))</f>
        <v>227.97506006889688</v>
      </c>
      <c r="O277" s="284">
        <f t="shared" ref="O277:P277" si="978">O257-(-O260)+((-O30*(1-$C$314)))</f>
        <v>32.100407030987398</v>
      </c>
      <c r="P277" s="284">
        <f t="shared" si="978"/>
        <v>414.01236325631947</v>
      </c>
      <c r="Q277" s="284">
        <f>Q257-(-Q260)+((-Q30*(1-$C$314)))</f>
        <v>661.19433460812525</v>
      </c>
      <c r="R277" s="285">
        <f>SUM(N277:Q277)</f>
        <v>1335.282164964329</v>
      </c>
      <c r="S277" s="284">
        <f>S257-(-S260)+((-S30*(1-$C$314)))</f>
        <v>1736.9163352560511</v>
      </c>
      <c r="T277" s="284">
        <f t="shared" ref="T277:U277" si="979">T257-(-T260)+((-T30*(1-$C$314)))</f>
        <v>439.24149081828983</v>
      </c>
      <c r="U277" s="284">
        <f t="shared" si="979"/>
        <v>672.01960035363629</v>
      </c>
      <c r="V277" s="284">
        <f>V257-(-V260)+((-V30*(1-$C$314)))</f>
        <v>751.49778014815797</v>
      </c>
      <c r="W277" s="285">
        <f>SUM(S277:V277)</f>
        <v>3599.6752065761348</v>
      </c>
      <c r="X277" s="284">
        <f>X257-(-X260)+((-X30*(1-$C$314)))</f>
        <v>1668.136024331262</v>
      </c>
      <c r="Y277" s="284">
        <f t="shared" ref="Y277:Z277" si="980">Y257-(-Y260)+((-Y30*(1-$C$314)))</f>
        <v>571.91939603066692</v>
      </c>
      <c r="Z277" s="284">
        <f t="shared" si="980"/>
        <v>832.16785600945582</v>
      </c>
      <c r="AA277" s="284">
        <f>AA257-(-AA260)+((-AA30*(1-$C$314)))</f>
        <v>1017.0543411296184</v>
      </c>
      <c r="AB277" s="285">
        <f>SUM(X277:AA277)</f>
        <v>4089.2776175010031</v>
      </c>
      <c r="AC277" s="284">
        <f>AC257-(-AC260)+((-AC30*(1-$C$314)))</f>
        <v>1779.2319311381825</v>
      </c>
      <c r="AD277" s="284">
        <f t="shared" ref="AD277:AE277" si="981">AD257-(-AD260)+((-AD30*(1-$C$314)))</f>
        <v>613.60589168454521</v>
      </c>
      <c r="AE277" s="284">
        <f t="shared" si="981"/>
        <v>879.18698275732254</v>
      </c>
      <c r="AF277" s="284">
        <f>AF257-(-AF260)+((-AF30*(1-$C$314)))</f>
        <v>1084.8559784179299</v>
      </c>
      <c r="AG277" s="285">
        <f>SUM(AC277:AF277)</f>
        <v>4356.88078399798</v>
      </c>
      <c r="AH277" s="284">
        <f>AH257-(-AH260)+((-AH30*(1-$C$314)))</f>
        <v>1900.785571189331</v>
      </c>
      <c r="AI277" s="284">
        <f t="shared" ref="AI277:AJ277" si="982">AI257-(-AI260)+((-AI30*(1-$C$314)))</f>
        <v>656.19213586407091</v>
      </c>
      <c r="AJ277" s="284">
        <f t="shared" si="982"/>
        <v>951.89018797919232</v>
      </c>
      <c r="AK277" s="284">
        <f>AK257-(-AK260)+((-AK30*(1-$C$314)))</f>
        <v>1151.8564448520051</v>
      </c>
      <c r="AL277" s="285">
        <f>SUM(AH277:AK277)</f>
        <v>4660.7243398845994</v>
      </c>
    </row>
    <row r="278" spans="1:38" s="47" customFormat="1" outlineLevel="1" x14ac:dyDescent="0.25">
      <c r="A278" s="366"/>
      <c r="B278" s="58" t="s">
        <v>49</v>
      </c>
      <c r="C278" s="52"/>
      <c r="D278" s="99"/>
      <c r="E278" s="99"/>
      <c r="F278" s="359"/>
      <c r="G278" s="99"/>
      <c r="H278" s="100">
        <v>0</v>
      </c>
      <c r="I278" s="99"/>
      <c r="J278" s="99"/>
      <c r="K278" s="99"/>
      <c r="L278" s="99"/>
      <c r="M278" s="100">
        <v>0</v>
      </c>
      <c r="N278" s="99"/>
      <c r="O278" s="99"/>
      <c r="P278" s="99"/>
      <c r="Q278" s="99"/>
      <c r="R278" s="100">
        <f>M278+1</f>
        <v>1</v>
      </c>
      <c r="S278" s="99"/>
      <c r="T278" s="99"/>
      <c r="U278" s="99"/>
      <c r="V278" s="99"/>
      <c r="W278" s="100">
        <f>R278+1</f>
        <v>2</v>
      </c>
      <c r="X278" s="99"/>
      <c r="Y278" s="99"/>
      <c r="Z278" s="99"/>
      <c r="AA278" s="99"/>
      <c r="AB278" s="100">
        <f>W278+1</f>
        <v>3</v>
      </c>
      <c r="AC278" s="99"/>
      <c r="AD278" s="99"/>
      <c r="AE278" s="99"/>
      <c r="AF278" s="99"/>
      <c r="AG278" s="100">
        <f>AB278+1</f>
        <v>4</v>
      </c>
      <c r="AH278" s="99"/>
      <c r="AI278" s="99"/>
      <c r="AJ278" s="99"/>
      <c r="AK278" s="99"/>
      <c r="AL278" s="100">
        <f>AG278+1</f>
        <v>5</v>
      </c>
    </row>
    <row r="279" spans="1:38" s="47" customFormat="1" outlineLevel="1" x14ac:dyDescent="0.25">
      <c r="A279" s="366"/>
      <c r="B279" s="521" t="s">
        <v>25</v>
      </c>
      <c r="C279" s="522"/>
      <c r="D279" s="101"/>
      <c r="E279" s="101"/>
      <c r="F279" s="101"/>
      <c r="G279" s="101"/>
      <c r="H279" s="102">
        <f>H277/(1+$C$316)^H278</f>
        <v>3477.90764314443</v>
      </c>
      <c r="I279" s="101"/>
      <c r="J279" s="101"/>
      <c r="K279" s="101"/>
      <c r="L279" s="101"/>
      <c r="M279" s="102">
        <f>M277/(1+$C$316)^M278</f>
        <v>-824.4660044464531</v>
      </c>
      <c r="N279" s="101"/>
      <c r="O279" s="101"/>
      <c r="P279" s="101"/>
      <c r="Q279" s="101"/>
      <c r="R279" s="102">
        <f>R277/(1+$C$316)^R278</f>
        <v>1233.0946506357789</v>
      </c>
      <c r="S279" s="101"/>
      <c r="T279" s="101"/>
      <c r="U279" s="101"/>
      <c r="V279" s="101"/>
      <c r="W279" s="102">
        <f>W277/(1+$C$316)^W278</f>
        <v>3069.7997590128798</v>
      </c>
      <c r="X279" s="101"/>
      <c r="Y279" s="101"/>
      <c r="Z279" s="101"/>
      <c r="AA279" s="101"/>
      <c r="AB279" s="102">
        <f>AB277/(1+$C$316)^AB278</f>
        <v>3220.450971190834</v>
      </c>
      <c r="AC279" s="101"/>
      <c r="AD279" s="101"/>
      <c r="AE279" s="101"/>
      <c r="AF279" s="101"/>
      <c r="AG279" s="102">
        <f>AG277/(1+$C$316)^AG278</f>
        <v>3168.6125529146161</v>
      </c>
      <c r="AH279" s="101"/>
      <c r="AI279" s="101"/>
      <c r="AJ279" s="101"/>
      <c r="AK279" s="101"/>
      <c r="AL279" s="102">
        <f>AL277/(1+$C$316)^AL278</f>
        <v>3130.1867186616269</v>
      </c>
    </row>
    <row r="280" spans="1:38" outlineLevel="1" x14ac:dyDescent="0.25">
      <c r="A280" s="300"/>
      <c r="B280" s="75" t="s">
        <v>59</v>
      </c>
      <c r="C280" s="91"/>
      <c r="D280" s="25"/>
      <c r="E280" s="25"/>
      <c r="F280" s="25"/>
      <c r="G280" s="25"/>
      <c r="H280" s="26"/>
      <c r="I280" s="25"/>
      <c r="J280" s="25"/>
      <c r="K280" s="25"/>
      <c r="L280" s="25"/>
      <c r="M280" s="26"/>
      <c r="N280" s="25"/>
      <c r="O280" s="25"/>
      <c r="P280" s="25"/>
      <c r="Q280" s="25"/>
      <c r="R280" s="26"/>
      <c r="S280" s="25"/>
      <c r="T280" s="25"/>
      <c r="U280" s="25"/>
      <c r="V280" s="25"/>
      <c r="W280" s="26"/>
      <c r="X280" s="25"/>
      <c r="Y280" s="25"/>
      <c r="Z280" s="25"/>
      <c r="AA280" s="25"/>
      <c r="AB280" s="26"/>
      <c r="AC280" s="25"/>
      <c r="AD280" s="25"/>
      <c r="AE280" s="25"/>
      <c r="AF280" s="25"/>
      <c r="AG280" s="26"/>
      <c r="AH280" s="25"/>
      <c r="AI280" s="25"/>
      <c r="AJ280" s="25"/>
      <c r="AK280" s="25"/>
      <c r="AL280" s="26"/>
    </row>
    <row r="281" spans="1:38" outlineLevel="1" x14ac:dyDescent="0.25">
      <c r="A281" s="300"/>
      <c r="B281" s="84" t="s">
        <v>279</v>
      </c>
      <c r="C281" s="85"/>
      <c r="D281" s="38">
        <f t="shared" ref="D281:AL281" si="983">+D184+D185+D190</f>
        <v>5256.8</v>
      </c>
      <c r="E281" s="38">
        <f t="shared" si="983"/>
        <v>2383.6000000000004</v>
      </c>
      <c r="F281" s="38">
        <f t="shared" si="983"/>
        <v>5058.1000000000022</v>
      </c>
      <c r="G281" s="38">
        <f t="shared" si="983"/>
        <v>2977.1000000000022</v>
      </c>
      <c r="H281" s="39">
        <f t="shared" si="983"/>
        <v>2977.1000000000022</v>
      </c>
      <c r="I281" s="38">
        <f t="shared" si="983"/>
        <v>3308.7000000000039</v>
      </c>
      <c r="J281" s="38">
        <f t="shared" si="983"/>
        <v>2824.0000000000032</v>
      </c>
      <c r="K281" s="38">
        <f>+K184+K185+K190</f>
        <v>4419.2000000000035</v>
      </c>
      <c r="L281" s="38">
        <f t="shared" si="983"/>
        <v>3305.7355813084168</v>
      </c>
      <c r="M281" s="39">
        <f t="shared" si="983"/>
        <v>3305.7355813084168</v>
      </c>
      <c r="N281" s="38">
        <f t="shared" si="983"/>
        <v>2429.2983051791794</v>
      </c>
      <c r="O281" s="38">
        <f t="shared" si="983"/>
        <v>1377.1934679129979</v>
      </c>
      <c r="P281" s="38">
        <f t="shared" si="983"/>
        <v>707.13916372576921</v>
      </c>
      <c r="Q281" s="38">
        <f t="shared" si="983"/>
        <v>197.87816829408888</v>
      </c>
      <c r="R281" s="39">
        <f t="shared" si="983"/>
        <v>197.87816829408888</v>
      </c>
      <c r="S281" s="38">
        <f t="shared" si="983"/>
        <v>889.4158707908008</v>
      </c>
      <c r="T281" s="38">
        <f t="shared" si="983"/>
        <v>262.33417574428438</v>
      </c>
      <c r="U281" s="38">
        <f t="shared" si="983"/>
        <v>-177.7389299004063</v>
      </c>
      <c r="V281" s="38">
        <f t="shared" si="983"/>
        <v>-623.75930498410685</v>
      </c>
      <c r="W281" s="39">
        <f t="shared" si="983"/>
        <v>-623.75930498410685</v>
      </c>
      <c r="X281" s="38">
        <f t="shared" si="983"/>
        <v>-148.09179536272188</v>
      </c>
      <c r="Y281" s="38">
        <f t="shared" si="983"/>
        <v>-731.05150519700408</v>
      </c>
      <c r="Z281" s="38">
        <f t="shared" si="983"/>
        <v>-1052.6296889022151</v>
      </c>
      <c r="AA281" s="38">
        <f t="shared" si="983"/>
        <v>-1265.4304315462778</v>
      </c>
      <c r="AB281" s="39">
        <f t="shared" si="983"/>
        <v>-1265.4304315462778</v>
      </c>
      <c r="AC281" s="38">
        <f t="shared" si="983"/>
        <v>-841.57535823706382</v>
      </c>
      <c r="AD281" s="38">
        <f t="shared" si="983"/>
        <v>-1542.3300129870524</v>
      </c>
      <c r="AE281" s="38">
        <f t="shared" si="983"/>
        <v>-1975.3673589576133</v>
      </c>
      <c r="AF281" s="38">
        <f t="shared" si="983"/>
        <v>-2281.7015781623172</v>
      </c>
      <c r="AG281" s="39">
        <f t="shared" si="983"/>
        <v>-2281.7015781623172</v>
      </c>
      <c r="AH281" s="38">
        <f t="shared" si="983"/>
        <v>-2120.7051006611887</v>
      </c>
      <c r="AI281" s="38">
        <f t="shared" si="983"/>
        <v>-3158.2119522215394</v>
      </c>
      <c r="AJ281" s="38">
        <f t="shared" si="983"/>
        <v>-3896.0916893797744</v>
      </c>
      <c r="AK281" s="38">
        <f t="shared" si="983"/>
        <v>-4514.4740067158527</v>
      </c>
      <c r="AL281" s="39">
        <f t="shared" si="983"/>
        <v>-4514.4740067158527</v>
      </c>
    </row>
    <row r="282" spans="1:38" outlineLevel="1" x14ac:dyDescent="0.25">
      <c r="A282" s="300"/>
      <c r="B282" s="84" t="s">
        <v>76</v>
      </c>
      <c r="C282" s="85"/>
      <c r="D282" s="38">
        <f t="shared" ref="D282:AL282" si="984">D206+D209</f>
        <v>9130.7000000000007</v>
      </c>
      <c r="E282" s="38">
        <f t="shared" si="984"/>
        <v>9216.5</v>
      </c>
      <c r="F282" s="38">
        <f t="shared" si="984"/>
        <v>11159.1</v>
      </c>
      <c r="G282" s="38">
        <f t="shared" si="984"/>
        <v>11167</v>
      </c>
      <c r="H282" s="39">
        <f t="shared" si="984"/>
        <v>11167</v>
      </c>
      <c r="I282" s="38">
        <f t="shared" si="984"/>
        <v>11649.800000000001</v>
      </c>
      <c r="J282" s="38">
        <f t="shared" si="984"/>
        <v>14015.2</v>
      </c>
      <c r="K282" s="38">
        <f>K206+K209</f>
        <v>16831.7</v>
      </c>
      <c r="L282" s="38">
        <f t="shared" si="984"/>
        <v>16394.7</v>
      </c>
      <c r="M282" s="39">
        <f t="shared" si="984"/>
        <v>16394.7</v>
      </c>
      <c r="N282" s="38">
        <f t="shared" si="984"/>
        <v>15957.7</v>
      </c>
      <c r="O282" s="38">
        <f t="shared" si="984"/>
        <v>15520.7</v>
      </c>
      <c r="P282" s="38">
        <f t="shared" si="984"/>
        <v>15083.7</v>
      </c>
      <c r="Q282" s="38">
        <f t="shared" si="984"/>
        <v>14645.6</v>
      </c>
      <c r="R282" s="39">
        <f t="shared" si="984"/>
        <v>14645.6</v>
      </c>
      <c r="S282" s="38">
        <f t="shared" si="984"/>
        <v>14395.6</v>
      </c>
      <c r="T282" s="38">
        <f t="shared" si="984"/>
        <v>14145.6</v>
      </c>
      <c r="U282" s="38">
        <f t="shared" si="984"/>
        <v>13895.6</v>
      </c>
      <c r="V282" s="38">
        <f t="shared" si="984"/>
        <v>13645.6</v>
      </c>
      <c r="W282" s="39">
        <f t="shared" si="984"/>
        <v>13645.6</v>
      </c>
      <c r="X282" s="38">
        <f t="shared" si="984"/>
        <v>13395.6</v>
      </c>
      <c r="Y282" s="38">
        <f t="shared" si="984"/>
        <v>13145.6</v>
      </c>
      <c r="Z282" s="38">
        <f t="shared" si="984"/>
        <v>12895.6</v>
      </c>
      <c r="AA282" s="38">
        <f t="shared" si="984"/>
        <v>12645.6</v>
      </c>
      <c r="AB282" s="39">
        <f t="shared" si="984"/>
        <v>12645.6</v>
      </c>
      <c r="AC282" s="38">
        <f t="shared" si="984"/>
        <v>12259.85</v>
      </c>
      <c r="AD282" s="38">
        <f t="shared" si="984"/>
        <v>11874.1</v>
      </c>
      <c r="AE282" s="38">
        <f t="shared" si="984"/>
        <v>11488.35</v>
      </c>
      <c r="AF282" s="38">
        <f t="shared" si="984"/>
        <v>11102.6</v>
      </c>
      <c r="AG282" s="39">
        <f t="shared" si="984"/>
        <v>11102.6</v>
      </c>
      <c r="AH282" s="38">
        <f t="shared" si="984"/>
        <v>10352.6</v>
      </c>
      <c r="AI282" s="38">
        <f t="shared" si="984"/>
        <v>9602.6</v>
      </c>
      <c r="AJ282" s="38">
        <f t="shared" si="984"/>
        <v>8852.6</v>
      </c>
      <c r="AK282" s="38">
        <f t="shared" si="984"/>
        <v>8102.6</v>
      </c>
      <c r="AL282" s="39">
        <f t="shared" si="984"/>
        <v>8102.6</v>
      </c>
    </row>
    <row r="283" spans="1:38" outlineLevel="1" x14ac:dyDescent="0.25">
      <c r="A283" s="300"/>
      <c r="B283" s="525" t="s">
        <v>77</v>
      </c>
      <c r="C283" s="526"/>
      <c r="D283" s="80">
        <f t="shared" ref="D283:AL283" si="985">(D281-D282)/D39</f>
        <v>-3.0907132599329823</v>
      </c>
      <c r="E283" s="80">
        <f t="shared" si="985"/>
        <v>-5.4632605740785154</v>
      </c>
      <c r="F283" s="80">
        <f t="shared" si="985"/>
        <v>-4.9885527391659839</v>
      </c>
      <c r="G283" s="80">
        <f t="shared" si="985"/>
        <v>-6.6975821179389685</v>
      </c>
      <c r="H283" s="81">
        <f t="shared" si="985"/>
        <v>-6.6411774245864397</v>
      </c>
      <c r="I283" s="80">
        <f t="shared" si="985"/>
        <v>-7.0034424853064623</v>
      </c>
      <c r="J283" s="80">
        <f t="shared" si="985"/>
        <v>-9.4784449902600123</v>
      </c>
      <c r="K283" s="80">
        <f>(K281-K282)/K39</f>
        <v>-10.62259306803594</v>
      </c>
      <c r="L283" s="80">
        <f t="shared" si="985"/>
        <v>-11.239329125601023</v>
      </c>
      <c r="M283" s="81">
        <f t="shared" si="985"/>
        <v>-10.188594838803079</v>
      </c>
      <c r="N283" s="80">
        <f t="shared" si="985"/>
        <v>-11.718484545825298</v>
      </c>
      <c r="O283" s="80">
        <f t="shared" si="985"/>
        <v>-12.334383613376289</v>
      </c>
      <c r="P283" s="80">
        <f t="shared" si="985"/>
        <v>-12.632467483687304</v>
      </c>
      <c r="Q283" s="80">
        <f t="shared" si="985"/>
        <v>-12.777521696500198</v>
      </c>
      <c r="R283" s="81">
        <f t="shared" si="985"/>
        <v>-12.783747782959797</v>
      </c>
      <c r="S283" s="80">
        <f t="shared" si="985"/>
        <v>-12.032356307371085</v>
      </c>
      <c r="T283" s="80">
        <f t="shared" si="985"/>
        <v>-12.454935253321487</v>
      </c>
      <c r="U283" s="80">
        <f t="shared" si="985"/>
        <v>-12.714989281175788</v>
      </c>
      <c r="V283" s="80">
        <f t="shared" si="985"/>
        <v>-12.982309407613696</v>
      </c>
      <c r="W283" s="81">
        <f t="shared" si="985"/>
        <v>-12.846488220717793</v>
      </c>
      <c r="X283" s="80">
        <f t="shared" si="985"/>
        <v>-12.409860144627034</v>
      </c>
      <c r="Y283" s="80">
        <f t="shared" si="985"/>
        <v>-12.8048591867149</v>
      </c>
      <c r="Z283" s="80">
        <f t="shared" si="985"/>
        <v>-12.962139650951793</v>
      </c>
      <c r="AA283" s="80">
        <f t="shared" si="985"/>
        <v>-13.019192920600602</v>
      </c>
      <c r="AB283" s="81">
        <f t="shared" si="985"/>
        <v>-12.880750437219254</v>
      </c>
      <c r="AC283" s="80">
        <f t="shared" si="985"/>
        <v>-12.348669205058613</v>
      </c>
      <c r="AD283" s="80">
        <f t="shared" si="985"/>
        <v>-12.735444716371489</v>
      </c>
      <c r="AE283" s="80">
        <f t="shared" si="985"/>
        <v>-12.871274046995666</v>
      </c>
      <c r="AF283" s="80">
        <f t="shared" si="985"/>
        <v>-12.886492159698154</v>
      </c>
      <c r="AG283" s="81">
        <f t="shared" si="985"/>
        <v>-12.749038686808884</v>
      </c>
      <c r="AH283" s="80">
        <f t="shared" si="985"/>
        <v>-12.095028070797996</v>
      </c>
      <c r="AI283" s="80">
        <f t="shared" si="985"/>
        <v>-12.462133922732111</v>
      </c>
      <c r="AJ283" s="80">
        <f t="shared" si="985"/>
        <v>-12.539258809450665</v>
      </c>
      <c r="AK283" s="80">
        <f t="shared" si="985"/>
        <v>-12.498568934013067</v>
      </c>
      <c r="AL283" s="81">
        <f t="shared" si="985"/>
        <v>-12.364928393055138</v>
      </c>
    </row>
    <row r="284" spans="1:38" x14ac:dyDescent="0.25">
      <c r="A284" s="300"/>
      <c r="B284" s="520"/>
      <c r="C284" s="520"/>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row>
    <row r="285" spans="1:38" ht="15.75" x14ac:dyDescent="0.25">
      <c r="A285" s="300"/>
      <c r="B285" s="511" t="s">
        <v>23</v>
      </c>
      <c r="C285" s="512"/>
      <c r="D285" s="35" t="s">
        <v>110</v>
      </c>
      <c r="E285" s="35" t="s">
        <v>281</v>
      </c>
      <c r="F285" s="35" t="s">
        <v>283</v>
      </c>
      <c r="G285" s="35" t="s">
        <v>124</v>
      </c>
      <c r="H285" s="103" t="s">
        <v>124</v>
      </c>
      <c r="I285" s="35" t="s">
        <v>125</v>
      </c>
      <c r="J285" s="35" t="s">
        <v>126</v>
      </c>
      <c r="K285" s="35" t="s">
        <v>127</v>
      </c>
      <c r="L285" s="37" t="s">
        <v>128</v>
      </c>
      <c r="M285" s="106" t="s">
        <v>128</v>
      </c>
      <c r="N285" s="37" t="s">
        <v>129</v>
      </c>
      <c r="O285" s="37" t="s">
        <v>130</v>
      </c>
      <c r="P285" s="37" t="s">
        <v>131</v>
      </c>
      <c r="Q285" s="37" t="s">
        <v>132</v>
      </c>
      <c r="R285" s="106" t="s">
        <v>132</v>
      </c>
      <c r="S285" s="37" t="s">
        <v>133</v>
      </c>
      <c r="T285" s="37" t="s">
        <v>134</v>
      </c>
      <c r="U285" s="37" t="s">
        <v>135</v>
      </c>
      <c r="V285" s="37" t="s">
        <v>136</v>
      </c>
      <c r="W285" s="106" t="s">
        <v>136</v>
      </c>
      <c r="X285" s="37" t="s">
        <v>137</v>
      </c>
      <c r="Y285" s="37" t="s">
        <v>138</v>
      </c>
      <c r="Z285" s="37" t="s">
        <v>139</v>
      </c>
      <c r="AA285" s="37" t="s">
        <v>140</v>
      </c>
      <c r="AB285" s="106" t="s">
        <v>140</v>
      </c>
      <c r="AC285" s="37" t="s">
        <v>285</v>
      </c>
      <c r="AD285" s="37" t="s">
        <v>286</v>
      </c>
      <c r="AE285" s="37" t="s">
        <v>287</v>
      </c>
      <c r="AF285" s="37" t="s">
        <v>288</v>
      </c>
      <c r="AG285" s="106" t="s">
        <v>288</v>
      </c>
      <c r="AH285" s="37" t="s">
        <v>318</v>
      </c>
      <c r="AI285" s="37" t="s">
        <v>319</v>
      </c>
      <c r="AJ285" s="37" t="s">
        <v>320</v>
      </c>
      <c r="AK285" s="37" t="s">
        <v>321</v>
      </c>
      <c r="AL285" s="106" t="s">
        <v>321</v>
      </c>
    </row>
    <row r="286" spans="1:38" ht="17.25" x14ac:dyDescent="0.4">
      <c r="A286" s="300"/>
      <c r="B286" s="505"/>
      <c r="C286" s="506"/>
      <c r="D286" s="36" t="s">
        <v>123</v>
      </c>
      <c r="E286" s="36" t="s">
        <v>280</v>
      </c>
      <c r="F286" s="36" t="s">
        <v>284</v>
      </c>
      <c r="G286" s="36" t="s">
        <v>294</v>
      </c>
      <c r="H286" s="104" t="s">
        <v>295</v>
      </c>
      <c r="I286" s="36" t="s">
        <v>296</v>
      </c>
      <c r="J286" s="36" t="s">
        <v>297</v>
      </c>
      <c r="K286" s="36" t="s">
        <v>298</v>
      </c>
      <c r="L286" s="34" t="s">
        <v>141</v>
      </c>
      <c r="M286" s="107" t="s">
        <v>142</v>
      </c>
      <c r="N286" s="34" t="s">
        <v>143</v>
      </c>
      <c r="O286" s="34" t="s">
        <v>144</v>
      </c>
      <c r="P286" s="34" t="s">
        <v>145</v>
      </c>
      <c r="Q286" s="34" t="s">
        <v>146</v>
      </c>
      <c r="R286" s="107" t="s">
        <v>147</v>
      </c>
      <c r="S286" s="34" t="s">
        <v>148</v>
      </c>
      <c r="T286" s="34" t="s">
        <v>149</v>
      </c>
      <c r="U286" s="34" t="s">
        <v>150</v>
      </c>
      <c r="V286" s="34" t="s">
        <v>151</v>
      </c>
      <c r="W286" s="107" t="s">
        <v>152</v>
      </c>
      <c r="X286" s="34" t="s">
        <v>153</v>
      </c>
      <c r="Y286" s="34" t="s">
        <v>154</v>
      </c>
      <c r="Z286" s="34" t="s">
        <v>155</v>
      </c>
      <c r="AA286" s="34" t="s">
        <v>156</v>
      </c>
      <c r="AB286" s="107" t="s">
        <v>157</v>
      </c>
      <c r="AC286" s="34" t="s">
        <v>289</v>
      </c>
      <c r="AD286" s="34" t="s">
        <v>290</v>
      </c>
      <c r="AE286" s="34" t="s">
        <v>291</v>
      </c>
      <c r="AF286" s="34" t="s">
        <v>292</v>
      </c>
      <c r="AG286" s="107" t="s">
        <v>293</v>
      </c>
      <c r="AH286" s="34" t="s">
        <v>322</v>
      </c>
      <c r="AI286" s="34" t="s">
        <v>323</v>
      </c>
      <c r="AJ286" s="34" t="s">
        <v>324</v>
      </c>
      <c r="AK286" s="34" t="s">
        <v>325</v>
      </c>
      <c r="AL286" s="107" t="s">
        <v>326</v>
      </c>
    </row>
    <row r="287" spans="1:38" ht="17.25" outlineLevel="1" x14ac:dyDescent="0.4">
      <c r="A287" s="300"/>
      <c r="B287" s="503" t="s">
        <v>79</v>
      </c>
      <c r="C287" s="504"/>
      <c r="D287" s="16"/>
      <c r="E287" s="16"/>
      <c r="F287" s="16"/>
      <c r="G287" s="16"/>
      <c r="H287" s="17"/>
      <c r="I287" s="16"/>
      <c r="J287" s="16"/>
      <c r="K287" s="16"/>
      <c r="L287" s="16"/>
      <c r="M287" s="17"/>
      <c r="N287" s="16"/>
      <c r="O287" s="16"/>
      <c r="P287" s="16"/>
      <c r="Q287" s="16"/>
      <c r="R287" s="17"/>
      <c r="S287" s="16"/>
      <c r="T287" s="16"/>
      <c r="U287" s="16"/>
      <c r="V287" s="16"/>
      <c r="W287" s="17"/>
      <c r="X287" s="16"/>
      <c r="Y287" s="16"/>
      <c r="Z287" s="16"/>
      <c r="AA287" s="16"/>
      <c r="AB287" s="17"/>
      <c r="AC287" s="16"/>
      <c r="AD287" s="16"/>
      <c r="AE287" s="16"/>
      <c r="AF287" s="16"/>
      <c r="AG287" s="17"/>
      <c r="AH287" s="16"/>
      <c r="AI287" s="16"/>
      <c r="AJ287" s="16"/>
      <c r="AK287" s="16"/>
      <c r="AL287" s="17"/>
    </row>
    <row r="288" spans="1:38" s="47" customFormat="1" outlineLevel="1" x14ac:dyDescent="0.25">
      <c r="A288" s="366"/>
      <c r="B288" s="84" t="s">
        <v>85</v>
      </c>
      <c r="C288" s="85"/>
      <c r="D288" s="55">
        <f t="shared" ref="D288:K288" si="986">D247/D16</f>
        <v>1.4669742337208073E-2</v>
      </c>
      <c r="E288" s="364">
        <f t="shared" si="986"/>
        <v>1.5033540018078308E-2</v>
      </c>
      <c r="F288" s="325">
        <f t="shared" si="986"/>
        <v>9.2774439396160081E-3</v>
      </c>
      <c r="G288" s="325">
        <f t="shared" si="986"/>
        <v>7.7960575070401619E-3</v>
      </c>
      <c r="H288" s="365">
        <f t="shared" si="986"/>
        <v>1.1618870857004896E-2</v>
      </c>
      <c r="I288" s="325">
        <f t="shared" si="986"/>
        <v>1.2723506784461259E-2</v>
      </c>
      <c r="J288" s="325">
        <f t="shared" si="986"/>
        <v>9.3900628783961833E-3</v>
      </c>
      <c r="K288" s="325">
        <f t="shared" si="986"/>
        <v>9.8055470026763899E-3</v>
      </c>
      <c r="L288" s="73">
        <f>AVERAGE(K288,J288,I288,G288)</f>
        <v>9.9287935431434989E-3</v>
      </c>
      <c r="M288" s="96"/>
      <c r="N288" s="73">
        <f>AVERAGE(L288,K288,J288,I288)</f>
        <v>1.0461977552169332E-2</v>
      </c>
      <c r="O288" s="73">
        <f>AVERAGE(N288,L288,K288,J288)</f>
        <v>9.8965952440963519E-3</v>
      </c>
      <c r="P288" s="73">
        <f>AVERAGE(O288,N288,L288,K288)</f>
        <v>1.0023228335521394E-2</v>
      </c>
      <c r="Q288" s="73">
        <f>AVERAGE(P288,O288,N288,L288)</f>
        <v>1.0077648668732644E-2</v>
      </c>
      <c r="R288" s="96"/>
      <c r="S288" s="73">
        <f>AVERAGE(Q288,P288,O288,N288)</f>
        <v>1.011486245012993E-2</v>
      </c>
      <c r="T288" s="73">
        <f>AVERAGE(S288,Q288,P288,O288)</f>
        <v>1.002808367462008E-2</v>
      </c>
      <c r="U288" s="73">
        <f>AVERAGE(T288,S288,Q288,P288)</f>
        <v>1.0060955782251012E-2</v>
      </c>
      <c r="V288" s="73">
        <f>AVERAGE(U288,T288,S288,Q288)</f>
        <v>1.0070387643933417E-2</v>
      </c>
      <c r="W288" s="96"/>
      <c r="X288" s="73">
        <f>AVERAGE(V288,U288,T288,S288)</f>
        <v>1.006857238773361E-2</v>
      </c>
      <c r="Y288" s="73">
        <f>AVERAGE(X288,V288,U288,T288)</f>
        <v>1.005699987213453E-2</v>
      </c>
      <c r="Z288" s="73">
        <f>AVERAGE(Y288,X288,V288,U288)</f>
        <v>1.0064228921513143E-2</v>
      </c>
      <c r="AA288" s="73">
        <f>AVERAGE(Z288,Y288,X288,V288)</f>
        <v>1.0065047206328675E-2</v>
      </c>
      <c r="AB288" s="96"/>
      <c r="AC288" s="73">
        <f>AVERAGE(AA288,Z288,Y288,X288)</f>
        <v>1.0063712096927489E-2</v>
      </c>
      <c r="AD288" s="73">
        <f>AVERAGE(AC288,AA288,Z288,Y288)</f>
        <v>1.006249702422596E-2</v>
      </c>
      <c r="AE288" s="73">
        <f>AVERAGE(AD288,AC288,AA288,Z288)</f>
        <v>1.0063871312248817E-2</v>
      </c>
      <c r="AF288" s="73">
        <f>AVERAGE(AE288,AD288,AC288,AA288)</f>
        <v>1.0063781909932736E-2</v>
      </c>
      <c r="AG288" s="96"/>
      <c r="AH288" s="73">
        <f>AVERAGE(AF288,AE288,AD288,AC288)</f>
        <v>1.006346558583375E-2</v>
      </c>
      <c r="AI288" s="73">
        <f>AVERAGE(AH288,AF288,AE288,AD288)</f>
        <v>1.0063403958060315E-2</v>
      </c>
      <c r="AJ288" s="73">
        <f>AVERAGE(AI288,AH288,AF288,AE288)</f>
        <v>1.0063630691518905E-2</v>
      </c>
      <c r="AK288" s="73">
        <f>AVERAGE(AJ288,AI288,AH288,AF288)</f>
        <v>1.0063570536336426E-2</v>
      </c>
      <c r="AL288" s="96"/>
    </row>
    <row r="289" spans="1:38" s="47" customFormat="1" outlineLevel="1" x14ac:dyDescent="0.25">
      <c r="A289" s="366"/>
      <c r="B289" s="84" t="s">
        <v>250</v>
      </c>
      <c r="C289" s="85"/>
      <c r="D289" s="55">
        <f>+D245/-D244</f>
        <v>1.1581818181818182</v>
      </c>
      <c r="E289" s="55">
        <f>+E245/-E244</f>
        <v>0.55639097744360888</v>
      </c>
      <c r="F289" s="325">
        <f t="shared" ref="F289:K289" si="987">+F245/-F244</f>
        <v>1.0682852807283763</v>
      </c>
      <c r="G289" s="325">
        <f t="shared" si="987"/>
        <v>0.69411764705882406</v>
      </c>
      <c r="H289" s="365">
        <f t="shared" si="987"/>
        <v>0.86512370311252995</v>
      </c>
      <c r="I289" s="325">
        <f t="shared" si="987"/>
        <v>1.0222575516693164</v>
      </c>
      <c r="J289" s="325">
        <f t="shared" si="987"/>
        <v>0.63295880149812733</v>
      </c>
      <c r="K289" s="325">
        <f t="shared" si="987"/>
        <v>1.0227272727272729</v>
      </c>
      <c r="L289" s="73">
        <v>1</v>
      </c>
      <c r="M289" s="96"/>
      <c r="N289" s="73">
        <v>1</v>
      </c>
      <c r="O289" s="73">
        <v>1</v>
      </c>
      <c r="P289" s="73">
        <v>1</v>
      </c>
      <c r="Q289" s="73">
        <v>1</v>
      </c>
      <c r="R289" s="96"/>
      <c r="S289" s="73">
        <v>1</v>
      </c>
      <c r="T289" s="73">
        <v>1</v>
      </c>
      <c r="U289" s="73">
        <v>1</v>
      </c>
      <c r="V289" s="73">
        <v>1</v>
      </c>
      <c r="W289" s="96"/>
      <c r="X289" s="73">
        <v>1</v>
      </c>
      <c r="Y289" s="73">
        <v>1</v>
      </c>
      <c r="Z289" s="73">
        <v>1</v>
      </c>
      <c r="AA289" s="73">
        <v>1</v>
      </c>
      <c r="AB289" s="96"/>
      <c r="AC289" s="73">
        <v>1</v>
      </c>
      <c r="AD289" s="73">
        <v>1</v>
      </c>
      <c r="AE289" s="73">
        <v>1</v>
      </c>
      <c r="AF289" s="73">
        <v>1</v>
      </c>
      <c r="AG289" s="96"/>
      <c r="AH289" s="73">
        <v>1</v>
      </c>
      <c r="AI289" s="73">
        <v>1</v>
      </c>
      <c r="AJ289" s="73">
        <v>1</v>
      </c>
      <c r="AK289" s="73">
        <v>1</v>
      </c>
      <c r="AL289" s="96"/>
    </row>
    <row r="290" spans="1:38" s="47" customFormat="1" outlineLevel="1" x14ac:dyDescent="0.25">
      <c r="A290" s="366"/>
      <c r="B290" s="509" t="s">
        <v>62</v>
      </c>
      <c r="C290" s="510"/>
      <c r="D290" s="59"/>
      <c r="E290" s="59"/>
      <c r="F290" s="59"/>
      <c r="G290" s="59"/>
      <c r="H290" s="70"/>
      <c r="I290" s="59">
        <f t="shared" ref="I290:AB290" si="988">I257/D257-1</f>
        <v>-0.22820512820512895</v>
      </c>
      <c r="J290" s="59">
        <f t="shared" si="988"/>
        <v>-4.4869364754098413</v>
      </c>
      <c r="K290" s="59">
        <f t="shared" si="988"/>
        <v>-1.314434752864716</v>
      </c>
      <c r="L290" s="59">
        <f t="shared" si="988"/>
        <v>-0.77441512681800972</v>
      </c>
      <c r="M290" s="70">
        <f t="shared" si="988"/>
        <v>-0.92924951990866378</v>
      </c>
      <c r="N290" s="59">
        <f t="shared" si="988"/>
        <v>-0.67413593127534488</v>
      </c>
      <c r="O290" s="59">
        <f t="shared" si="988"/>
        <v>-1.2608724192710996</v>
      </c>
      <c r="P290" s="59">
        <f t="shared" si="988"/>
        <v>-2.7910793229840527</v>
      </c>
      <c r="Q290" s="59">
        <f t="shared" si="988"/>
        <v>3.3491754867866765</v>
      </c>
      <c r="R290" s="70">
        <f t="shared" si="988"/>
        <v>6.5592628473042067</v>
      </c>
      <c r="S290" s="59">
        <f t="shared" si="988"/>
        <v>2.6280696338287108</v>
      </c>
      <c r="T290" s="59">
        <f t="shared" si="988"/>
        <v>1.1779491904472916</v>
      </c>
      <c r="U290" s="59">
        <f t="shared" si="988"/>
        <v>0.39978501687256829</v>
      </c>
      <c r="V290" s="59">
        <f t="shared" si="988"/>
        <v>9.9584721767171036E-2</v>
      </c>
      <c r="W290" s="70">
        <f t="shared" si="988"/>
        <v>0.87518812127761159</v>
      </c>
      <c r="X290" s="59">
        <f t="shared" si="988"/>
        <v>-5.720261555593098E-2</v>
      </c>
      <c r="Y290" s="59">
        <f t="shared" si="988"/>
        <v>0.11494461040699733</v>
      </c>
      <c r="Z290" s="59">
        <f t="shared" si="988"/>
        <v>0.13737102736780549</v>
      </c>
      <c r="AA290" s="59">
        <f t="shared" si="988"/>
        <v>0.17519017333588405</v>
      </c>
      <c r="AB290" s="70">
        <f t="shared" si="988"/>
        <v>5.9428600330179604E-2</v>
      </c>
      <c r="AC290" s="59">
        <f t="shared" ref="AC290" si="989">AC257/X257-1</f>
        <v>6.9875854686993089E-2</v>
      </c>
      <c r="AD290" s="59">
        <f t="shared" ref="AD290" si="990">AD257/Y257-1</f>
        <v>8.0017323540723329E-2</v>
      </c>
      <c r="AE290" s="59">
        <f t="shared" ref="AE290" si="991">AE257/Z257-1</f>
        <v>6.84230636130434E-2</v>
      </c>
      <c r="AF290" s="59">
        <f t="shared" ref="AF290" si="992">AF257/AA257-1</f>
        <v>7.4092342567215974E-2</v>
      </c>
      <c r="AG290" s="70">
        <f t="shared" ref="AG290" si="993">AG257/AB257-1</f>
        <v>7.2327381687447456E-2</v>
      </c>
      <c r="AH290" s="59">
        <f t="shared" ref="AH290" si="994">AH257/AC257-1</f>
        <v>7.3544245138378095E-2</v>
      </c>
      <c r="AI290" s="59">
        <f t="shared" ref="AI290" si="995">AI257/AD257-1</f>
        <v>8.3651641527838549E-2</v>
      </c>
      <c r="AJ290" s="59">
        <f t="shared" ref="AJ290" si="996">AJ257/AE257-1</f>
        <v>9.4479218080101068E-2</v>
      </c>
      <c r="AK290" s="59">
        <f t="shared" ref="AK290" si="997">AK257/AF257-1</f>
        <v>7.5639044530185107E-2</v>
      </c>
      <c r="AL290" s="70">
        <f t="shared" ref="AL290" si="998">AL257/AG257-1</f>
        <v>7.9809654618330228E-2</v>
      </c>
    </row>
    <row r="291" spans="1:38" outlineLevel="1" x14ac:dyDescent="0.25">
      <c r="A291" s="300"/>
      <c r="B291" s="95" t="s">
        <v>80</v>
      </c>
      <c r="C291" s="270"/>
      <c r="D291" s="55">
        <f t="shared" ref="D291:K291" si="999">-D260/D16</f>
        <v>6.5041385860961587E-2</v>
      </c>
      <c r="E291" s="55">
        <f t="shared" si="999"/>
        <v>6.5684517673924428E-2</v>
      </c>
      <c r="F291" s="325">
        <f t="shared" si="999"/>
        <v>6.3769602814011436E-2</v>
      </c>
      <c r="G291" s="325">
        <f t="shared" si="999"/>
        <v>7.7945753668297008E-2</v>
      </c>
      <c r="H291" s="362">
        <f t="shared" si="999"/>
        <v>6.8151467825535855E-2</v>
      </c>
      <c r="I291" s="363">
        <f t="shared" si="999"/>
        <v>5.555790393259219E-2</v>
      </c>
      <c r="J291" s="334">
        <f t="shared" si="999"/>
        <v>6.0710175625865198E-2</v>
      </c>
      <c r="K291" s="334">
        <f t="shared" si="999"/>
        <v>9.0026290234717338E-2</v>
      </c>
      <c r="L291" s="72">
        <v>6.0266666666666649E-2</v>
      </c>
      <c r="M291" s="105">
        <f>-M260/M16</f>
        <v>6.4336345962529684E-2</v>
      </c>
      <c r="N291" s="175">
        <f>AVERAGE(I291,J291,K291,L291)-0.5%</f>
        <v>6.1640259114960343E-2</v>
      </c>
      <c r="O291" s="72">
        <f>AVERAGE(J291,K291,L291,N291)-0.5%</f>
        <v>6.3160847910552376E-2</v>
      </c>
      <c r="P291" s="72">
        <f>AVERAGE(O291,N291,L291,K291)-0.5%</f>
        <v>6.3773515981724177E-2</v>
      </c>
      <c r="Q291" s="72">
        <f>AVERAGE(P291,O291,N291,L291)</f>
        <v>6.2210322418475891E-2</v>
      </c>
      <c r="R291" s="105">
        <f>-R260/R16</f>
        <v>6.2576807922005831E-2</v>
      </c>
      <c r="S291" s="175">
        <v>0.06</v>
      </c>
      <c r="T291" s="73">
        <v>0.06</v>
      </c>
      <c r="U291" s="73">
        <v>0.06</v>
      </c>
      <c r="V291" s="73">
        <v>0.06</v>
      </c>
      <c r="W291" s="123">
        <f>-W260/W16</f>
        <v>0.06</v>
      </c>
      <c r="X291" s="175">
        <v>0.05</v>
      </c>
      <c r="Y291" s="73">
        <v>0.05</v>
      </c>
      <c r="Z291" s="73">
        <v>0.05</v>
      </c>
      <c r="AA291" s="73">
        <v>0.05</v>
      </c>
      <c r="AB291" s="123">
        <f>-AB260/AB16</f>
        <v>0.05</v>
      </c>
      <c r="AC291" s="175">
        <f>AVERAGE(X291,Y291,Z291,AA291)</f>
        <v>0.05</v>
      </c>
      <c r="AD291" s="73">
        <f>AVERAGE(Y291,Z291,AA291,AC291)</f>
        <v>0.05</v>
      </c>
      <c r="AE291" s="73">
        <f>AVERAGE(AD291,AC291,AA291,Z291)</f>
        <v>0.05</v>
      </c>
      <c r="AF291" s="73">
        <f>AVERAGE(AE291,AD291,AC291,AA291)</f>
        <v>0.05</v>
      </c>
      <c r="AG291" s="123">
        <f>-AG260/AG16</f>
        <v>0.05</v>
      </c>
      <c r="AH291" s="175">
        <f>AVERAGE(AC291,AD291,AE291,AF291)</f>
        <v>0.05</v>
      </c>
      <c r="AI291" s="73">
        <f>AVERAGE(AD291,AE291,AF291,AH291)</f>
        <v>0.05</v>
      </c>
      <c r="AJ291" s="73">
        <f>AVERAGE(AI291,AH291,AF291,AE291)</f>
        <v>0.05</v>
      </c>
      <c r="AK291" s="73">
        <f>AVERAGE(AJ291,AI291,AH291,AF291)</f>
        <v>0.05</v>
      </c>
      <c r="AL291" s="123">
        <f>-AL260/AL16</f>
        <v>0.05</v>
      </c>
    </row>
    <row r="292" spans="1:38" ht="17.25" x14ac:dyDescent="0.4">
      <c r="A292" s="300"/>
      <c r="B292" s="19"/>
      <c r="C292" s="19"/>
      <c r="D292" s="31"/>
      <c r="E292" s="31"/>
      <c r="F292" s="31"/>
      <c r="G292" s="31"/>
      <c r="H292" s="30"/>
      <c r="I292" s="31"/>
      <c r="J292" s="31"/>
      <c r="K292" s="31"/>
      <c r="L292" s="31"/>
      <c r="M292" s="30"/>
      <c r="N292" s="31"/>
      <c r="O292" s="31"/>
      <c r="P292" s="31"/>
      <c r="Q292" s="31"/>
      <c r="R292" s="30"/>
      <c r="S292" s="31"/>
      <c r="T292" s="31"/>
      <c r="U292" s="31"/>
      <c r="V292" s="31"/>
      <c r="W292" s="30"/>
      <c r="X292" s="31"/>
      <c r="Y292" s="31"/>
      <c r="Z292" s="31"/>
      <c r="AA292" s="31"/>
      <c r="AB292" s="30"/>
      <c r="AC292" s="31"/>
      <c r="AD292" s="31"/>
      <c r="AE292" s="31"/>
      <c r="AF292" s="31"/>
      <c r="AG292" s="30"/>
      <c r="AH292" s="31"/>
      <c r="AI292" s="31"/>
      <c r="AJ292" s="31"/>
      <c r="AK292" s="31"/>
      <c r="AL292" s="30"/>
    </row>
    <row r="293" spans="1:38" ht="15.75" x14ac:dyDescent="0.25">
      <c r="A293" s="300"/>
      <c r="B293" s="511" t="s">
        <v>19</v>
      </c>
      <c r="C293" s="515"/>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row>
    <row r="294" spans="1:38" outlineLevel="1" x14ac:dyDescent="0.25">
      <c r="A294" s="300"/>
      <c r="B294" s="65" t="s">
        <v>103</v>
      </c>
      <c r="C294" s="467">
        <v>35.9</v>
      </c>
      <c r="D294" s="469"/>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row>
    <row r="295" spans="1:38" outlineLevel="1" x14ac:dyDescent="0.25">
      <c r="A295" s="300"/>
      <c r="B295" s="65" t="s">
        <v>47</v>
      </c>
      <c r="C295" s="468">
        <v>40</v>
      </c>
      <c r="D295" s="470"/>
    </row>
    <row r="296" spans="1:38" outlineLevel="1" x14ac:dyDescent="0.25">
      <c r="A296" s="300"/>
      <c r="B296" s="65" t="s">
        <v>48</v>
      </c>
      <c r="C296" s="468">
        <v>32.9</v>
      </c>
      <c r="D296" s="470"/>
    </row>
    <row r="297" spans="1:38" outlineLevel="1" x14ac:dyDescent="0.25">
      <c r="A297" s="300"/>
      <c r="B297" s="51" t="s">
        <v>34</v>
      </c>
      <c r="C297" s="477">
        <v>30.9</v>
      </c>
      <c r="D297" s="470"/>
    </row>
    <row r="298" spans="1:38" ht="17.25" outlineLevel="1" x14ac:dyDescent="0.4">
      <c r="A298" s="300"/>
      <c r="B298" s="51" t="s">
        <v>104</v>
      </c>
      <c r="C298" s="163">
        <v>0</v>
      </c>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row>
    <row r="299" spans="1:38" outlineLevel="1" x14ac:dyDescent="0.25">
      <c r="A299" s="300"/>
      <c r="B299" s="162" t="s">
        <v>51</v>
      </c>
      <c r="C299" s="176">
        <f>(C297*(R42))</f>
        <v>34.456508542924944</v>
      </c>
    </row>
    <row r="300" spans="1:38" ht="15" customHeight="1" x14ac:dyDescent="0.25">
      <c r="A300" s="300"/>
      <c r="B300" s="156" t="s">
        <v>99</v>
      </c>
      <c r="C300" s="185">
        <f>C303-C326</f>
        <v>7.0088507541754552E-5</v>
      </c>
    </row>
    <row r="301" spans="1:38" ht="15.75" x14ac:dyDescent="0.25">
      <c r="A301" s="300"/>
      <c r="B301" s="511" t="s">
        <v>26</v>
      </c>
      <c r="C301" s="515"/>
    </row>
    <row r="302" spans="1:38" outlineLevel="1" x14ac:dyDescent="0.25">
      <c r="A302" s="300"/>
      <c r="B302" s="109" t="s">
        <v>83</v>
      </c>
      <c r="C302" s="32"/>
      <c r="D302" s="469"/>
    </row>
    <row r="303" spans="1:38" outlineLevel="1" x14ac:dyDescent="0.25">
      <c r="A303" s="300"/>
      <c r="B303" s="110" t="s">
        <v>98</v>
      </c>
      <c r="C303" s="177">
        <v>79.363383544301371</v>
      </c>
      <c r="D303" s="470"/>
    </row>
    <row r="304" spans="1:38" ht="17.25" outlineLevel="1" x14ac:dyDescent="0.4">
      <c r="A304" s="300"/>
      <c r="B304" s="110" t="s">
        <v>27</v>
      </c>
      <c r="C304" s="178">
        <f>K39</f>
        <v>1168.5</v>
      </c>
      <c r="D304" s="470"/>
    </row>
    <row r="305" spans="1:4" outlineLevel="1" x14ac:dyDescent="0.25">
      <c r="A305" s="300"/>
      <c r="B305" s="118" t="s">
        <v>28</v>
      </c>
      <c r="C305" s="111">
        <f>C304*C303</f>
        <v>92736.113671516156</v>
      </c>
      <c r="D305" s="470"/>
    </row>
    <row r="306" spans="1:4" outlineLevel="1" x14ac:dyDescent="0.25">
      <c r="A306" s="300"/>
      <c r="B306" s="110" t="s">
        <v>41</v>
      </c>
      <c r="C306" s="153">
        <v>1.07</v>
      </c>
      <c r="D306" s="470"/>
    </row>
    <row r="307" spans="1:4" outlineLevel="1" x14ac:dyDescent="0.25">
      <c r="A307" s="300"/>
      <c r="B307" s="110" t="s">
        <v>105</v>
      </c>
      <c r="C307" s="112">
        <v>0.35399999999999998</v>
      </c>
      <c r="D307" s="470"/>
    </row>
    <row r="308" spans="1:4" outlineLevel="1" x14ac:dyDescent="0.25">
      <c r="A308" s="300"/>
      <c r="B308" s="110" t="s">
        <v>106</v>
      </c>
      <c r="C308" s="113">
        <v>0.22289999999999999</v>
      </c>
      <c r="D308" s="470"/>
    </row>
    <row r="309" spans="1:4" outlineLevel="1" x14ac:dyDescent="0.25">
      <c r="A309" s="300"/>
      <c r="B309" s="119" t="s">
        <v>29</v>
      </c>
      <c r="C309" s="114">
        <f>C307*C308</f>
        <v>7.8906599999999993E-2</v>
      </c>
      <c r="D309" s="470"/>
    </row>
    <row r="310" spans="1:4" outlineLevel="1" x14ac:dyDescent="0.25">
      <c r="A310" s="300"/>
      <c r="B310" s="110" t="s">
        <v>100</v>
      </c>
      <c r="C310" s="115">
        <v>9.4000000000000004E-3</v>
      </c>
      <c r="D310" s="470"/>
    </row>
    <row r="311" spans="1:4" outlineLevel="1" x14ac:dyDescent="0.25">
      <c r="A311" s="300"/>
      <c r="B311" s="118" t="s">
        <v>30</v>
      </c>
      <c r="C311" s="121">
        <f>C310+(C306*C309)</f>
        <v>9.3830062000000006E-2</v>
      </c>
      <c r="D311" s="470"/>
    </row>
    <row r="312" spans="1:4" outlineLevel="1" x14ac:dyDescent="0.25">
      <c r="A312" s="300"/>
      <c r="B312" s="65" t="s">
        <v>31</v>
      </c>
      <c r="C312" s="116">
        <f>C305/(C305+K206+K209)</f>
        <v>0.8463809814581007</v>
      </c>
      <c r="D312" s="470"/>
    </row>
    <row r="313" spans="1:4" outlineLevel="1" x14ac:dyDescent="0.25">
      <c r="A313" s="300"/>
      <c r="B313" s="65" t="s">
        <v>32</v>
      </c>
      <c r="C313" s="116">
        <f>K152*4</f>
        <v>3.1328917978792031E-2</v>
      </c>
      <c r="D313" s="470"/>
    </row>
    <row r="314" spans="1:4" outlineLevel="1" x14ac:dyDescent="0.25">
      <c r="A314" s="300"/>
      <c r="B314" s="65" t="s">
        <v>2</v>
      </c>
      <c r="C314" s="79">
        <f>M150</f>
        <v>0.28215213551532314</v>
      </c>
      <c r="D314" s="470"/>
    </row>
    <row r="315" spans="1:4" outlineLevel="1" x14ac:dyDescent="0.25">
      <c r="A315" s="300"/>
      <c r="B315" s="65" t="s">
        <v>33</v>
      </c>
      <c r="C315" s="116">
        <f>C313*(1-C314)</f>
        <v>2.2489396867691459E-2</v>
      </c>
      <c r="D315" s="470"/>
    </row>
    <row r="316" spans="1:4" outlineLevel="1" x14ac:dyDescent="0.25">
      <c r="A316" s="300"/>
      <c r="B316" s="120" t="s">
        <v>84</v>
      </c>
      <c r="C316" s="117">
        <f>(C312*C311)+((1-C312)*C315)</f>
        <v>8.2870779040248463E-2</v>
      </c>
      <c r="D316" s="470"/>
    </row>
    <row r="317" spans="1:4" outlineLevel="1" x14ac:dyDescent="0.25">
      <c r="A317" s="300"/>
      <c r="B317" s="547" t="s">
        <v>107</v>
      </c>
      <c r="C317" s="548"/>
      <c r="D317" s="470"/>
    </row>
    <row r="318" spans="1:4" outlineLevel="1" x14ac:dyDescent="0.25">
      <c r="A318" s="300"/>
      <c r="B318" s="65" t="s">
        <v>42</v>
      </c>
      <c r="C318" s="184">
        <v>6.5000000000000002E-2</v>
      </c>
      <c r="D318" s="470"/>
    </row>
    <row r="319" spans="1:4" outlineLevel="1" x14ac:dyDescent="0.25">
      <c r="A319" s="300"/>
      <c r="B319" s="65" t="s">
        <v>43</v>
      </c>
      <c r="C319" s="184">
        <v>6.5000000000000002E-2</v>
      </c>
      <c r="D319" s="470"/>
    </row>
    <row r="320" spans="1:4" outlineLevel="1" x14ac:dyDescent="0.25">
      <c r="A320" s="300"/>
      <c r="B320" s="65" t="s">
        <v>82</v>
      </c>
      <c r="C320" s="184">
        <v>0.05</v>
      </c>
      <c r="D320" s="470"/>
    </row>
    <row r="321" spans="1:8" outlineLevel="1" x14ac:dyDescent="0.25">
      <c r="A321" s="300"/>
      <c r="B321" s="65" t="s">
        <v>108</v>
      </c>
      <c r="C321" s="184">
        <f>(C312*(0.062+(0.85*(0.312*0.19))))+((1-C312)*C315)</f>
        <v>9.8577864818527039E-2</v>
      </c>
      <c r="D321" s="470"/>
    </row>
    <row r="322" spans="1:8" outlineLevel="1" x14ac:dyDescent="0.25">
      <c r="A322" s="300"/>
      <c r="B322" s="122" t="s">
        <v>44</v>
      </c>
      <c r="C322" s="32"/>
      <c r="D322" s="470"/>
    </row>
    <row r="323" spans="1:8" outlineLevel="1" x14ac:dyDescent="0.25">
      <c r="A323" s="300"/>
      <c r="B323" s="65" t="s">
        <v>87</v>
      </c>
      <c r="C323" s="126">
        <f>((((AL257*(1+C319))-(C320*AL16*(1+C318))+(C315*(AL206+AL209))))/(C321-C318))/(1+$C$321)^5</f>
        <v>91326.387120679356</v>
      </c>
      <c r="D323" s="470"/>
    </row>
    <row r="324" spans="1:8" outlineLevel="1" x14ac:dyDescent="0.25">
      <c r="A324" s="300"/>
      <c r="B324" s="65" t="s">
        <v>86</v>
      </c>
      <c r="C324" s="126">
        <f>R279+W279+AB279+AG279+AL279</f>
        <v>13822.144652415736</v>
      </c>
      <c r="D324" s="470"/>
    </row>
    <row r="325" spans="1:8" ht="17.25" outlineLevel="1" x14ac:dyDescent="0.4">
      <c r="A325" s="300"/>
      <c r="B325" s="65" t="s">
        <v>50</v>
      </c>
      <c r="C325" s="179">
        <f>+K283</f>
        <v>-10.62259306803594</v>
      </c>
      <c r="D325" s="470"/>
    </row>
    <row r="326" spans="1:8" outlineLevel="1" x14ac:dyDescent="0.25">
      <c r="A326" s="300"/>
      <c r="B326" s="162" t="s">
        <v>52</v>
      </c>
      <c r="C326" s="479">
        <f>(C323+C324)/C304+C325</f>
        <v>79.363313455793829</v>
      </c>
      <c r="D326" s="470"/>
      <c r="H326" s="480"/>
    </row>
    <row r="327" spans="1:8" ht="13.5" customHeight="1" x14ac:dyDescent="0.25">
      <c r="A327" s="300"/>
      <c r="C327" s="33"/>
    </row>
    <row r="328" spans="1:8" ht="15.75" x14ac:dyDescent="0.25">
      <c r="A328" s="300"/>
      <c r="B328" s="511" t="s">
        <v>109</v>
      </c>
      <c r="C328" s="515"/>
      <c r="D328" s="469"/>
    </row>
    <row r="329" spans="1:8" outlineLevel="1" x14ac:dyDescent="0.25">
      <c r="A329" s="300"/>
      <c r="B329" s="133" t="s">
        <v>367</v>
      </c>
      <c r="C329" s="135">
        <f>'Std Dev'!E17</f>
        <v>-1.2922113843220997E-2</v>
      </c>
      <c r="D329" s="470"/>
    </row>
    <row r="330" spans="1:8" outlineLevel="1" x14ac:dyDescent="0.25">
      <c r="A330" s="300"/>
      <c r="B330" s="65" t="s">
        <v>63</v>
      </c>
      <c r="C330" s="136">
        <f>'Std Dev'!G20</f>
        <v>7.8710018493084066E-2</v>
      </c>
      <c r="D330" s="470"/>
    </row>
    <row r="331" spans="1:8" outlineLevel="1" x14ac:dyDescent="0.25">
      <c r="A331" s="300"/>
      <c r="B331" s="65" t="s">
        <v>66</v>
      </c>
      <c r="C331" s="134">
        <f>C8</f>
        <v>56.909910999359383</v>
      </c>
      <c r="D331" s="470"/>
    </row>
    <row r="332" spans="1:8" outlineLevel="1" x14ac:dyDescent="0.25">
      <c r="A332" s="300"/>
      <c r="B332" s="65" t="s">
        <v>64</v>
      </c>
      <c r="C332" s="134">
        <f>C331*(1+(C329+(2*C330)))</f>
        <v>65.13327494501678</v>
      </c>
      <c r="D332" s="470"/>
    </row>
    <row r="333" spans="1:8" outlineLevel="1" x14ac:dyDescent="0.25">
      <c r="A333" s="300"/>
      <c r="B333" s="164" t="s">
        <v>65</v>
      </c>
      <c r="C333" s="165">
        <f>C331*(1+(C329-(2*C330)))</f>
        <v>47.215754356219392</v>
      </c>
      <c r="D333" s="470"/>
    </row>
    <row r="334" spans="1:8" ht="14.45" customHeight="1" x14ac:dyDescent="0.25">
      <c r="D334" s="470"/>
    </row>
  </sheetData>
  <dataConsolidate/>
  <mergeCells count="123">
    <mergeCell ref="B264:C264"/>
    <mergeCell ref="B171:C171"/>
    <mergeCell ref="B178:C178"/>
    <mergeCell ref="B168:C168"/>
    <mergeCell ref="B169:C169"/>
    <mergeCell ref="B227:C227"/>
    <mergeCell ref="B228:C228"/>
    <mergeCell ref="B46:C46"/>
    <mergeCell ref="B45:C45"/>
    <mergeCell ref="B56:C56"/>
    <mergeCell ref="B101:C101"/>
    <mergeCell ref="B102:C102"/>
    <mergeCell ref="B80:C80"/>
    <mergeCell ref="B81:C81"/>
    <mergeCell ref="B89:C89"/>
    <mergeCell ref="B92:C92"/>
    <mergeCell ref="B96:C96"/>
    <mergeCell ref="B97:C97"/>
    <mergeCell ref="B214:C214"/>
    <mergeCell ref="B213:C213"/>
    <mergeCell ref="B201:C201"/>
    <mergeCell ref="B200:C200"/>
    <mergeCell ref="B198:C198"/>
    <mergeCell ref="B64:C64"/>
    <mergeCell ref="B68:C68"/>
    <mergeCell ref="B69:C69"/>
    <mergeCell ref="B48:C48"/>
    <mergeCell ref="B59:C59"/>
    <mergeCell ref="B63:C63"/>
    <mergeCell ref="B131:C131"/>
    <mergeCell ref="B117:C117"/>
    <mergeCell ref="B128:C128"/>
    <mergeCell ref="B129:C129"/>
    <mergeCell ref="B115:C115"/>
    <mergeCell ref="B114:C114"/>
    <mergeCell ref="B317:C317"/>
    <mergeCell ref="B184:C184"/>
    <mergeCell ref="B183:C183"/>
    <mergeCell ref="B181:C181"/>
    <mergeCell ref="B257:C257"/>
    <mergeCell ref="B252:C252"/>
    <mergeCell ref="B253:C253"/>
    <mergeCell ref="B250:C250"/>
    <mergeCell ref="B249:C249"/>
    <mergeCell ref="B238:C238"/>
    <mergeCell ref="B230:C230"/>
    <mergeCell ref="B229:C229"/>
    <mergeCell ref="B226:C226"/>
    <mergeCell ref="B225:C225"/>
    <mergeCell ref="B219:C219"/>
    <mergeCell ref="B217:C217"/>
    <mergeCell ref="B216:C216"/>
    <mergeCell ref="B215:C215"/>
    <mergeCell ref="B261:C261"/>
    <mergeCell ref="B231:C231"/>
    <mergeCell ref="B301:C301"/>
    <mergeCell ref="B258:C258"/>
    <mergeCell ref="B199:C199"/>
    <mergeCell ref="B256:C256"/>
    <mergeCell ref="B4:C4"/>
    <mergeCell ref="B5:C5"/>
    <mergeCell ref="B12:C12"/>
    <mergeCell ref="B41:C41"/>
    <mergeCell ref="B40:C40"/>
    <mergeCell ref="B39:C39"/>
    <mergeCell ref="B38:C38"/>
    <mergeCell ref="B33:C33"/>
    <mergeCell ref="B16:C16"/>
    <mergeCell ref="B32:C32"/>
    <mergeCell ref="B31:C31"/>
    <mergeCell ref="B13:C13"/>
    <mergeCell ref="B14:C14"/>
    <mergeCell ref="B15:C15"/>
    <mergeCell ref="B17:C17"/>
    <mergeCell ref="B24:C24"/>
    <mergeCell ref="B146:C146"/>
    <mergeCell ref="B11:C11"/>
    <mergeCell ref="B328:C328"/>
    <mergeCell ref="B2:C2"/>
    <mergeCell ref="B274:C274"/>
    <mergeCell ref="B272:C272"/>
    <mergeCell ref="B271:C271"/>
    <mergeCell ref="B290:C290"/>
    <mergeCell ref="B287:C287"/>
    <mergeCell ref="B286:C286"/>
    <mergeCell ref="B285:C285"/>
    <mergeCell ref="B284:C284"/>
    <mergeCell ref="B279:C279"/>
    <mergeCell ref="B277:C277"/>
    <mergeCell ref="B283:C283"/>
    <mergeCell ref="B276:C276"/>
    <mergeCell ref="B275:C275"/>
    <mergeCell ref="B293:C293"/>
    <mergeCell ref="B161:C161"/>
    <mergeCell ref="B160:C160"/>
    <mergeCell ref="B260:C260"/>
    <mergeCell ref="B222:C222"/>
    <mergeCell ref="B197:C197"/>
    <mergeCell ref="B3:C3"/>
    <mergeCell ref="B162:C162"/>
    <mergeCell ref="B163:C163"/>
    <mergeCell ref="B164:C164"/>
    <mergeCell ref="A11:A12"/>
    <mergeCell ref="B47:C47"/>
    <mergeCell ref="B263:C263"/>
    <mergeCell ref="B262:C262"/>
    <mergeCell ref="B240:C240"/>
    <mergeCell ref="B223:C223"/>
    <mergeCell ref="B220:C220"/>
    <mergeCell ref="B158:C158"/>
    <mergeCell ref="B157:C157"/>
    <mergeCell ref="B150:C150"/>
    <mergeCell ref="B152:C152"/>
    <mergeCell ref="B140:C140"/>
    <mergeCell ref="B212:C212"/>
    <mergeCell ref="B149:C149"/>
    <mergeCell ref="B159:C159"/>
    <mergeCell ref="B148:C148"/>
    <mergeCell ref="B151:C151"/>
    <mergeCell ref="B156:C156"/>
    <mergeCell ref="B188:C188"/>
    <mergeCell ref="B186:C186"/>
    <mergeCell ref="B147:C14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7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1E0-E4D5-4473-97D9-C605001D7A4C}">
  <dimension ref="A1"/>
  <sheetViews>
    <sheetView topLeftCell="A7" workbookViewId="0">
      <selection activeCell="O49" sqref="O49"/>
    </sheetView>
  </sheetViews>
  <sheetFormatPr defaultColWidth="8.8554687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N41"/>
  <sheetViews>
    <sheetView showGridLines="0" zoomScaleNormal="100" workbookViewId="0">
      <selection activeCell="D22" sqref="D22"/>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139" t="s">
        <v>328</v>
      </c>
    </row>
    <row r="2" spans="2:14" x14ac:dyDescent="0.25">
      <c r="B2" s="139"/>
    </row>
    <row r="3" spans="2:14" x14ac:dyDescent="0.25">
      <c r="B3" s="13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561"/>
      <c r="I7" s="561"/>
      <c r="J7" s="561"/>
      <c r="K7" s="561"/>
      <c r="L7" s="561"/>
      <c r="M7" s="561"/>
      <c r="N7" s="561"/>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13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139"/>
    </row>
    <row r="41" spans="2:2" x14ac:dyDescent="0.25">
      <c r="B41" s="139"/>
    </row>
  </sheetData>
  <mergeCells count="1">
    <mergeCell ref="H7:N7"/>
  </mergeCells>
  <pageMargins left="0.7" right="0.7" top="0.75" bottom="0.75" header="0.3" footer="0.3"/>
  <pageSetup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G21"/>
  <sheetViews>
    <sheetView showGridLines="0" workbookViewId="0">
      <selection activeCell="C11" sqref="C11"/>
    </sheetView>
  </sheetViews>
  <sheetFormatPr defaultColWidth="8.85546875" defaultRowHeight="15" x14ac:dyDescent="0.25"/>
  <cols>
    <col min="1" max="1" width="1.28515625" customWidth="1"/>
    <col min="2" max="2" width="12.28515625" customWidth="1"/>
    <col min="4" max="4" width="9.42578125" customWidth="1"/>
    <col min="7" max="7" width="9.42578125" bestFit="1" customWidth="1"/>
  </cols>
  <sheetData>
    <row r="1" spans="2:7" x14ac:dyDescent="0.25">
      <c r="B1" t="s">
        <v>358</v>
      </c>
    </row>
    <row r="2" spans="2:7" x14ac:dyDescent="0.25">
      <c r="B2" t="s">
        <v>88</v>
      </c>
    </row>
    <row r="3" spans="2:7" ht="45" x14ac:dyDescent="0.25">
      <c r="B3" s="140" t="s">
        <v>89</v>
      </c>
      <c r="C3" s="140" t="s">
        <v>359</v>
      </c>
      <c r="D3" s="140" t="s">
        <v>360</v>
      </c>
      <c r="E3" s="140" t="s">
        <v>90</v>
      </c>
      <c r="F3" s="140" t="s">
        <v>91</v>
      </c>
      <c r="G3" s="140" t="s">
        <v>92</v>
      </c>
    </row>
    <row r="4" spans="2:7" x14ac:dyDescent="0.25">
      <c r="B4" s="459">
        <v>43677</v>
      </c>
      <c r="C4" s="460">
        <v>92.400169000000005</v>
      </c>
      <c r="D4" s="180"/>
      <c r="E4" s="181"/>
      <c r="F4" s="182"/>
      <c r="G4" s="147"/>
    </row>
    <row r="5" spans="2:7" x14ac:dyDescent="0.25">
      <c r="B5" s="459">
        <v>43707</v>
      </c>
      <c r="C5" s="460">
        <v>94.582076999999998</v>
      </c>
      <c r="D5" s="2">
        <v>2.3613679754200367E-2</v>
      </c>
      <c r="E5" s="144">
        <f>+C5/C4-1</f>
        <v>2.3613679754200367E-2</v>
      </c>
      <c r="F5" s="145">
        <f t="shared" ref="F5:F16" si="0">E5-$E$17</f>
        <v>3.6535793597421366E-2</v>
      </c>
      <c r="G5" s="154">
        <f>F5^2</f>
        <v>1.3348642137933761E-3</v>
      </c>
    </row>
    <row r="6" spans="2:7" x14ac:dyDescent="0.25">
      <c r="B6" s="459">
        <v>43738</v>
      </c>
      <c r="C6" s="460">
        <v>86.608810000000005</v>
      </c>
      <c r="D6" s="2">
        <v>-8.429997789115995E-2</v>
      </c>
      <c r="E6" s="144">
        <f>+C6/C5-1</f>
        <v>-8.429997789115995E-2</v>
      </c>
      <c r="F6" s="145">
        <f t="shared" si="0"/>
        <v>-7.1377864047938958E-2</v>
      </c>
      <c r="G6" s="154">
        <f>F6^2</f>
        <v>5.0947994760460564E-3</v>
      </c>
    </row>
    <row r="7" spans="2:7" x14ac:dyDescent="0.25">
      <c r="B7" s="459">
        <v>43769</v>
      </c>
      <c r="C7" s="460">
        <v>82.827881000000005</v>
      </c>
      <c r="D7" s="2">
        <v>-4.3655247081676785E-2</v>
      </c>
      <c r="E7" s="144">
        <f t="shared" ref="E7:E16" si="1">+C7/C6-1</f>
        <v>-4.3655247081676785E-2</v>
      </c>
      <c r="F7" s="145">
        <f t="shared" si="0"/>
        <v>-3.0733133238455786E-2</v>
      </c>
      <c r="G7" s="154">
        <f t="shared" ref="G7:G15" si="2">F7^2</f>
        <v>9.4452547865267586E-4</v>
      </c>
    </row>
    <row r="8" spans="2:7" x14ac:dyDescent="0.25">
      <c r="B8" s="459">
        <v>43798</v>
      </c>
      <c r="C8" s="461">
        <v>84.098358000000005</v>
      </c>
      <c r="D8" s="2">
        <v>1.5338760145270358E-2</v>
      </c>
      <c r="E8" s="144">
        <f t="shared" si="1"/>
        <v>1.5338760145270358E-2</v>
      </c>
      <c r="F8" s="145">
        <f t="shared" si="0"/>
        <v>2.8260873988491357E-2</v>
      </c>
      <c r="G8" s="154">
        <f t="shared" si="2"/>
        <v>7.9867699859338735E-4</v>
      </c>
    </row>
    <row r="9" spans="2:7" x14ac:dyDescent="0.25">
      <c r="B9" s="459">
        <v>43830</v>
      </c>
      <c r="C9" s="461">
        <v>86.549553000000003</v>
      </c>
      <c r="D9" s="2">
        <v>2.9146764078318954E-2</v>
      </c>
      <c r="E9" s="144">
        <f t="shared" si="1"/>
        <v>2.9146764078318954E-2</v>
      </c>
      <c r="F9" s="145">
        <f t="shared" si="0"/>
        <v>4.2068877921539953E-2</v>
      </c>
      <c r="G9" s="154">
        <f t="shared" si="2"/>
        <v>1.7697904895774318E-3</v>
      </c>
    </row>
    <row r="10" spans="2:7" x14ac:dyDescent="0.25">
      <c r="B10" s="459">
        <v>43861</v>
      </c>
      <c r="C10" s="461">
        <v>83.507712999999995</v>
      </c>
      <c r="D10" s="2">
        <v>-3.5145646563882416E-2</v>
      </c>
      <c r="E10" s="144">
        <f t="shared" si="1"/>
        <v>-3.5145646563882416E-2</v>
      </c>
      <c r="F10" s="145">
        <f t="shared" si="0"/>
        <v>-2.2223532720661417E-2</v>
      </c>
      <c r="G10" s="154">
        <f t="shared" si="2"/>
        <v>4.9388540658630868E-4</v>
      </c>
    </row>
    <row r="11" spans="2:7" x14ac:dyDescent="0.25">
      <c r="B11" s="459">
        <v>43889</v>
      </c>
      <c r="C11" s="461">
        <v>77.567307</v>
      </c>
      <c r="D11" s="2">
        <v>-7.1136015903105809E-2</v>
      </c>
      <c r="E11" s="144">
        <f t="shared" si="1"/>
        <v>-7.1136015903105809E-2</v>
      </c>
      <c r="F11" s="145">
        <f t="shared" si="0"/>
        <v>-5.821390205988481E-2</v>
      </c>
      <c r="G11" s="154">
        <f t="shared" si="2"/>
        <v>3.3888583930378612E-3</v>
      </c>
    </row>
    <row r="12" spans="2:7" x14ac:dyDescent="0.25">
      <c r="B12" s="459">
        <v>43921</v>
      </c>
      <c r="C12" s="461">
        <v>65.016891000000001</v>
      </c>
      <c r="D12" s="2">
        <v>-0.16180033167839636</v>
      </c>
      <c r="E12" s="144">
        <f t="shared" si="1"/>
        <v>-0.16180033167839636</v>
      </c>
      <c r="F12" s="145">
        <f t="shared" si="0"/>
        <v>-0.14887821783517535</v>
      </c>
      <c r="G12" s="154">
        <f t="shared" si="2"/>
        <v>2.2164723745777923E-2</v>
      </c>
    </row>
    <row r="13" spans="2:7" x14ac:dyDescent="0.25">
      <c r="B13" s="459">
        <v>43951</v>
      </c>
      <c r="C13" s="461">
        <v>75.886009000000001</v>
      </c>
      <c r="D13" s="2">
        <v>0.1671737579700634</v>
      </c>
      <c r="E13" s="144">
        <f t="shared" si="1"/>
        <v>0.1671737579700634</v>
      </c>
      <c r="F13" s="145">
        <f t="shared" si="0"/>
        <v>0.1800958718132844</v>
      </c>
      <c r="G13" s="154">
        <f t="shared" si="2"/>
        <v>3.2434523044186966E-2</v>
      </c>
    </row>
    <row r="14" spans="2:7" x14ac:dyDescent="0.25">
      <c r="B14" s="459">
        <v>43980</v>
      </c>
      <c r="C14" s="461">
        <v>77.568047000000007</v>
      </c>
      <c r="D14" s="2">
        <v>2.2165324308990986E-2</v>
      </c>
      <c r="E14" s="144">
        <f>+C14/C13-1</f>
        <v>2.2165324308990986E-2</v>
      </c>
      <c r="F14" s="145">
        <f t="shared" si="0"/>
        <v>3.5087438152211985E-2</v>
      </c>
      <c r="G14" s="154">
        <f t="shared" si="2"/>
        <v>1.2311283160853011E-3</v>
      </c>
    </row>
    <row r="15" spans="2:7" x14ac:dyDescent="0.25">
      <c r="B15" s="459">
        <v>44012</v>
      </c>
      <c r="C15" s="461">
        <v>73.191849000000005</v>
      </c>
      <c r="D15" s="2">
        <v>-5.6417534916149203E-2</v>
      </c>
      <c r="E15" s="144">
        <f t="shared" si="1"/>
        <v>-5.6417534916149203E-2</v>
      </c>
      <c r="F15" s="145">
        <f t="shared" si="0"/>
        <v>-4.3495421072928205E-2</v>
      </c>
      <c r="G15" s="154">
        <f t="shared" si="2"/>
        <v>1.8918516543113269E-3</v>
      </c>
    </row>
    <row r="16" spans="2:7" x14ac:dyDescent="0.25">
      <c r="B16" s="462">
        <v>44043</v>
      </c>
      <c r="C16" s="463">
        <v>76.115943999999999</v>
      </c>
      <c r="D16" s="464">
        <v>3.9951101658874499E-2</v>
      </c>
      <c r="E16" s="183">
        <f t="shared" si="1"/>
        <v>3.9951101658874499E-2</v>
      </c>
      <c r="F16" s="146">
        <f t="shared" si="0"/>
        <v>5.2873215502095498E-2</v>
      </c>
      <c r="G16" s="155">
        <f>F16^2</f>
        <v>2.7955769175310318E-3</v>
      </c>
    </row>
    <row r="17" spans="3:7" x14ac:dyDescent="0.25">
      <c r="C17" s="141"/>
      <c r="D17" s="465" t="s">
        <v>93</v>
      </c>
      <c r="E17" s="466">
        <f>AVERAGE(E5:E16)</f>
        <v>-1.2922113843220997E-2</v>
      </c>
      <c r="G17" s="142"/>
    </row>
    <row r="18" spans="3:7" x14ac:dyDescent="0.25">
      <c r="C18" s="141"/>
      <c r="F18" s="148" t="s">
        <v>94</v>
      </c>
      <c r="G18" s="159">
        <f>SUM(G5:G16)</f>
        <v>7.4343204134179636E-2</v>
      </c>
    </row>
    <row r="19" spans="3:7" x14ac:dyDescent="0.25">
      <c r="C19" s="141"/>
      <c r="F19" s="148" t="s">
        <v>95</v>
      </c>
      <c r="G19" s="149">
        <f>G18/12</f>
        <v>6.1952670111816363E-3</v>
      </c>
    </row>
    <row r="20" spans="3:7" x14ac:dyDescent="0.25">
      <c r="C20" s="141"/>
      <c r="E20" s="150"/>
      <c r="F20" s="151" t="s">
        <v>96</v>
      </c>
      <c r="G20" s="152">
        <f>SQRT(G19)</f>
        <v>7.8710018493084066E-2</v>
      </c>
    </row>
    <row r="21" spans="3:7" x14ac:dyDescent="0.25">
      <c r="C21" s="160"/>
      <c r="D21" s="143"/>
      <c r="E21" s="143"/>
      <c r="F21" s="481" t="s">
        <v>97</v>
      </c>
      <c r="G21" s="482">
        <f>_xlfn.STDEV.P(E5:E16)-G20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Earnings Model</vt:lpstr>
      <vt:lpstr>Recon of ASRs</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Gutenberg Research</cp:lastModifiedBy>
  <cp:lastPrinted>2015-01-03T01:11:29Z</cp:lastPrinted>
  <dcterms:created xsi:type="dcterms:W3CDTF">2014-10-18T18:34:10Z</dcterms:created>
  <dcterms:modified xsi:type="dcterms:W3CDTF">2020-10-29T00:36:01Z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