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Users\Gutenberg Research\Documents\AFTER FILES WERE TRANSFERED TO NEW M17\Final Submission\"/>
    </mc:Choice>
  </mc:AlternateContent>
  <xr:revisionPtr revIDLastSave="0" documentId="13_ncr:1_{46BB6BCE-AE9F-417C-9EE1-BA677C3C87CD}" xr6:coauthVersionLast="45" xr6:coauthVersionMax="45" xr10:uidLastSave="{00000000-0000-0000-0000-000000000000}"/>
  <bookViews>
    <workbookView xWindow="-96" yWindow="-96" windowWidth="23232" windowHeight="12552" tabRatio="767" xr2:uid="{00000000-000D-0000-FFFF-FFFF00000000}"/>
  </bookViews>
  <sheets>
    <sheet name="Earnings Model" sheetId="3" r:id="rId1"/>
  </sheets>
  <definedNames>
    <definedName name="DATA">#REF!</definedName>
    <definedName name="_xlnm.Print_Area" localSheetId="0">'Earnings Model'!$B$2:$AB$292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2" i="3" l="1"/>
  <c r="K242" i="3"/>
  <c r="K236" i="3"/>
  <c r="L236" i="3"/>
  <c r="L242" i="3"/>
  <c r="L72" i="3"/>
  <c r="L75" i="3"/>
  <c r="L78" i="3"/>
  <c r="N69" i="3"/>
  <c r="L105" i="3"/>
  <c r="L108" i="3"/>
  <c r="L112" i="3"/>
  <c r="N84" i="3"/>
  <c r="N89" i="3"/>
  <c r="N101" i="3"/>
  <c r="N102" i="3"/>
  <c r="L119" i="3"/>
  <c r="L122" i="3"/>
  <c r="L126" i="3"/>
  <c r="N117" i="3"/>
  <c r="N17" i="3"/>
  <c r="N70" i="3"/>
  <c r="N103" i="3"/>
  <c r="N18" i="3"/>
  <c r="N71" i="3"/>
  <c r="N104" i="3"/>
  <c r="N118" i="3"/>
  <c r="N19" i="3"/>
  <c r="L192" i="3"/>
  <c r="N236" i="3"/>
  <c r="N242" i="3"/>
  <c r="L133" i="3"/>
  <c r="N72" i="3"/>
  <c r="N105" i="3"/>
  <c r="N119" i="3"/>
  <c r="N133" i="3"/>
  <c r="N20" i="3"/>
  <c r="N73" i="3"/>
  <c r="N106" i="3"/>
  <c r="N120" i="3"/>
  <c r="N21" i="3"/>
  <c r="N74" i="3"/>
  <c r="N107" i="3"/>
  <c r="N121" i="3"/>
  <c r="N22" i="3"/>
  <c r="N23" i="3"/>
  <c r="N13" i="3"/>
  <c r="N16" i="3"/>
  <c r="N25" i="3"/>
  <c r="N169" i="3"/>
  <c r="N173" i="3"/>
  <c r="N174" i="3"/>
  <c r="N176" i="3"/>
  <c r="N26" i="3"/>
  <c r="N27" i="3"/>
  <c r="E264" i="3"/>
  <c r="F264" i="3"/>
  <c r="G264" i="3"/>
  <c r="H264" i="3"/>
  <c r="F265" i="3"/>
  <c r="G265" i="3"/>
  <c r="H265" i="3"/>
  <c r="G266" i="3"/>
  <c r="H266" i="3"/>
  <c r="E267" i="3"/>
  <c r="F267" i="3"/>
  <c r="G267" i="3"/>
  <c r="H267" i="3"/>
  <c r="E268" i="3"/>
  <c r="F268" i="3"/>
  <c r="G268" i="3"/>
  <c r="H268" i="3"/>
  <c r="E269" i="3"/>
  <c r="F269" i="3"/>
  <c r="G269" i="3"/>
  <c r="H269" i="3"/>
  <c r="E270" i="3"/>
  <c r="F270" i="3"/>
  <c r="G270" i="3"/>
  <c r="H270" i="3"/>
  <c r="E271" i="3"/>
  <c r="F271" i="3"/>
  <c r="G271" i="3"/>
  <c r="H271" i="3"/>
  <c r="H272" i="3"/>
  <c r="E259" i="3"/>
  <c r="F259" i="3"/>
  <c r="G259" i="3"/>
  <c r="H259" i="3"/>
  <c r="E260" i="3"/>
  <c r="F260" i="3"/>
  <c r="G260" i="3"/>
  <c r="H260" i="3"/>
  <c r="E261" i="3"/>
  <c r="F261" i="3"/>
  <c r="G261" i="3"/>
  <c r="H261" i="3"/>
  <c r="H262" i="3"/>
  <c r="E242" i="3"/>
  <c r="F242" i="3"/>
  <c r="G242" i="3"/>
  <c r="H242" i="3"/>
  <c r="E243" i="3"/>
  <c r="F243" i="3"/>
  <c r="G243" i="3"/>
  <c r="H243" i="3"/>
  <c r="E244" i="3"/>
  <c r="F244" i="3"/>
  <c r="G244" i="3"/>
  <c r="H244" i="3"/>
  <c r="E245" i="3"/>
  <c r="F245" i="3"/>
  <c r="G245" i="3"/>
  <c r="H245" i="3"/>
  <c r="E246" i="3"/>
  <c r="F246" i="3"/>
  <c r="G246" i="3"/>
  <c r="H246" i="3"/>
  <c r="E247" i="3"/>
  <c r="F247" i="3"/>
  <c r="G247" i="3"/>
  <c r="H247" i="3"/>
  <c r="E248" i="3"/>
  <c r="F248" i="3"/>
  <c r="G248" i="3"/>
  <c r="H248" i="3"/>
  <c r="E250" i="3"/>
  <c r="F250" i="3"/>
  <c r="G250" i="3"/>
  <c r="H250" i="3"/>
  <c r="E251" i="3"/>
  <c r="F251" i="3"/>
  <c r="G251" i="3"/>
  <c r="H251" i="3"/>
  <c r="E252" i="3"/>
  <c r="F252" i="3"/>
  <c r="G252" i="3"/>
  <c r="H252" i="3"/>
  <c r="E253" i="3"/>
  <c r="F253" i="3"/>
  <c r="G253" i="3"/>
  <c r="H253" i="3"/>
  <c r="E254" i="3"/>
  <c r="F254" i="3"/>
  <c r="G254" i="3"/>
  <c r="H254" i="3"/>
  <c r="F255" i="3"/>
  <c r="G255" i="3"/>
  <c r="H255" i="3"/>
  <c r="E256" i="3"/>
  <c r="F256" i="3"/>
  <c r="G256" i="3"/>
  <c r="H256" i="3"/>
  <c r="H257" i="3"/>
  <c r="E273" i="3"/>
  <c r="F273" i="3"/>
  <c r="G273" i="3"/>
  <c r="H273" i="3"/>
  <c r="H274" i="3"/>
  <c r="H276" i="3"/>
  <c r="I275" i="3"/>
  <c r="I272" i="3"/>
  <c r="I262" i="3"/>
  <c r="I257" i="3"/>
  <c r="I274" i="3"/>
  <c r="I276" i="3"/>
  <c r="J275" i="3"/>
  <c r="J264" i="3"/>
  <c r="J265" i="3"/>
  <c r="J266" i="3"/>
  <c r="J267" i="3"/>
  <c r="J268" i="3"/>
  <c r="J269" i="3"/>
  <c r="J270" i="3"/>
  <c r="J271" i="3"/>
  <c r="J272" i="3"/>
  <c r="J259" i="3"/>
  <c r="J260" i="3"/>
  <c r="J261" i="3"/>
  <c r="J262" i="3"/>
  <c r="J243" i="3"/>
  <c r="J244" i="3"/>
  <c r="J245" i="3"/>
  <c r="J246" i="3"/>
  <c r="J247" i="3"/>
  <c r="J248" i="3"/>
  <c r="J250" i="3"/>
  <c r="J251" i="3"/>
  <c r="J252" i="3"/>
  <c r="J253" i="3"/>
  <c r="J254" i="3"/>
  <c r="J255" i="3"/>
  <c r="J256" i="3"/>
  <c r="J257" i="3"/>
  <c r="J273" i="3"/>
  <c r="J274" i="3"/>
  <c r="J276" i="3"/>
  <c r="K275" i="3"/>
  <c r="K264" i="3"/>
  <c r="K266" i="3"/>
  <c r="K267" i="3"/>
  <c r="K268" i="3"/>
  <c r="K269" i="3"/>
  <c r="K270" i="3"/>
  <c r="K271" i="3"/>
  <c r="K272" i="3"/>
  <c r="K259" i="3"/>
  <c r="K260" i="3"/>
  <c r="K261" i="3"/>
  <c r="K262" i="3"/>
  <c r="K243" i="3"/>
  <c r="K244" i="3"/>
  <c r="K245" i="3"/>
  <c r="K246" i="3"/>
  <c r="K247" i="3"/>
  <c r="K248" i="3"/>
  <c r="K250" i="3"/>
  <c r="K251" i="3"/>
  <c r="K252" i="3"/>
  <c r="K253" i="3"/>
  <c r="K254" i="3"/>
  <c r="K255" i="3"/>
  <c r="K256" i="3"/>
  <c r="K257" i="3"/>
  <c r="K273" i="3"/>
  <c r="K274" i="3"/>
  <c r="K276" i="3"/>
  <c r="K184" i="3"/>
  <c r="J184" i="3"/>
  <c r="K151" i="3"/>
  <c r="L151" i="3"/>
  <c r="L29" i="3"/>
  <c r="N29" i="3"/>
  <c r="N31" i="3"/>
  <c r="N32" i="3"/>
  <c r="N178" i="3"/>
  <c r="N36" i="3"/>
  <c r="N37" i="3"/>
  <c r="N75" i="3"/>
  <c r="N78" i="3"/>
  <c r="O69" i="3"/>
  <c r="N108" i="3"/>
  <c r="N112" i="3"/>
  <c r="O102" i="3"/>
  <c r="N122" i="3"/>
  <c r="N126" i="3"/>
  <c r="O117" i="3"/>
  <c r="O17" i="3"/>
  <c r="O70" i="3"/>
  <c r="O103" i="3"/>
  <c r="O18" i="3"/>
  <c r="O71" i="3"/>
  <c r="O104" i="3"/>
  <c r="O118" i="3"/>
  <c r="O19" i="3"/>
  <c r="N260" i="3"/>
  <c r="N192" i="3"/>
  <c r="O236" i="3"/>
  <c r="O242" i="3"/>
  <c r="O72" i="3"/>
  <c r="O105" i="3"/>
  <c r="O119" i="3"/>
  <c r="O133" i="3"/>
  <c r="O20" i="3"/>
  <c r="O73" i="3"/>
  <c r="O106" i="3"/>
  <c r="O120" i="3"/>
  <c r="O21" i="3"/>
  <c r="O74" i="3"/>
  <c r="O107" i="3"/>
  <c r="O121" i="3"/>
  <c r="O22" i="3"/>
  <c r="O23" i="3"/>
  <c r="O25" i="3"/>
  <c r="O169" i="3"/>
  <c r="O173" i="3"/>
  <c r="O174" i="3"/>
  <c r="O176" i="3"/>
  <c r="O26" i="3"/>
  <c r="O27" i="3"/>
  <c r="O29" i="3"/>
  <c r="O31" i="3"/>
  <c r="O32" i="3"/>
  <c r="O178" i="3"/>
  <c r="O36" i="3"/>
  <c r="O37" i="3"/>
  <c r="O75" i="3"/>
  <c r="O78" i="3"/>
  <c r="P69" i="3"/>
  <c r="O108" i="3"/>
  <c r="O112" i="3"/>
  <c r="P102" i="3"/>
  <c r="O122" i="3"/>
  <c r="O126" i="3"/>
  <c r="P117" i="3"/>
  <c r="P17" i="3"/>
  <c r="P70" i="3"/>
  <c r="P103" i="3"/>
  <c r="P18" i="3"/>
  <c r="P71" i="3"/>
  <c r="P104" i="3"/>
  <c r="P118" i="3"/>
  <c r="P19" i="3"/>
  <c r="O192" i="3"/>
  <c r="P236" i="3"/>
  <c r="P242" i="3"/>
  <c r="P72" i="3"/>
  <c r="P105" i="3"/>
  <c r="P119" i="3"/>
  <c r="P133" i="3"/>
  <c r="P20" i="3"/>
  <c r="P73" i="3"/>
  <c r="P106" i="3"/>
  <c r="P120" i="3"/>
  <c r="P21" i="3"/>
  <c r="P74" i="3"/>
  <c r="P107" i="3"/>
  <c r="P121" i="3"/>
  <c r="P22" i="3"/>
  <c r="P23" i="3"/>
  <c r="P25" i="3"/>
  <c r="P169" i="3"/>
  <c r="P173" i="3"/>
  <c r="P174" i="3"/>
  <c r="P176" i="3"/>
  <c r="P26" i="3"/>
  <c r="P27" i="3"/>
  <c r="P29" i="3"/>
  <c r="P31" i="3"/>
  <c r="P32" i="3"/>
  <c r="P178" i="3"/>
  <c r="P36" i="3"/>
  <c r="P37" i="3"/>
  <c r="P75" i="3"/>
  <c r="P78" i="3"/>
  <c r="Q69" i="3"/>
  <c r="P108" i="3"/>
  <c r="P112" i="3"/>
  <c r="Q102" i="3"/>
  <c r="P122" i="3"/>
  <c r="P126" i="3"/>
  <c r="Q117" i="3"/>
  <c r="Q17" i="3"/>
  <c r="Q70" i="3"/>
  <c r="Q103" i="3"/>
  <c r="Q18" i="3"/>
  <c r="Q71" i="3"/>
  <c r="Q104" i="3"/>
  <c r="Q118" i="3"/>
  <c r="Q19" i="3"/>
  <c r="P192" i="3"/>
  <c r="Q236" i="3"/>
  <c r="Q242" i="3"/>
  <c r="Q72" i="3"/>
  <c r="Q105" i="3"/>
  <c r="Q119" i="3"/>
  <c r="Q133" i="3"/>
  <c r="Q20" i="3"/>
  <c r="Q73" i="3"/>
  <c r="Q106" i="3"/>
  <c r="Q120" i="3"/>
  <c r="Q21" i="3"/>
  <c r="Q74" i="3"/>
  <c r="Q107" i="3"/>
  <c r="Q121" i="3"/>
  <c r="Q22" i="3"/>
  <c r="Q23" i="3"/>
  <c r="Q25" i="3"/>
  <c r="Q169" i="3"/>
  <c r="Q173" i="3"/>
  <c r="Q174" i="3"/>
  <c r="Q175" i="3"/>
  <c r="Q176" i="3"/>
  <c r="Q26" i="3"/>
  <c r="Q27" i="3"/>
  <c r="Q29" i="3"/>
  <c r="Q31" i="3"/>
  <c r="Q32" i="3"/>
  <c r="Q178" i="3"/>
  <c r="Q36" i="3"/>
  <c r="Q37" i="3"/>
  <c r="R37" i="3"/>
  <c r="N33" i="3"/>
  <c r="N35" i="3"/>
  <c r="R17" i="3"/>
  <c r="R18" i="3"/>
  <c r="R19" i="3"/>
  <c r="R20" i="3"/>
  <c r="R21" i="3"/>
  <c r="R22" i="3"/>
  <c r="R23" i="3"/>
  <c r="R13" i="3"/>
  <c r="R16" i="3"/>
  <c r="R25" i="3"/>
  <c r="R29" i="3"/>
  <c r="R31" i="3"/>
  <c r="R32" i="3"/>
  <c r="R33" i="3"/>
  <c r="R35" i="3"/>
  <c r="O33" i="3"/>
  <c r="O35" i="3"/>
  <c r="P33" i="3"/>
  <c r="P35" i="3"/>
  <c r="Q33" i="3"/>
  <c r="Q35" i="3"/>
  <c r="R39" i="3"/>
  <c r="R42" i="3"/>
  <c r="C299" i="3"/>
  <c r="C6" i="3"/>
  <c r="Q75" i="3"/>
  <c r="Q78" i="3"/>
  <c r="S69" i="3"/>
  <c r="S70" i="3"/>
  <c r="S71" i="3"/>
  <c r="Q192" i="3"/>
  <c r="S236" i="3"/>
  <c r="S242" i="3"/>
  <c r="S72" i="3"/>
  <c r="S73" i="3"/>
  <c r="S74" i="3"/>
  <c r="S75" i="3"/>
  <c r="S78" i="3"/>
  <c r="T69" i="3"/>
  <c r="T70" i="3"/>
  <c r="T71" i="3"/>
  <c r="S84" i="3"/>
  <c r="S89" i="3"/>
  <c r="S13" i="3"/>
  <c r="S16" i="3"/>
  <c r="S260" i="3"/>
  <c r="S192" i="3"/>
  <c r="T236" i="3"/>
  <c r="T242" i="3"/>
  <c r="S105" i="3"/>
  <c r="S119" i="3"/>
  <c r="S133" i="3"/>
  <c r="T72" i="3"/>
  <c r="T73" i="3"/>
  <c r="T74" i="3"/>
  <c r="T75" i="3"/>
  <c r="T78" i="3"/>
  <c r="U69" i="3"/>
  <c r="U70" i="3"/>
  <c r="U71" i="3"/>
  <c r="T192" i="3"/>
  <c r="U236" i="3"/>
  <c r="U242" i="3"/>
  <c r="T105" i="3"/>
  <c r="T119" i="3"/>
  <c r="T133" i="3"/>
  <c r="U72" i="3"/>
  <c r="U73" i="3"/>
  <c r="U74" i="3"/>
  <c r="U75" i="3"/>
  <c r="U78" i="3"/>
  <c r="V69" i="3"/>
  <c r="V70" i="3"/>
  <c r="V71" i="3"/>
  <c r="U192" i="3"/>
  <c r="V236" i="3"/>
  <c r="V242" i="3"/>
  <c r="U105" i="3"/>
  <c r="U119" i="3"/>
  <c r="U133" i="3"/>
  <c r="V72" i="3"/>
  <c r="V73" i="3"/>
  <c r="V74" i="3"/>
  <c r="V75" i="3"/>
  <c r="V78" i="3"/>
  <c r="X69" i="3"/>
  <c r="X70" i="3"/>
  <c r="X71" i="3"/>
  <c r="V192" i="3"/>
  <c r="X236" i="3"/>
  <c r="X242" i="3"/>
  <c r="V105" i="3"/>
  <c r="V119" i="3"/>
  <c r="V133" i="3"/>
  <c r="X72" i="3"/>
  <c r="X73" i="3"/>
  <c r="X74" i="3"/>
  <c r="X75" i="3"/>
  <c r="X78" i="3"/>
  <c r="Y69" i="3"/>
  <c r="Y70" i="3"/>
  <c r="Y71" i="3"/>
  <c r="X84" i="3"/>
  <c r="X89" i="3"/>
  <c r="X13" i="3"/>
  <c r="X16" i="3"/>
  <c r="X260" i="3"/>
  <c r="X192" i="3"/>
  <c r="Y236" i="3"/>
  <c r="Y242" i="3"/>
  <c r="X105" i="3"/>
  <c r="X119" i="3"/>
  <c r="X133" i="3"/>
  <c r="Y72" i="3"/>
  <c r="Y73" i="3"/>
  <c r="Y74" i="3"/>
  <c r="Y75" i="3"/>
  <c r="Y78" i="3"/>
  <c r="Z69" i="3"/>
  <c r="Z70" i="3"/>
  <c r="Z71" i="3"/>
  <c r="Y192" i="3"/>
  <c r="Z236" i="3"/>
  <c r="Z242" i="3"/>
  <c r="Y105" i="3"/>
  <c r="Y119" i="3"/>
  <c r="Y133" i="3"/>
  <c r="Z72" i="3"/>
  <c r="Z73" i="3"/>
  <c r="Z74" i="3"/>
  <c r="Z75" i="3"/>
  <c r="Z78" i="3"/>
  <c r="AA69" i="3"/>
  <c r="AA70" i="3"/>
  <c r="AA71" i="3"/>
  <c r="Z192" i="3"/>
  <c r="AA236" i="3"/>
  <c r="AA242" i="3"/>
  <c r="Z105" i="3"/>
  <c r="Z119" i="3"/>
  <c r="Z133" i="3"/>
  <c r="AA72" i="3"/>
  <c r="AA73" i="3"/>
  <c r="AA74" i="3"/>
  <c r="AA75" i="3"/>
  <c r="AA78" i="3"/>
  <c r="AC69" i="3"/>
  <c r="AC70" i="3"/>
  <c r="AC71" i="3"/>
  <c r="AA192" i="3"/>
  <c r="AC236" i="3"/>
  <c r="AC242" i="3"/>
  <c r="AA105" i="3"/>
  <c r="AA119" i="3"/>
  <c r="AA133" i="3"/>
  <c r="AC72" i="3"/>
  <c r="AC73" i="3"/>
  <c r="AC74" i="3"/>
  <c r="AC75" i="3"/>
  <c r="AC78" i="3"/>
  <c r="AD69" i="3"/>
  <c r="AD70" i="3"/>
  <c r="AD71" i="3"/>
  <c r="AC84" i="3"/>
  <c r="AC89" i="3"/>
  <c r="AC13" i="3"/>
  <c r="AC16" i="3"/>
  <c r="AC260" i="3"/>
  <c r="AC192" i="3"/>
  <c r="AD236" i="3"/>
  <c r="AD242" i="3"/>
  <c r="AC105" i="3"/>
  <c r="AC119" i="3"/>
  <c r="AC133" i="3"/>
  <c r="AD72" i="3"/>
  <c r="AD73" i="3"/>
  <c r="AD74" i="3"/>
  <c r="AD75" i="3"/>
  <c r="AD78" i="3"/>
  <c r="AE69" i="3"/>
  <c r="AE70" i="3"/>
  <c r="AE71" i="3"/>
  <c r="AD192" i="3"/>
  <c r="AE236" i="3"/>
  <c r="AE242" i="3"/>
  <c r="AD105" i="3"/>
  <c r="AD119" i="3"/>
  <c r="AD133" i="3"/>
  <c r="AE72" i="3"/>
  <c r="AE73" i="3"/>
  <c r="AE74" i="3"/>
  <c r="AE75" i="3"/>
  <c r="AE78" i="3"/>
  <c r="AF69" i="3"/>
  <c r="AF70" i="3"/>
  <c r="AF71" i="3"/>
  <c r="AE192" i="3"/>
  <c r="AF236" i="3"/>
  <c r="AF242" i="3"/>
  <c r="AE105" i="3"/>
  <c r="AE119" i="3"/>
  <c r="AE133" i="3"/>
  <c r="AF72" i="3"/>
  <c r="AF73" i="3"/>
  <c r="AF74" i="3"/>
  <c r="AF75" i="3"/>
  <c r="AF78" i="3"/>
  <c r="AH69" i="3"/>
  <c r="Q108" i="3"/>
  <c r="Q112" i="3"/>
  <c r="S101" i="3"/>
  <c r="S102" i="3"/>
  <c r="S103" i="3"/>
  <c r="S104" i="3"/>
  <c r="S106" i="3"/>
  <c r="S107" i="3"/>
  <c r="S108" i="3"/>
  <c r="S112" i="3"/>
  <c r="T102" i="3"/>
  <c r="T103" i="3"/>
  <c r="T104" i="3"/>
  <c r="T106" i="3"/>
  <c r="T107" i="3"/>
  <c r="T108" i="3"/>
  <c r="T112" i="3"/>
  <c r="U102" i="3"/>
  <c r="U103" i="3"/>
  <c r="U104" i="3"/>
  <c r="U106" i="3"/>
  <c r="U107" i="3"/>
  <c r="U108" i="3"/>
  <c r="U112" i="3"/>
  <c r="V102" i="3"/>
  <c r="V103" i="3"/>
  <c r="V104" i="3"/>
  <c r="V106" i="3"/>
  <c r="V107" i="3"/>
  <c r="V108" i="3"/>
  <c r="V112" i="3"/>
  <c r="X101" i="3"/>
  <c r="X102" i="3"/>
  <c r="X103" i="3"/>
  <c r="X104" i="3"/>
  <c r="X106" i="3"/>
  <c r="X107" i="3"/>
  <c r="X108" i="3"/>
  <c r="X112" i="3"/>
  <c r="Y102" i="3"/>
  <c r="Y103" i="3"/>
  <c r="Y104" i="3"/>
  <c r="Y106" i="3"/>
  <c r="Y107" i="3"/>
  <c r="Y108" i="3"/>
  <c r="Y112" i="3"/>
  <c r="Z102" i="3"/>
  <c r="Z103" i="3"/>
  <c r="Z104" i="3"/>
  <c r="Z106" i="3"/>
  <c r="Z107" i="3"/>
  <c r="Z108" i="3"/>
  <c r="Z112" i="3"/>
  <c r="AA102" i="3"/>
  <c r="AA103" i="3"/>
  <c r="AA104" i="3"/>
  <c r="AA106" i="3"/>
  <c r="AA107" i="3"/>
  <c r="AA108" i="3"/>
  <c r="AA112" i="3"/>
  <c r="AC101" i="3"/>
  <c r="AC102" i="3"/>
  <c r="AC103" i="3"/>
  <c r="AC104" i="3"/>
  <c r="AC106" i="3"/>
  <c r="AC107" i="3"/>
  <c r="AC108" i="3"/>
  <c r="AC112" i="3"/>
  <c r="AD102" i="3"/>
  <c r="AD103" i="3"/>
  <c r="AD104" i="3"/>
  <c r="AD106" i="3"/>
  <c r="AD107" i="3"/>
  <c r="AD108" i="3"/>
  <c r="AD112" i="3"/>
  <c r="AE102" i="3"/>
  <c r="AE103" i="3"/>
  <c r="AE104" i="3"/>
  <c r="AE106" i="3"/>
  <c r="AE107" i="3"/>
  <c r="AE108" i="3"/>
  <c r="AE112" i="3"/>
  <c r="AF102" i="3"/>
  <c r="AF103" i="3"/>
  <c r="AF104" i="3"/>
  <c r="AF105" i="3"/>
  <c r="AF106" i="3"/>
  <c r="AF107" i="3"/>
  <c r="AF108" i="3"/>
  <c r="AF112" i="3"/>
  <c r="AH84" i="3"/>
  <c r="AH89" i="3"/>
  <c r="AH101" i="3"/>
  <c r="AH102" i="3"/>
  <c r="Q122" i="3"/>
  <c r="Q126" i="3"/>
  <c r="S117" i="3"/>
  <c r="S118" i="3"/>
  <c r="S120" i="3"/>
  <c r="S121" i="3"/>
  <c r="S122" i="3"/>
  <c r="S126" i="3"/>
  <c r="T117" i="3"/>
  <c r="T118" i="3"/>
  <c r="T120" i="3"/>
  <c r="T121" i="3"/>
  <c r="T122" i="3"/>
  <c r="T126" i="3"/>
  <c r="U117" i="3"/>
  <c r="U118" i="3"/>
  <c r="U120" i="3"/>
  <c r="U121" i="3"/>
  <c r="U122" i="3"/>
  <c r="U126" i="3"/>
  <c r="V117" i="3"/>
  <c r="V118" i="3"/>
  <c r="V120" i="3"/>
  <c r="V121" i="3"/>
  <c r="V122" i="3"/>
  <c r="V126" i="3"/>
  <c r="X117" i="3"/>
  <c r="X118" i="3"/>
  <c r="X120" i="3"/>
  <c r="X121" i="3"/>
  <c r="X122" i="3"/>
  <c r="X126" i="3"/>
  <c r="Y117" i="3"/>
  <c r="Y118" i="3"/>
  <c r="Y120" i="3"/>
  <c r="Y121" i="3"/>
  <c r="Y122" i="3"/>
  <c r="Y126" i="3"/>
  <c r="Z117" i="3"/>
  <c r="Z118" i="3"/>
  <c r="Z120" i="3"/>
  <c r="Z121" i="3"/>
  <c r="Z122" i="3"/>
  <c r="Z126" i="3"/>
  <c r="AA117" i="3"/>
  <c r="AA118" i="3"/>
  <c r="AA120" i="3"/>
  <c r="AA121" i="3"/>
  <c r="AA122" i="3"/>
  <c r="AA126" i="3"/>
  <c r="AC117" i="3"/>
  <c r="AC118" i="3"/>
  <c r="AC120" i="3"/>
  <c r="AC121" i="3"/>
  <c r="AC122" i="3"/>
  <c r="AC126" i="3"/>
  <c r="AD117" i="3"/>
  <c r="AD118" i="3"/>
  <c r="AD120" i="3"/>
  <c r="AD121" i="3"/>
  <c r="AD122" i="3"/>
  <c r="AD126" i="3"/>
  <c r="AE117" i="3"/>
  <c r="AE118" i="3"/>
  <c r="AE120" i="3"/>
  <c r="AE121" i="3"/>
  <c r="AE122" i="3"/>
  <c r="AE126" i="3"/>
  <c r="AF117" i="3"/>
  <c r="AF118" i="3"/>
  <c r="AF119" i="3"/>
  <c r="AF120" i="3"/>
  <c r="AF121" i="3"/>
  <c r="AF122" i="3"/>
  <c r="AF126" i="3"/>
  <c r="AH117" i="3"/>
  <c r="AH17" i="3"/>
  <c r="AH70" i="3"/>
  <c r="AH71" i="3"/>
  <c r="AF192" i="3"/>
  <c r="AH236" i="3"/>
  <c r="AH242" i="3"/>
  <c r="AF133" i="3"/>
  <c r="AH72" i="3"/>
  <c r="AH73" i="3"/>
  <c r="AH74" i="3"/>
  <c r="AH75" i="3"/>
  <c r="AH78" i="3"/>
  <c r="AI69" i="3"/>
  <c r="AH103" i="3"/>
  <c r="AH104" i="3"/>
  <c r="AH105" i="3"/>
  <c r="AH106" i="3"/>
  <c r="AH107" i="3"/>
  <c r="AH108" i="3"/>
  <c r="AH112" i="3"/>
  <c r="AI102" i="3"/>
  <c r="AH118" i="3"/>
  <c r="AH119" i="3"/>
  <c r="AH120" i="3"/>
  <c r="AH121" i="3"/>
  <c r="AH122" i="3"/>
  <c r="AH126" i="3"/>
  <c r="AI117" i="3"/>
  <c r="AI17" i="3"/>
  <c r="AI70" i="3"/>
  <c r="AI71" i="3"/>
  <c r="AH13" i="3"/>
  <c r="AH16" i="3"/>
  <c r="AH260" i="3"/>
  <c r="AH192" i="3"/>
  <c r="AI236" i="3"/>
  <c r="AI242" i="3"/>
  <c r="AH133" i="3"/>
  <c r="AI72" i="3"/>
  <c r="AI73" i="3"/>
  <c r="AI74" i="3"/>
  <c r="AI75" i="3"/>
  <c r="AI78" i="3"/>
  <c r="AJ69" i="3"/>
  <c r="AI103" i="3"/>
  <c r="AI104" i="3"/>
  <c r="AI105" i="3"/>
  <c r="AI106" i="3"/>
  <c r="AI107" i="3"/>
  <c r="AI108" i="3"/>
  <c r="AI112" i="3"/>
  <c r="AJ102" i="3"/>
  <c r="AI118" i="3"/>
  <c r="AI119" i="3"/>
  <c r="AI120" i="3"/>
  <c r="AI121" i="3"/>
  <c r="AI122" i="3"/>
  <c r="AI126" i="3"/>
  <c r="AJ117" i="3"/>
  <c r="AJ17" i="3"/>
  <c r="AJ70" i="3"/>
  <c r="AJ71" i="3"/>
  <c r="AI192" i="3"/>
  <c r="AJ236" i="3"/>
  <c r="AJ242" i="3"/>
  <c r="AI133" i="3"/>
  <c r="AJ72" i="3"/>
  <c r="AJ73" i="3"/>
  <c r="AJ74" i="3"/>
  <c r="AJ75" i="3"/>
  <c r="AJ78" i="3"/>
  <c r="AK69" i="3"/>
  <c r="AJ103" i="3"/>
  <c r="AJ104" i="3"/>
  <c r="AJ105" i="3"/>
  <c r="AJ106" i="3"/>
  <c r="AJ107" i="3"/>
  <c r="AJ108" i="3"/>
  <c r="AJ112" i="3"/>
  <c r="AK102" i="3"/>
  <c r="AJ118" i="3"/>
  <c r="AJ119" i="3"/>
  <c r="AJ120" i="3"/>
  <c r="AJ121" i="3"/>
  <c r="AJ122" i="3"/>
  <c r="AJ126" i="3"/>
  <c r="AK117" i="3"/>
  <c r="AK17" i="3"/>
  <c r="AL17" i="3"/>
  <c r="AH18" i="3"/>
  <c r="AI18" i="3"/>
  <c r="AJ18" i="3"/>
  <c r="AK70" i="3"/>
  <c r="AK103" i="3"/>
  <c r="AK18" i="3"/>
  <c r="AL18" i="3"/>
  <c r="AH19" i="3"/>
  <c r="AI19" i="3"/>
  <c r="AJ19" i="3"/>
  <c r="AK71" i="3"/>
  <c r="AK104" i="3"/>
  <c r="AK118" i="3"/>
  <c r="AK19" i="3"/>
  <c r="AL19" i="3"/>
  <c r="AH20" i="3"/>
  <c r="AI20" i="3"/>
  <c r="AJ133" i="3"/>
  <c r="AJ20" i="3"/>
  <c r="AJ192" i="3"/>
  <c r="AK236" i="3"/>
  <c r="AK242" i="3"/>
  <c r="AK72" i="3"/>
  <c r="AK105" i="3"/>
  <c r="AK119" i="3"/>
  <c r="AK133" i="3"/>
  <c r="AK20" i="3"/>
  <c r="AL20" i="3"/>
  <c r="AH21" i="3"/>
  <c r="AI21" i="3"/>
  <c r="AJ21" i="3"/>
  <c r="AK73" i="3"/>
  <c r="AK106" i="3"/>
  <c r="AK120" i="3"/>
  <c r="AK21" i="3"/>
  <c r="AL21" i="3"/>
  <c r="AH22" i="3"/>
  <c r="AI22" i="3"/>
  <c r="AJ22" i="3"/>
  <c r="AK74" i="3"/>
  <c r="AK107" i="3"/>
  <c r="AK121" i="3"/>
  <c r="AK22" i="3"/>
  <c r="AL22" i="3"/>
  <c r="AL23" i="3"/>
  <c r="AL13" i="3"/>
  <c r="AL16" i="3"/>
  <c r="AL25" i="3"/>
  <c r="S29" i="3"/>
  <c r="T29" i="3"/>
  <c r="U29" i="3"/>
  <c r="V29" i="3"/>
  <c r="X29" i="3"/>
  <c r="Y29" i="3"/>
  <c r="Z29" i="3"/>
  <c r="AA29" i="3"/>
  <c r="AC29" i="3"/>
  <c r="AD29" i="3"/>
  <c r="AE29" i="3"/>
  <c r="AF29" i="3"/>
  <c r="AH29" i="3"/>
  <c r="AI29" i="3"/>
  <c r="AJ29" i="3"/>
  <c r="AK29" i="3"/>
  <c r="AL29" i="3"/>
  <c r="AL31" i="3"/>
  <c r="AH23" i="3"/>
  <c r="AH25" i="3"/>
  <c r="AH31" i="3"/>
  <c r="AH32" i="3"/>
  <c r="AI23" i="3"/>
  <c r="AI25" i="3"/>
  <c r="AI31" i="3"/>
  <c r="AI32" i="3"/>
  <c r="AJ23" i="3"/>
  <c r="AJ25" i="3"/>
  <c r="AJ31" i="3"/>
  <c r="AJ32" i="3"/>
  <c r="AK23" i="3"/>
  <c r="AK25" i="3"/>
  <c r="AK31" i="3"/>
  <c r="AK32" i="3"/>
  <c r="AL32" i="3"/>
  <c r="AL33" i="3"/>
  <c r="AL241" i="3"/>
  <c r="AL242" i="3"/>
  <c r="AL243" i="3"/>
  <c r="AL244" i="3"/>
  <c r="AH245" i="3"/>
  <c r="AI245" i="3"/>
  <c r="AJ245" i="3"/>
  <c r="AK245" i="3"/>
  <c r="AL245" i="3"/>
  <c r="AL246" i="3"/>
  <c r="K288" i="3"/>
  <c r="L288" i="3"/>
  <c r="N288" i="3"/>
  <c r="O288" i="3"/>
  <c r="P288" i="3"/>
  <c r="Q288" i="3"/>
  <c r="S288" i="3"/>
  <c r="T288" i="3"/>
  <c r="U288" i="3"/>
  <c r="V288" i="3"/>
  <c r="X288" i="3"/>
  <c r="Y288" i="3"/>
  <c r="Z288" i="3"/>
  <c r="AA288" i="3"/>
  <c r="AC288" i="3"/>
  <c r="AD288" i="3"/>
  <c r="AE288" i="3"/>
  <c r="AF288" i="3"/>
  <c r="AH288" i="3"/>
  <c r="AH247" i="3"/>
  <c r="AI288" i="3"/>
  <c r="AI247" i="3"/>
  <c r="AJ288" i="3"/>
  <c r="AJ247" i="3"/>
  <c r="AK288" i="3"/>
  <c r="AK247" i="3"/>
  <c r="AL247" i="3"/>
  <c r="AH186" i="3"/>
  <c r="AH250" i="3"/>
  <c r="AI250" i="3"/>
  <c r="AL250" i="3"/>
  <c r="AH187" i="3"/>
  <c r="AF17" i="3"/>
  <c r="AF187" i="3"/>
  <c r="AH251" i="3"/>
  <c r="AI187" i="3"/>
  <c r="AI251" i="3"/>
  <c r="AJ187" i="3"/>
  <c r="AJ251" i="3"/>
  <c r="AK187" i="3"/>
  <c r="AK251" i="3"/>
  <c r="AL251" i="3"/>
  <c r="AL252" i="3"/>
  <c r="AH200" i="3"/>
  <c r="AF21" i="3"/>
  <c r="AF200" i="3"/>
  <c r="AH253" i="3"/>
  <c r="AI200" i="3"/>
  <c r="AI253" i="3"/>
  <c r="AJ200" i="3"/>
  <c r="AJ253" i="3"/>
  <c r="AK200" i="3"/>
  <c r="AK253" i="3"/>
  <c r="AL253" i="3"/>
  <c r="AL254" i="3"/>
  <c r="AL255" i="3"/>
  <c r="AC17" i="3"/>
  <c r="AC18" i="3"/>
  <c r="AC19" i="3"/>
  <c r="AC20" i="3"/>
  <c r="AC21" i="3"/>
  <c r="AC22" i="3"/>
  <c r="AC23" i="3"/>
  <c r="AA17" i="3"/>
  <c r="AA18" i="3"/>
  <c r="AA19" i="3"/>
  <c r="AA20" i="3"/>
  <c r="AA21" i="3"/>
  <c r="AA22" i="3"/>
  <c r="AA23" i="3"/>
  <c r="Z17" i="3"/>
  <c r="Z18" i="3"/>
  <c r="Z19" i="3"/>
  <c r="Z20" i="3"/>
  <c r="Z21" i="3"/>
  <c r="Z22" i="3"/>
  <c r="Z23" i="3"/>
  <c r="Y17" i="3"/>
  <c r="Y18" i="3"/>
  <c r="Y19" i="3"/>
  <c r="Y20" i="3"/>
  <c r="Y21" i="3"/>
  <c r="Y22" i="3"/>
  <c r="Y23" i="3"/>
  <c r="X17" i="3"/>
  <c r="X18" i="3"/>
  <c r="X19" i="3"/>
  <c r="X20" i="3"/>
  <c r="X21" i="3"/>
  <c r="X22" i="3"/>
  <c r="X23" i="3"/>
  <c r="V17" i="3"/>
  <c r="V18" i="3"/>
  <c r="V19" i="3"/>
  <c r="V20" i="3"/>
  <c r="V21" i="3"/>
  <c r="V22" i="3"/>
  <c r="V23" i="3"/>
  <c r="U17" i="3"/>
  <c r="U18" i="3"/>
  <c r="U19" i="3"/>
  <c r="U20" i="3"/>
  <c r="U21" i="3"/>
  <c r="U22" i="3"/>
  <c r="U23" i="3"/>
  <c r="T17" i="3"/>
  <c r="T18" i="3"/>
  <c r="T19" i="3"/>
  <c r="T20" i="3"/>
  <c r="T21" i="3"/>
  <c r="T22" i="3"/>
  <c r="T23" i="3"/>
  <c r="S17" i="3"/>
  <c r="S18" i="3"/>
  <c r="S19" i="3"/>
  <c r="S20" i="3"/>
  <c r="S21" i="3"/>
  <c r="S22" i="3"/>
  <c r="S23" i="3"/>
  <c r="L20" i="3"/>
  <c r="L23" i="3"/>
  <c r="Q201" i="3"/>
  <c r="S201" i="3"/>
  <c r="T201" i="3"/>
  <c r="U201" i="3"/>
  <c r="V201" i="3"/>
  <c r="X201" i="3"/>
  <c r="Y201" i="3"/>
  <c r="Z201" i="3"/>
  <c r="AA201" i="3"/>
  <c r="AC201" i="3"/>
  <c r="AD201" i="3"/>
  <c r="AE201" i="3"/>
  <c r="AF201" i="3"/>
  <c r="AH201" i="3"/>
  <c r="AH256" i="3"/>
  <c r="AD17" i="3"/>
  <c r="AD18" i="3"/>
  <c r="AD19" i="3"/>
  <c r="AD20" i="3"/>
  <c r="AD21" i="3"/>
  <c r="AD22" i="3"/>
  <c r="AD23" i="3"/>
  <c r="AI201" i="3"/>
  <c r="AI256" i="3"/>
  <c r="AE17" i="3"/>
  <c r="AE18" i="3"/>
  <c r="AE19" i="3"/>
  <c r="AE20" i="3"/>
  <c r="AE21" i="3"/>
  <c r="AE22" i="3"/>
  <c r="AE23" i="3"/>
  <c r="AJ201" i="3"/>
  <c r="AJ256" i="3"/>
  <c r="AF18" i="3"/>
  <c r="AF19" i="3"/>
  <c r="AF20" i="3"/>
  <c r="AF22" i="3"/>
  <c r="AF23" i="3"/>
  <c r="AK201" i="3"/>
  <c r="AK256" i="3"/>
  <c r="AL256" i="3"/>
  <c r="AL257" i="3"/>
  <c r="L25" i="3"/>
  <c r="L31" i="3"/>
  <c r="L32" i="3"/>
  <c r="M32" i="3"/>
  <c r="M20" i="3"/>
  <c r="M23" i="3"/>
  <c r="M25" i="3"/>
  <c r="M29" i="3"/>
  <c r="M31" i="3"/>
  <c r="M150" i="3"/>
  <c r="C314" i="3"/>
  <c r="C315" i="3"/>
  <c r="C321" i="3"/>
  <c r="C323" i="3"/>
  <c r="N241" i="3"/>
  <c r="N245" i="3"/>
  <c r="N247" i="3"/>
  <c r="N187" i="3"/>
  <c r="N251" i="3"/>
  <c r="N200" i="3"/>
  <c r="N253" i="3"/>
  <c r="N186" i="3"/>
  <c r="N250" i="3"/>
  <c r="N257" i="3"/>
  <c r="N277" i="3"/>
  <c r="O241" i="3"/>
  <c r="O245" i="3"/>
  <c r="O247" i="3"/>
  <c r="O187" i="3"/>
  <c r="O251" i="3"/>
  <c r="O200" i="3"/>
  <c r="O253" i="3"/>
  <c r="O250" i="3"/>
  <c r="O257" i="3"/>
  <c r="O277" i="3"/>
  <c r="P241" i="3"/>
  <c r="P245" i="3"/>
  <c r="P247" i="3"/>
  <c r="P187" i="3"/>
  <c r="P251" i="3"/>
  <c r="P200" i="3"/>
  <c r="P253" i="3"/>
  <c r="P257" i="3"/>
  <c r="P277" i="3"/>
  <c r="Q241" i="3"/>
  <c r="Q245" i="3"/>
  <c r="Q247" i="3"/>
  <c r="Q187" i="3"/>
  <c r="Q251" i="3"/>
  <c r="Q200" i="3"/>
  <c r="Q253" i="3"/>
  <c r="Q256" i="3"/>
  <c r="Q257" i="3"/>
  <c r="Q277" i="3"/>
  <c r="R277" i="3"/>
  <c r="C316" i="3"/>
  <c r="R278" i="3"/>
  <c r="R279" i="3"/>
  <c r="S25" i="3"/>
  <c r="S31" i="3"/>
  <c r="S32" i="3"/>
  <c r="S33" i="3"/>
  <c r="S241" i="3"/>
  <c r="S245" i="3"/>
  <c r="S247" i="3"/>
  <c r="S187" i="3"/>
  <c r="S251" i="3"/>
  <c r="S200" i="3"/>
  <c r="S253" i="3"/>
  <c r="S256" i="3"/>
  <c r="S186" i="3"/>
  <c r="S250" i="3"/>
  <c r="S257" i="3"/>
  <c r="S277" i="3"/>
  <c r="T25" i="3"/>
  <c r="T31" i="3"/>
  <c r="T32" i="3"/>
  <c r="T33" i="3"/>
  <c r="T241" i="3"/>
  <c r="T245" i="3"/>
  <c r="T247" i="3"/>
  <c r="T187" i="3"/>
  <c r="T251" i="3"/>
  <c r="T200" i="3"/>
  <c r="T253" i="3"/>
  <c r="T256" i="3"/>
  <c r="T250" i="3"/>
  <c r="T257" i="3"/>
  <c r="T277" i="3"/>
  <c r="U25" i="3"/>
  <c r="U31" i="3"/>
  <c r="U32" i="3"/>
  <c r="U33" i="3"/>
  <c r="U241" i="3"/>
  <c r="U245" i="3"/>
  <c r="U247" i="3"/>
  <c r="U187" i="3"/>
  <c r="U251" i="3"/>
  <c r="U200" i="3"/>
  <c r="U253" i="3"/>
  <c r="U256" i="3"/>
  <c r="U257" i="3"/>
  <c r="U277" i="3"/>
  <c r="V25" i="3"/>
  <c r="V31" i="3"/>
  <c r="V32" i="3"/>
  <c r="V33" i="3"/>
  <c r="V241" i="3"/>
  <c r="V245" i="3"/>
  <c r="V247" i="3"/>
  <c r="V187" i="3"/>
  <c r="V251" i="3"/>
  <c r="V200" i="3"/>
  <c r="V253" i="3"/>
  <c r="V256" i="3"/>
  <c r="V257" i="3"/>
  <c r="V277" i="3"/>
  <c r="W277" i="3"/>
  <c r="W278" i="3"/>
  <c r="W279" i="3"/>
  <c r="X25" i="3"/>
  <c r="X31" i="3"/>
  <c r="X32" i="3"/>
  <c r="X33" i="3"/>
  <c r="X241" i="3"/>
  <c r="X245" i="3"/>
  <c r="X247" i="3"/>
  <c r="X187" i="3"/>
  <c r="X251" i="3"/>
  <c r="X200" i="3"/>
  <c r="X253" i="3"/>
  <c r="X256" i="3"/>
  <c r="X186" i="3"/>
  <c r="X250" i="3"/>
  <c r="X257" i="3"/>
  <c r="X277" i="3"/>
  <c r="Y25" i="3"/>
  <c r="Y31" i="3"/>
  <c r="Y32" i="3"/>
  <c r="Y33" i="3"/>
  <c r="Y241" i="3"/>
  <c r="Y245" i="3"/>
  <c r="Y247" i="3"/>
  <c r="Y187" i="3"/>
  <c r="Y251" i="3"/>
  <c r="Y200" i="3"/>
  <c r="Y253" i="3"/>
  <c r="Y256" i="3"/>
  <c r="Y250" i="3"/>
  <c r="Y257" i="3"/>
  <c r="Y277" i="3"/>
  <c r="Z25" i="3"/>
  <c r="Z31" i="3"/>
  <c r="Z32" i="3"/>
  <c r="Z33" i="3"/>
  <c r="Z241" i="3"/>
  <c r="Z245" i="3"/>
  <c r="Z247" i="3"/>
  <c r="Z187" i="3"/>
  <c r="Z251" i="3"/>
  <c r="Z200" i="3"/>
  <c r="Z253" i="3"/>
  <c r="Z256" i="3"/>
  <c r="Z257" i="3"/>
  <c r="Z277" i="3"/>
  <c r="AA25" i="3"/>
  <c r="AA31" i="3"/>
  <c r="AA32" i="3"/>
  <c r="AA33" i="3"/>
  <c r="AA241" i="3"/>
  <c r="AA245" i="3"/>
  <c r="AA247" i="3"/>
  <c r="AA187" i="3"/>
  <c r="AA251" i="3"/>
  <c r="AA200" i="3"/>
  <c r="AA253" i="3"/>
  <c r="AA256" i="3"/>
  <c r="AA257" i="3"/>
  <c r="AA277" i="3"/>
  <c r="AB277" i="3"/>
  <c r="AB278" i="3"/>
  <c r="AB279" i="3"/>
  <c r="AC25" i="3"/>
  <c r="AC31" i="3"/>
  <c r="AC32" i="3"/>
  <c r="AC33" i="3"/>
  <c r="AC241" i="3"/>
  <c r="AC245" i="3"/>
  <c r="AC247" i="3"/>
  <c r="AC187" i="3"/>
  <c r="AC251" i="3"/>
  <c r="AC200" i="3"/>
  <c r="AC253" i="3"/>
  <c r="AC256" i="3"/>
  <c r="AC186" i="3"/>
  <c r="AC250" i="3"/>
  <c r="AC257" i="3"/>
  <c r="AC277" i="3"/>
  <c r="AD25" i="3"/>
  <c r="AD31" i="3"/>
  <c r="AD32" i="3"/>
  <c r="AD33" i="3"/>
  <c r="AD241" i="3"/>
  <c r="AD245" i="3"/>
  <c r="AD247" i="3"/>
  <c r="AD187" i="3"/>
  <c r="AD251" i="3"/>
  <c r="AD200" i="3"/>
  <c r="AD253" i="3"/>
  <c r="AD256" i="3"/>
  <c r="AD250" i="3"/>
  <c r="AD257" i="3"/>
  <c r="AD277" i="3"/>
  <c r="AE25" i="3"/>
  <c r="AE31" i="3"/>
  <c r="AE32" i="3"/>
  <c r="AE33" i="3"/>
  <c r="AE241" i="3"/>
  <c r="AE245" i="3"/>
  <c r="AE247" i="3"/>
  <c r="AE187" i="3"/>
  <c r="AE251" i="3"/>
  <c r="AE200" i="3"/>
  <c r="AE253" i="3"/>
  <c r="AE256" i="3"/>
  <c r="AE257" i="3"/>
  <c r="AE277" i="3"/>
  <c r="AF25" i="3"/>
  <c r="AF31" i="3"/>
  <c r="AF32" i="3"/>
  <c r="AF33" i="3"/>
  <c r="AF241" i="3"/>
  <c r="AF245" i="3"/>
  <c r="AF247" i="3"/>
  <c r="AF251" i="3"/>
  <c r="AF253" i="3"/>
  <c r="AF256" i="3"/>
  <c r="AF257" i="3"/>
  <c r="AF277" i="3"/>
  <c r="AG277" i="3"/>
  <c r="AG278" i="3"/>
  <c r="AG279" i="3"/>
  <c r="AH33" i="3"/>
  <c r="AH241" i="3"/>
  <c r="AH257" i="3"/>
  <c r="AH277" i="3"/>
  <c r="AI33" i="3"/>
  <c r="AI241" i="3"/>
  <c r="AI257" i="3"/>
  <c r="AI277" i="3"/>
  <c r="AJ33" i="3"/>
  <c r="AJ241" i="3"/>
  <c r="AJ257" i="3"/>
  <c r="AJ277" i="3"/>
  <c r="AK33" i="3"/>
  <c r="AK241" i="3"/>
  <c r="AK257" i="3"/>
  <c r="AK277" i="3"/>
  <c r="AL277" i="3"/>
  <c r="AL278" i="3"/>
  <c r="AL279" i="3"/>
  <c r="C324" i="3"/>
  <c r="K281" i="3"/>
  <c r="K283" i="3"/>
  <c r="C325" i="3"/>
  <c r="C326" i="3"/>
  <c r="C7" i="3"/>
  <c r="C8" i="3"/>
  <c r="C331" i="3"/>
  <c r="C333" i="3"/>
  <c r="C332" i="3"/>
  <c r="C9" i="3"/>
  <c r="M275" i="3"/>
  <c r="M264" i="3"/>
  <c r="M265" i="3"/>
  <c r="M266" i="3"/>
  <c r="M267" i="3"/>
  <c r="M268" i="3"/>
  <c r="M269" i="3"/>
  <c r="L247" i="3"/>
  <c r="L270" i="3"/>
  <c r="M270" i="3"/>
  <c r="M271" i="3"/>
  <c r="M272" i="3"/>
  <c r="L215" i="3"/>
  <c r="L33" i="3"/>
  <c r="L241" i="3"/>
  <c r="L216" i="3"/>
  <c r="L219" i="3"/>
  <c r="L220" i="3"/>
  <c r="L185" i="3"/>
  <c r="L190" i="3"/>
  <c r="L259" i="3"/>
  <c r="M259" i="3"/>
  <c r="M260" i="3"/>
  <c r="L195" i="3"/>
  <c r="L261" i="3"/>
  <c r="M261" i="3"/>
  <c r="M262" i="3"/>
  <c r="M241" i="3"/>
  <c r="M242" i="3"/>
  <c r="M243" i="3"/>
  <c r="M244" i="3"/>
  <c r="L245" i="3"/>
  <c r="M245" i="3"/>
  <c r="M246" i="3"/>
  <c r="M247" i="3"/>
  <c r="M248" i="3"/>
  <c r="M249" i="3"/>
  <c r="M250" i="3"/>
  <c r="M251" i="3"/>
  <c r="M252" i="3"/>
  <c r="M253" i="3"/>
  <c r="M254" i="3"/>
  <c r="M255" i="3"/>
  <c r="M256" i="3"/>
  <c r="M257" i="3"/>
  <c r="M273" i="3"/>
  <c r="M274" i="3"/>
  <c r="M276" i="3"/>
  <c r="R275" i="3"/>
  <c r="R264" i="3"/>
  <c r="R265" i="3"/>
  <c r="R266" i="3"/>
  <c r="R267" i="3"/>
  <c r="R268" i="3"/>
  <c r="R269" i="3"/>
  <c r="N270" i="3"/>
  <c r="O270" i="3"/>
  <c r="P270" i="3"/>
  <c r="Q270" i="3"/>
  <c r="R270" i="3"/>
  <c r="R271" i="3"/>
  <c r="R272" i="3"/>
  <c r="N215" i="3"/>
  <c r="N216" i="3"/>
  <c r="N219" i="3"/>
  <c r="N208" i="3"/>
  <c r="N213" i="3"/>
  <c r="N220" i="3"/>
  <c r="N185" i="3"/>
  <c r="N190" i="3"/>
  <c r="N259" i="3"/>
  <c r="O215" i="3"/>
  <c r="O216" i="3"/>
  <c r="O219" i="3"/>
  <c r="O208" i="3"/>
  <c r="O213" i="3"/>
  <c r="O220" i="3"/>
  <c r="O185" i="3"/>
  <c r="O190" i="3"/>
  <c r="O259" i="3"/>
  <c r="P215" i="3"/>
  <c r="P216" i="3"/>
  <c r="P219" i="3"/>
  <c r="P208" i="3"/>
  <c r="P213" i="3"/>
  <c r="P220" i="3"/>
  <c r="P185" i="3"/>
  <c r="P190" i="3"/>
  <c r="P259" i="3"/>
  <c r="Q215" i="3"/>
  <c r="Q216" i="3"/>
  <c r="Q219" i="3"/>
  <c r="Q208" i="3"/>
  <c r="Q213" i="3"/>
  <c r="Q220" i="3"/>
  <c r="Q185" i="3"/>
  <c r="Q190" i="3"/>
  <c r="Q259" i="3"/>
  <c r="R259" i="3"/>
  <c r="R260" i="3"/>
  <c r="N195" i="3"/>
  <c r="N261" i="3"/>
  <c r="O195" i="3"/>
  <c r="O261" i="3"/>
  <c r="P195" i="3"/>
  <c r="P261" i="3"/>
  <c r="Q195" i="3"/>
  <c r="Q261" i="3"/>
  <c r="R261" i="3"/>
  <c r="R262" i="3"/>
  <c r="R241" i="3"/>
  <c r="R242" i="3"/>
  <c r="R243" i="3"/>
  <c r="R244" i="3"/>
  <c r="R245" i="3"/>
  <c r="R246" i="3"/>
  <c r="R247" i="3"/>
  <c r="R248" i="3"/>
  <c r="R250" i="3"/>
  <c r="R251" i="3"/>
  <c r="R252" i="3"/>
  <c r="R253" i="3"/>
  <c r="R254" i="3"/>
  <c r="R255" i="3"/>
  <c r="R256" i="3"/>
  <c r="R257" i="3"/>
  <c r="R273" i="3"/>
  <c r="R274" i="3"/>
  <c r="R276" i="3"/>
  <c r="W275" i="3"/>
  <c r="W264" i="3"/>
  <c r="W265" i="3"/>
  <c r="W266" i="3"/>
  <c r="W267" i="3"/>
  <c r="W268" i="3"/>
  <c r="W269" i="3"/>
  <c r="S270" i="3"/>
  <c r="T270" i="3"/>
  <c r="U270" i="3"/>
  <c r="V270" i="3"/>
  <c r="W270" i="3"/>
  <c r="W271" i="3"/>
  <c r="W272" i="3"/>
  <c r="S215" i="3"/>
  <c r="S216" i="3"/>
  <c r="S219" i="3"/>
  <c r="S208" i="3"/>
  <c r="S213" i="3"/>
  <c r="S220" i="3"/>
  <c r="S185" i="3"/>
  <c r="S190" i="3"/>
  <c r="S259" i="3"/>
  <c r="T215" i="3"/>
  <c r="T216" i="3"/>
  <c r="T219" i="3"/>
  <c r="T208" i="3"/>
  <c r="T213" i="3"/>
  <c r="T220" i="3"/>
  <c r="T185" i="3"/>
  <c r="T190" i="3"/>
  <c r="T259" i="3"/>
  <c r="U215" i="3"/>
  <c r="U216" i="3"/>
  <c r="U219" i="3"/>
  <c r="U208" i="3"/>
  <c r="U213" i="3"/>
  <c r="U220" i="3"/>
  <c r="U185" i="3"/>
  <c r="U190" i="3"/>
  <c r="U259" i="3"/>
  <c r="V215" i="3"/>
  <c r="V216" i="3"/>
  <c r="V219" i="3"/>
  <c r="V208" i="3"/>
  <c r="V213" i="3"/>
  <c r="V220" i="3"/>
  <c r="V185" i="3"/>
  <c r="V190" i="3"/>
  <c r="V259" i="3"/>
  <c r="W259" i="3"/>
  <c r="W260" i="3"/>
  <c r="S195" i="3"/>
  <c r="S261" i="3"/>
  <c r="T195" i="3"/>
  <c r="T261" i="3"/>
  <c r="U195" i="3"/>
  <c r="U261" i="3"/>
  <c r="V195" i="3"/>
  <c r="V261" i="3"/>
  <c r="W261" i="3"/>
  <c r="W262" i="3"/>
  <c r="W17" i="3"/>
  <c r="W18" i="3"/>
  <c r="W19" i="3"/>
  <c r="W20" i="3"/>
  <c r="W21" i="3"/>
  <c r="W22" i="3"/>
  <c r="W23" i="3"/>
  <c r="W13" i="3"/>
  <c r="W16" i="3"/>
  <c r="W25" i="3"/>
  <c r="W29" i="3"/>
  <c r="W31" i="3"/>
  <c r="W32" i="3"/>
  <c r="W33" i="3"/>
  <c r="W241" i="3"/>
  <c r="W242" i="3"/>
  <c r="W243" i="3"/>
  <c r="W244" i="3"/>
  <c r="W245" i="3"/>
  <c r="W246" i="3"/>
  <c r="W247" i="3"/>
  <c r="W248" i="3"/>
  <c r="W250" i="3"/>
  <c r="W251" i="3"/>
  <c r="W252" i="3"/>
  <c r="W253" i="3"/>
  <c r="W254" i="3"/>
  <c r="W255" i="3"/>
  <c r="W256" i="3"/>
  <c r="W257" i="3"/>
  <c r="W273" i="3"/>
  <c r="W274" i="3"/>
  <c r="W276" i="3"/>
  <c r="AB275" i="3"/>
  <c r="AB264" i="3"/>
  <c r="AB265" i="3"/>
  <c r="AB266" i="3"/>
  <c r="AB267" i="3"/>
  <c r="AB268" i="3"/>
  <c r="AB269" i="3"/>
  <c r="X270" i="3"/>
  <c r="Y270" i="3"/>
  <c r="Z270" i="3"/>
  <c r="AA270" i="3"/>
  <c r="AB270" i="3"/>
  <c r="AB271" i="3"/>
  <c r="AB272" i="3"/>
  <c r="X215" i="3"/>
  <c r="X216" i="3"/>
  <c r="X219" i="3"/>
  <c r="X208" i="3"/>
  <c r="X213" i="3"/>
  <c r="X220" i="3"/>
  <c r="X185" i="3"/>
  <c r="X190" i="3"/>
  <c r="X259" i="3"/>
  <c r="Y215" i="3"/>
  <c r="Y216" i="3"/>
  <c r="Y219" i="3"/>
  <c r="Y208" i="3"/>
  <c r="Y213" i="3"/>
  <c r="Y220" i="3"/>
  <c r="Y185" i="3"/>
  <c r="Y190" i="3"/>
  <c r="Y259" i="3"/>
  <c r="Z215" i="3"/>
  <c r="Z216" i="3"/>
  <c r="Z219" i="3"/>
  <c r="Z208" i="3"/>
  <c r="Z213" i="3"/>
  <c r="Z220" i="3"/>
  <c r="Z185" i="3"/>
  <c r="Z190" i="3"/>
  <c r="Z259" i="3"/>
  <c r="AA215" i="3"/>
  <c r="AA216" i="3"/>
  <c r="AA219" i="3"/>
  <c r="AA208" i="3"/>
  <c r="AA213" i="3"/>
  <c r="AA220" i="3"/>
  <c r="AA185" i="3"/>
  <c r="AA190" i="3"/>
  <c r="AA259" i="3"/>
  <c r="AB259" i="3"/>
  <c r="AB260" i="3"/>
  <c r="X195" i="3"/>
  <c r="X261" i="3"/>
  <c r="Y195" i="3"/>
  <c r="Y261" i="3"/>
  <c r="Z195" i="3"/>
  <c r="Z261" i="3"/>
  <c r="AA195" i="3"/>
  <c r="AA261" i="3"/>
  <c r="AB261" i="3"/>
  <c r="AB262" i="3"/>
  <c r="AB17" i="3"/>
  <c r="AB18" i="3"/>
  <c r="AB19" i="3"/>
  <c r="AB20" i="3"/>
  <c r="AB21" i="3"/>
  <c r="AB22" i="3"/>
  <c r="AB23" i="3"/>
  <c r="AB13" i="3"/>
  <c r="AB16" i="3"/>
  <c r="AB25" i="3"/>
  <c r="AB29" i="3"/>
  <c r="AB31" i="3"/>
  <c r="AB32" i="3"/>
  <c r="AB33" i="3"/>
  <c r="AB241" i="3"/>
  <c r="AB242" i="3"/>
  <c r="AB243" i="3"/>
  <c r="AB244" i="3"/>
  <c r="AB245" i="3"/>
  <c r="AB246" i="3"/>
  <c r="AB247" i="3"/>
  <c r="AB248" i="3"/>
  <c r="AB250" i="3"/>
  <c r="AB251" i="3"/>
  <c r="AB252" i="3"/>
  <c r="AB253" i="3"/>
  <c r="AB254" i="3"/>
  <c r="AB255" i="3"/>
  <c r="AB256" i="3"/>
  <c r="AB257" i="3"/>
  <c r="AB273" i="3"/>
  <c r="AB274" i="3"/>
  <c r="AB276" i="3"/>
  <c r="AG275" i="3"/>
  <c r="AG264" i="3"/>
  <c r="AG265" i="3"/>
  <c r="AG266" i="3"/>
  <c r="AG267" i="3"/>
  <c r="AG268" i="3"/>
  <c r="AG269" i="3"/>
  <c r="AC270" i="3"/>
  <c r="AD270" i="3"/>
  <c r="AE270" i="3"/>
  <c r="AF270" i="3"/>
  <c r="AG270" i="3"/>
  <c r="AG271" i="3"/>
  <c r="AG272" i="3"/>
  <c r="AC215" i="3"/>
  <c r="AC216" i="3"/>
  <c r="AC219" i="3"/>
  <c r="AC208" i="3"/>
  <c r="AC213" i="3"/>
  <c r="AC220" i="3"/>
  <c r="AC185" i="3"/>
  <c r="AC190" i="3"/>
  <c r="AC259" i="3"/>
  <c r="AD215" i="3"/>
  <c r="AD216" i="3"/>
  <c r="AD219" i="3"/>
  <c r="AD208" i="3"/>
  <c r="AD213" i="3"/>
  <c r="AD220" i="3"/>
  <c r="AD185" i="3"/>
  <c r="AD190" i="3"/>
  <c r="AD259" i="3"/>
  <c r="AE215" i="3"/>
  <c r="AE216" i="3"/>
  <c r="AE219" i="3"/>
  <c r="AE208" i="3"/>
  <c r="AE213" i="3"/>
  <c r="AE220" i="3"/>
  <c r="AE185" i="3"/>
  <c r="AE190" i="3"/>
  <c r="AE259" i="3"/>
  <c r="AF215" i="3"/>
  <c r="AF216" i="3"/>
  <c r="AF219" i="3"/>
  <c r="AF208" i="3"/>
  <c r="AF213" i="3"/>
  <c r="AF220" i="3"/>
  <c r="AF185" i="3"/>
  <c r="AF190" i="3"/>
  <c r="AF259" i="3"/>
  <c r="AG259" i="3"/>
  <c r="AG260" i="3"/>
  <c r="AC195" i="3"/>
  <c r="AC261" i="3"/>
  <c r="AD195" i="3"/>
  <c r="AD261" i="3"/>
  <c r="AE195" i="3"/>
  <c r="AE261" i="3"/>
  <c r="AF195" i="3"/>
  <c r="AF261" i="3"/>
  <c r="AG261" i="3"/>
  <c r="AG262" i="3"/>
  <c r="AG17" i="3"/>
  <c r="AG18" i="3"/>
  <c r="AG19" i="3"/>
  <c r="AG20" i="3"/>
  <c r="AG21" i="3"/>
  <c r="AG22" i="3"/>
  <c r="AG23" i="3"/>
  <c r="AG13" i="3"/>
  <c r="AG16" i="3"/>
  <c r="AG25" i="3"/>
  <c r="AG29" i="3"/>
  <c r="AG31" i="3"/>
  <c r="AG32" i="3"/>
  <c r="AG33" i="3"/>
  <c r="AG241" i="3"/>
  <c r="AG242" i="3"/>
  <c r="AG243" i="3"/>
  <c r="AG244" i="3"/>
  <c r="AG245" i="3"/>
  <c r="AG246" i="3"/>
  <c r="AG247" i="3"/>
  <c r="AG248" i="3"/>
  <c r="AG250" i="3"/>
  <c r="AG251" i="3"/>
  <c r="AG252" i="3"/>
  <c r="AG253" i="3"/>
  <c r="AG254" i="3"/>
  <c r="AG255" i="3"/>
  <c r="AG256" i="3"/>
  <c r="AG257" i="3"/>
  <c r="AG273" i="3"/>
  <c r="AG274" i="3"/>
  <c r="AG276" i="3"/>
  <c r="AL275" i="3"/>
  <c r="AL264" i="3"/>
  <c r="AL265" i="3"/>
  <c r="AL266" i="3"/>
  <c r="AL267" i="3"/>
  <c r="AL268" i="3"/>
  <c r="AL269" i="3"/>
  <c r="AH270" i="3"/>
  <c r="AI270" i="3"/>
  <c r="AJ270" i="3"/>
  <c r="AK270" i="3"/>
  <c r="AL270" i="3"/>
  <c r="AL271" i="3"/>
  <c r="AL272" i="3"/>
  <c r="AH215" i="3"/>
  <c r="AH216" i="3"/>
  <c r="AH219" i="3"/>
  <c r="AH208" i="3"/>
  <c r="AH213" i="3"/>
  <c r="AH220" i="3"/>
  <c r="AH185" i="3"/>
  <c r="AH190" i="3"/>
  <c r="AH259" i="3"/>
  <c r="AI215" i="3"/>
  <c r="AI216" i="3"/>
  <c r="AI219" i="3"/>
  <c r="AI208" i="3"/>
  <c r="AI213" i="3"/>
  <c r="AI220" i="3"/>
  <c r="AI185" i="3"/>
  <c r="AI190" i="3"/>
  <c r="AI259" i="3"/>
  <c r="AJ215" i="3"/>
  <c r="AJ216" i="3"/>
  <c r="AJ219" i="3"/>
  <c r="AJ208" i="3"/>
  <c r="AJ213" i="3"/>
  <c r="AJ220" i="3"/>
  <c r="AJ185" i="3"/>
  <c r="AJ190" i="3"/>
  <c r="AJ259" i="3"/>
  <c r="AK215" i="3"/>
  <c r="AK216" i="3"/>
  <c r="AK219" i="3"/>
  <c r="AK208" i="3"/>
  <c r="AK213" i="3"/>
  <c r="AK220" i="3"/>
  <c r="AK185" i="3"/>
  <c r="AK190" i="3"/>
  <c r="AK259" i="3"/>
  <c r="AL259" i="3"/>
  <c r="AL260" i="3"/>
  <c r="AH195" i="3"/>
  <c r="AH261" i="3"/>
  <c r="AI195" i="3"/>
  <c r="AI261" i="3"/>
  <c r="AJ195" i="3"/>
  <c r="AJ261" i="3"/>
  <c r="AK195" i="3"/>
  <c r="AK261" i="3"/>
  <c r="AL261" i="3"/>
  <c r="AL262" i="3"/>
  <c r="AL273" i="3"/>
  <c r="AL274" i="3"/>
  <c r="AL276" i="3"/>
  <c r="AL3" i="3"/>
  <c r="AL4" i="3"/>
  <c r="AH275" i="3"/>
  <c r="AH272" i="3"/>
  <c r="AH262" i="3"/>
  <c r="AH274" i="3"/>
  <c r="AH276" i="3"/>
  <c r="AI275" i="3"/>
  <c r="AI272" i="3"/>
  <c r="AI262" i="3"/>
  <c r="AI274" i="3"/>
  <c r="AI276" i="3"/>
  <c r="AJ275" i="3"/>
  <c r="AJ272" i="3"/>
  <c r="AJ262" i="3"/>
  <c r="AJ274" i="3"/>
  <c r="AJ276" i="3"/>
  <c r="AK275" i="3"/>
  <c r="AK272" i="3"/>
  <c r="AK262" i="3"/>
  <c r="AK274" i="3"/>
  <c r="AK276" i="3"/>
  <c r="AK3" i="3"/>
  <c r="AK4" i="3"/>
  <c r="AJ3" i="3"/>
  <c r="AJ4" i="3"/>
  <c r="AI3" i="3"/>
  <c r="AI4" i="3"/>
  <c r="AH3" i="3"/>
  <c r="AH4" i="3"/>
  <c r="AG3" i="3"/>
  <c r="AG4" i="3"/>
  <c r="AC275" i="3"/>
  <c r="AC272" i="3"/>
  <c r="AC262" i="3"/>
  <c r="AC274" i="3"/>
  <c r="AC276" i="3"/>
  <c r="AD275" i="3"/>
  <c r="AD272" i="3"/>
  <c r="AD262" i="3"/>
  <c r="AD274" i="3"/>
  <c r="AD276" i="3"/>
  <c r="AE275" i="3"/>
  <c r="AE272" i="3"/>
  <c r="AE262" i="3"/>
  <c r="AE274" i="3"/>
  <c r="AE276" i="3"/>
  <c r="AF275" i="3"/>
  <c r="AF272" i="3"/>
  <c r="AF262" i="3"/>
  <c r="AF274" i="3"/>
  <c r="AF276" i="3"/>
  <c r="AF3" i="3"/>
  <c r="AF4" i="3"/>
  <c r="AE3" i="3"/>
  <c r="AE4" i="3"/>
  <c r="AD3" i="3"/>
  <c r="AD4" i="3"/>
  <c r="AC3" i="3"/>
  <c r="AC4" i="3"/>
  <c r="AB3" i="3"/>
  <c r="AB4" i="3"/>
  <c r="X275" i="3"/>
  <c r="X272" i="3"/>
  <c r="X262" i="3"/>
  <c r="X274" i="3"/>
  <c r="X276" i="3"/>
  <c r="Y275" i="3"/>
  <c r="Y272" i="3"/>
  <c r="Y262" i="3"/>
  <c r="Y274" i="3"/>
  <c r="Y276" i="3"/>
  <c r="Z275" i="3"/>
  <c r="Z272" i="3"/>
  <c r="Z262" i="3"/>
  <c r="Z274" i="3"/>
  <c r="Z276" i="3"/>
  <c r="AA275" i="3"/>
  <c r="AA272" i="3"/>
  <c r="AA262" i="3"/>
  <c r="AA274" i="3"/>
  <c r="AA276" i="3"/>
  <c r="AA3" i="3"/>
  <c r="AA4" i="3"/>
  <c r="Z3" i="3"/>
  <c r="Z4" i="3"/>
  <c r="Y3" i="3"/>
  <c r="Y4" i="3"/>
  <c r="X3" i="3"/>
  <c r="X4" i="3"/>
  <c r="W3" i="3"/>
  <c r="W4" i="3"/>
  <c r="S275" i="3"/>
  <c r="S272" i="3"/>
  <c r="S262" i="3"/>
  <c r="S274" i="3"/>
  <c r="S276" i="3"/>
  <c r="T275" i="3"/>
  <c r="T272" i="3"/>
  <c r="T262" i="3"/>
  <c r="T274" i="3"/>
  <c r="T276" i="3"/>
  <c r="U275" i="3"/>
  <c r="U272" i="3"/>
  <c r="U262" i="3"/>
  <c r="U274" i="3"/>
  <c r="U276" i="3"/>
  <c r="V275" i="3"/>
  <c r="V272" i="3"/>
  <c r="V262" i="3"/>
  <c r="V274" i="3"/>
  <c r="V276" i="3"/>
  <c r="V3" i="3"/>
  <c r="V4" i="3"/>
  <c r="U3" i="3"/>
  <c r="U4" i="3"/>
  <c r="T3" i="3"/>
  <c r="T4" i="3"/>
  <c r="S3" i="3"/>
  <c r="S4" i="3"/>
  <c r="R3" i="3"/>
  <c r="R4" i="3"/>
  <c r="N275" i="3"/>
  <c r="N272" i="3"/>
  <c r="N262" i="3"/>
  <c r="N274" i="3"/>
  <c r="N276" i="3"/>
  <c r="O275" i="3"/>
  <c r="O272" i="3"/>
  <c r="O262" i="3"/>
  <c r="O274" i="3"/>
  <c r="O276" i="3"/>
  <c r="P275" i="3"/>
  <c r="P272" i="3"/>
  <c r="P262" i="3"/>
  <c r="P274" i="3"/>
  <c r="P276" i="3"/>
  <c r="Q275" i="3"/>
  <c r="Q272" i="3"/>
  <c r="Q262" i="3"/>
  <c r="Q274" i="3"/>
  <c r="Q276" i="3"/>
  <c r="Q3" i="3"/>
  <c r="Q4" i="3"/>
  <c r="P3" i="3"/>
  <c r="P4" i="3"/>
  <c r="O3" i="3"/>
  <c r="O4" i="3"/>
  <c r="N3" i="3"/>
  <c r="N4" i="3"/>
  <c r="M3" i="3"/>
  <c r="M4" i="3"/>
  <c r="L275" i="3"/>
  <c r="L272" i="3"/>
  <c r="L262" i="3"/>
  <c r="L257" i="3"/>
  <c r="L274" i="3"/>
  <c r="L276" i="3"/>
  <c r="L3" i="3"/>
  <c r="L4" i="3"/>
  <c r="AH169" i="3"/>
  <c r="X169" i="3"/>
  <c r="S169" i="3"/>
  <c r="S173" i="3"/>
  <c r="S174" i="3"/>
  <c r="T169" i="3"/>
  <c r="T173" i="3"/>
  <c r="T174" i="3"/>
  <c r="U169" i="3"/>
  <c r="U173" i="3"/>
  <c r="U174" i="3"/>
  <c r="V169" i="3"/>
  <c r="V173" i="3"/>
  <c r="V174" i="3"/>
  <c r="X173" i="3"/>
  <c r="X174" i="3"/>
  <c r="Y169" i="3"/>
  <c r="Y173" i="3"/>
  <c r="Y174" i="3"/>
  <c r="Z169" i="3"/>
  <c r="Z173" i="3"/>
  <c r="Z174" i="3"/>
  <c r="AA169" i="3"/>
  <c r="AA173" i="3"/>
  <c r="AA174" i="3"/>
  <c r="AC169" i="3"/>
  <c r="AC173" i="3"/>
  <c r="AC174" i="3"/>
  <c r="AD169" i="3"/>
  <c r="AD173" i="3"/>
  <c r="AD174" i="3"/>
  <c r="AE169" i="3"/>
  <c r="AE173" i="3"/>
  <c r="AE174" i="3"/>
  <c r="AF169" i="3"/>
  <c r="AF173" i="3"/>
  <c r="AF174" i="3"/>
  <c r="AH173" i="3"/>
  <c r="AH174" i="3"/>
  <c r="AH176" i="3"/>
  <c r="AH26" i="3"/>
  <c r="AH27" i="3"/>
  <c r="AH10" i="3"/>
  <c r="AI169" i="3"/>
  <c r="AI173" i="3"/>
  <c r="AI174" i="3"/>
  <c r="AI176" i="3"/>
  <c r="AI26" i="3"/>
  <c r="AI27" i="3"/>
  <c r="AI10" i="3"/>
  <c r="AJ169" i="3"/>
  <c r="AJ173" i="3"/>
  <c r="AJ174" i="3"/>
  <c r="AJ176" i="3"/>
  <c r="AJ26" i="3"/>
  <c r="AJ27" i="3"/>
  <c r="AJ10" i="3"/>
  <c r="AK169" i="3"/>
  <c r="AK173" i="3"/>
  <c r="AK174" i="3"/>
  <c r="AK176" i="3"/>
  <c r="AK26" i="3"/>
  <c r="AK27" i="3"/>
  <c r="AK10" i="3"/>
  <c r="AL10" i="3"/>
  <c r="AC176" i="3"/>
  <c r="AC26" i="3"/>
  <c r="AC27" i="3"/>
  <c r="AC10" i="3"/>
  <c r="AD176" i="3"/>
  <c r="AD26" i="3"/>
  <c r="AD27" i="3"/>
  <c r="AD10" i="3"/>
  <c r="AE176" i="3"/>
  <c r="AE26" i="3"/>
  <c r="AE27" i="3"/>
  <c r="AE10" i="3"/>
  <c r="AF176" i="3"/>
  <c r="AF26" i="3"/>
  <c r="AF27" i="3"/>
  <c r="AF10" i="3"/>
  <c r="AG10" i="3"/>
  <c r="X176" i="3"/>
  <c r="X26" i="3"/>
  <c r="X27" i="3"/>
  <c r="X10" i="3"/>
  <c r="Y176" i="3"/>
  <c r="Y26" i="3"/>
  <c r="Y27" i="3"/>
  <c r="Y10" i="3"/>
  <c r="Z176" i="3"/>
  <c r="Z26" i="3"/>
  <c r="Z27" i="3"/>
  <c r="Z10" i="3"/>
  <c r="AA176" i="3"/>
  <c r="AA26" i="3"/>
  <c r="AA27" i="3"/>
  <c r="AA10" i="3"/>
  <c r="AB10" i="3"/>
  <c r="S176" i="3"/>
  <c r="S26" i="3"/>
  <c r="S27" i="3"/>
  <c r="S10" i="3"/>
  <c r="T176" i="3"/>
  <c r="T26" i="3"/>
  <c r="T27" i="3"/>
  <c r="T10" i="3"/>
  <c r="U176" i="3"/>
  <c r="U26" i="3"/>
  <c r="U27" i="3"/>
  <c r="U10" i="3"/>
  <c r="V176" i="3"/>
  <c r="V26" i="3"/>
  <c r="V27" i="3"/>
  <c r="V10" i="3"/>
  <c r="W10" i="3"/>
  <c r="N10" i="3"/>
  <c r="O10" i="3"/>
  <c r="P10" i="3"/>
  <c r="Q10" i="3"/>
  <c r="R10" i="3"/>
  <c r="C305" i="3"/>
  <c r="C312" i="3"/>
  <c r="C309" i="3"/>
  <c r="C311" i="3"/>
  <c r="L277" i="3"/>
  <c r="K277" i="3"/>
  <c r="J277" i="3"/>
  <c r="I277" i="3"/>
  <c r="D257" i="3"/>
  <c r="D277" i="3"/>
  <c r="E257" i="3"/>
  <c r="E277" i="3"/>
  <c r="F257" i="3"/>
  <c r="F277" i="3"/>
  <c r="G257" i="3"/>
  <c r="G277" i="3"/>
  <c r="H277" i="3"/>
  <c r="M277" i="3"/>
  <c r="C313" i="3"/>
  <c r="L84" i="3"/>
  <c r="L89" i="3"/>
  <c r="L13" i="3"/>
  <c r="L16" i="3"/>
  <c r="L101" i="3"/>
  <c r="L102" i="3"/>
  <c r="L17" i="3"/>
  <c r="L103" i="3"/>
  <c r="L18" i="3"/>
  <c r="L104" i="3"/>
  <c r="L19" i="3"/>
  <c r="L106" i="3"/>
  <c r="L21" i="3"/>
  <c r="L107" i="3"/>
  <c r="L22" i="3"/>
  <c r="M13" i="3"/>
  <c r="M16" i="3"/>
  <c r="M17" i="3"/>
  <c r="M18" i="3"/>
  <c r="M19" i="3"/>
  <c r="M21" i="3"/>
  <c r="M22" i="3"/>
  <c r="C304" i="3"/>
  <c r="Q84" i="3"/>
  <c r="V84" i="3"/>
  <c r="AA84" i="3"/>
  <c r="AF84" i="3"/>
  <c r="AK84" i="3"/>
  <c r="AK89" i="3"/>
  <c r="AK13" i="3"/>
  <c r="L260" i="3"/>
  <c r="Q89" i="3"/>
  <c r="Q13" i="3"/>
  <c r="Q16" i="3"/>
  <c r="Q260" i="3"/>
  <c r="V89" i="3"/>
  <c r="V13" i="3"/>
  <c r="V16" i="3"/>
  <c r="V260" i="3"/>
  <c r="AA89" i="3"/>
  <c r="AA13" i="3"/>
  <c r="AA16" i="3"/>
  <c r="AA260" i="3"/>
  <c r="AF89" i="3"/>
  <c r="AF101" i="3"/>
  <c r="AA101" i="3"/>
  <c r="V101" i="3"/>
  <c r="Q101" i="3"/>
  <c r="AF13" i="3"/>
  <c r="AF16" i="3"/>
  <c r="AF260" i="3"/>
  <c r="AK101" i="3"/>
  <c r="AK16" i="3"/>
  <c r="AF186" i="3"/>
  <c r="AK186" i="3"/>
  <c r="AK250" i="3"/>
  <c r="L186" i="3"/>
  <c r="Q186" i="3"/>
  <c r="Q250" i="3"/>
  <c r="L187" i="3"/>
  <c r="L200" i="3"/>
  <c r="V186" i="3"/>
  <c r="V250" i="3"/>
  <c r="AA186" i="3"/>
  <c r="AA250" i="3"/>
  <c r="AF250" i="3"/>
  <c r="AK260" i="3"/>
  <c r="C300" i="3"/>
  <c r="L27" i="3"/>
  <c r="L37" i="3"/>
  <c r="L161" i="3"/>
  <c r="L39" i="3"/>
  <c r="L42" i="3"/>
  <c r="N161" i="3"/>
  <c r="N39" i="3"/>
  <c r="N42" i="3"/>
  <c r="O39" i="3"/>
  <c r="O42" i="3"/>
  <c r="P39" i="3"/>
  <c r="P42" i="3"/>
  <c r="AL291" i="3"/>
  <c r="AG291" i="3"/>
  <c r="AB291" i="3"/>
  <c r="W291" i="3"/>
  <c r="R291" i="3"/>
  <c r="M291" i="3"/>
  <c r="H291" i="3"/>
  <c r="AL290" i="3"/>
  <c r="AG290" i="3"/>
  <c r="AB290" i="3"/>
  <c r="I291" i="3"/>
  <c r="J291" i="3"/>
  <c r="K291" i="3"/>
  <c r="L250" i="3"/>
  <c r="L251" i="3"/>
  <c r="L253" i="3"/>
  <c r="M290" i="3"/>
  <c r="L290" i="3"/>
  <c r="AL160" i="3"/>
  <c r="AA209" i="3"/>
  <c r="AC209" i="3"/>
  <c r="AD209" i="3"/>
  <c r="AE209" i="3"/>
  <c r="AF209" i="3"/>
  <c r="AH209" i="3"/>
  <c r="L54" i="3"/>
  <c r="L51" i="3"/>
  <c r="Q51" i="3"/>
  <c r="Q56" i="3"/>
  <c r="L115" i="3"/>
  <c r="Q115" i="3"/>
  <c r="Q15" i="3"/>
  <c r="Q68" i="3"/>
  <c r="L56" i="3"/>
  <c r="L68" i="3"/>
  <c r="L69" i="3"/>
  <c r="L70" i="3"/>
  <c r="L71" i="3"/>
  <c r="L73" i="3"/>
  <c r="L74" i="3"/>
  <c r="N51" i="3"/>
  <c r="N56" i="3"/>
  <c r="N68" i="3"/>
  <c r="L15" i="3"/>
  <c r="O51" i="3"/>
  <c r="O56" i="3"/>
  <c r="O68" i="3"/>
  <c r="N115" i="3"/>
  <c r="N15" i="3"/>
  <c r="P51" i="3"/>
  <c r="P56" i="3"/>
  <c r="P68" i="3"/>
  <c r="O13" i="3"/>
  <c r="O115" i="3"/>
  <c r="O15" i="3"/>
  <c r="O16" i="3"/>
  <c r="O260" i="3"/>
  <c r="L117" i="3"/>
  <c r="L118" i="3"/>
  <c r="L120" i="3"/>
  <c r="L121" i="3"/>
  <c r="P115" i="3"/>
  <c r="P13" i="3"/>
  <c r="P15" i="3"/>
  <c r="P16" i="3"/>
  <c r="P260" i="3"/>
  <c r="M115" i="3"/>
  <c r="M116" i="3"/>
  <c r="AH161" i="3"/>
  <c r="AI161" i="3"/>
  <c r="AJ161" i="3"/>
  <c r="AK161" i="3"/>
  <c r="AL161" i="3"/>
  <c r="S51" i="3"/>
  <c r="S56" i="3"/>
  <c r="S68" i="3"/>
  <c r="T51" i="3"/>
  <c r="T56" i="3"/>
  <c r="T68" i="3"/>
  <c r="S115" i="3"/>
  <c r="S15" i="3"/>
  <c r="U51" i="3"/>
  <c r="U56" i="3"/>
  <c r="U68" i="3"/>
  <c r="T13" i="3"/>
  <c r="T115" i="3"/>
  <c r="T15" i="3"/>
  <c r="T16" i="3"/>
  <c r="T260" i="3"/>
  <c r="V51" i="3"/>
  <c r="V56" i="3"/>
  <c r="V68" i="3"/>
  <c r="U13" i="3"/>
  <c r="U115" i="3"/>
  <c r="U15" i="3"/>
  <c r="U16" i="3"/>
  <c r="U260" i="3"/>
  <c r="X51" i="3"/>
  <c r="X56" i="3"/>
  <c r="X68" i="3"/>
  <c r="V115" i="3"/>
  <c r="V15" i="3"/>
  <c r="Y51" i="3"/>
  <c r="Y56" i="3"/>
  <c r="Y68" i="3"/>
  <c r="X115" i="3"/>
  <c r="X15" i="3"/>
  <c r="Z51" i="3"/>
  <c r="Z56" i="3"/>
  <c r="Z68" i="3"/>
  <c r="Y84" i="3"/>
  <c r="Y89" i="3"/>
  <c r="Y13" i="3"/>
  <c r="Y115" i="3"/>
  <c r="Y15" i="3"/>
  <c r="Y16" i="3"/>
  <c r="Y260" i="3"/>
  <c r="AA51" i="3"/>
  <c r="AA56" i="3"/>
  <c r="AA68" i="3"/>
  <c r="Z84" i="3"/>
  <c r="Z89" i="3"/>
  <c r="Z13" i="3"/>
  <c r="Z115" i="3"/>
  <c r="Z15" i="3"/>
  <c r="Z16" i="3"/>
  <c r="Z260" i="3"/>
  <c r="AC51" i="3"/>
  <c r="AC56" i="3"/>
  <c r="AC68" i="3"/>
  <c r="AA115" i="3"/>
  <c r="AA15" i="3"/>
  <c r="AD51" i="3"/>
  <c r="AD56" i="3"/>
  <c r="AD68" i="3"/>
  <c r="AC115" i="3"/>
  <c r="AC15" i="3"/>
  <c r="AE51" i="3"/>
  <c r="AE56" i="3"/>
  <c r="AE68" i="3"/>
  <c r="AD84" i="3"/>
  <c r="AD89" i="3"/>
  <c r="AD13" i="3"/>
  <c r="AD115" i="3"/>
  <c r="AD15" i="3"/>
  <c r="AD16" i="3"/>
  <c r="AD260" i="3"/>
  <c r="AF51" i="3"/>
  <c r="AF56" i="3"/>
  <c r="AF68" i="3"/>
  <c r="AE84" i="3"/>
  <c r="AE89" i="3"/>
  <c r="AE13" i="3"/>
  <c r="AE115" i="3"/>
  <c r="AE15" i="3"/>
  <c r="AE16" i="3"/>
  <c r="AE260" i="3"/>
  <c r="AH51" i="3"/>
  <c r="AH56" i="3"/>
  <c r="AH68" i="3"/>
  <c r="Y101" i="3"/>
  <c r="Z101" i="3"/>
  <c r="AD101" i="3"/>
  <c r="AE101" i="3"/>
  <c r="AF115" i="3"/>
  <c r="AH115" i="3"/>
  <c r="AF15" i="3"/>
  <c r="AI51" i="3"/>
  <c r="AI56" i="3"/>
  <c r="AI68" i="3"/>
  <c r="AI84" i="3"/>
  <c r="AI89" i="3"/>
  <c r="AI101" i="3"/>
  <c r="AI115" i="3"/>
  <c r="AH15" i="3"/>
  <c r="AJ51" i="3"/>
  <c r="AJ56" i="3"/>
  <c r="AJ68" i="3"/>
  <c r="AJ84" i="3"/>
  <c r="AJ89" i="3"/>
  <c r="AJ101" i="3"/>
  <c r="AJ115" i="3"/>
  <c r="AI13" i="3"/>
  <c r="AI15" i="3"/>
  <c r="AI16" i="3"/>
  <c r="AI260" i="3"/>
  <c r="AK51" i="3"/>
  <c r="AK56" i="3"/>
  <c r="AK68" i="3"/>
  <c r="AK115" i="3"/>
  <c r="AJ13" i="3"/>
  <c r="AJ15" i="3"/>
  <c r="AJ16" i="3"/>
  <c r="AJ260" i="3"/>
  <c r="AK15" i="3"/>
  <c r="AL15" i="3"/>
  <c r="AI30" i="3"/>
  <c r="AI209" i="3"/>
  <c r="AJ30" i="3"/>
  <c r="AJ209" i="3"/>
  <c r="AK30" i="3"/>
  <c r="AH30" i="3"/>
  <c r="AL30" i="3"/>
  <c r="AJ186" i="3"/>
  <c r="AI186" i="3"/>
  <c r="AJ250" i="3"/>
  <c r="AG15" i="3"/>
  <c r="AC30" i="3"/>
  <c r="AD30" i="3"/>
  <c r="AE30" i="3"/>
  <c r="AF30" i="3"/>
  <c r="AG30" i="3"/>
  <c r="AE186" i="3"/>
  <c r="AD186" i="3"/>
  <c r="AE250" i="3"/>
  <c r="N158" i="3"/>
  <c r="O158" i="3"/>
  <c r="P158" i="3"/>
  <c r="Q158" i="3"/>
  <c r="Q39" i="3"/>
  <c r="S158" i="3"/>
  <c r="S39" i="3"/>
  <c r="T158" i="3"/>
  <c r="T39" i="3"/>
  <c r="U158" i="3"/>
  <c r="U39" i="3"/>
  <c r="V158" i="3"/>
  <c r="V39" i="3"/>
  <c r="X158" i="3"/>
  <c r="X161" i="3"/>
  <c r="X39" i="3"/>
  <c r="Y158" i="3"/>
  <c r="Y161" i="3"/>
  <c r="Y39" i="3"/>
  <c r="Z158" i="3"/>
  <c r="Z161" i="3"/>
  <c r="Z39" i="3"/>
  <c r="AA158" i="3"/>
  <c r="AA161" i="3"/>
  <c r="AA39" i="3"/>
  <c r="AC158" i="3"/>
  <c r="AC161" i="3"/>
  <c r="AC39" i="3"/>
  <c r="AD158" i="3"/>
  <c r="AD161" i="3"/>
  <c r="AD39" i="3"/>
  <c r="AE158" i="3"/>
  <c r="AE161" i="3"/>
  <c r="AE39" i="3"/>
  <c r="AF158" i="3"/>
  <c r="AF161" i="3"/>
  <c r="AF39" i="3"/>
  <c r="AH158" i="3"/>
  <c r="AH39" i="3"/>
  <c r="AI158" i="3"/>
  <c r="AI39" i="3"/>
  <c r="AJ158" i="3"/>
  <c r="AJ39" i="3"/>
  <c r="AK158" i="3"/>
  <c r="AK39" i="3"/>
  <c r="AK209" i="3"/>
  <c r="AL209" i="3"/>
  <c r="AG209" i="3"/>
  <c r="AL152" i="3"/>
  <c r="N157" i="3"/>
  <c r="L38" i="3"/>
  <c r="N38" i="3"/>
  <c r="N268" i="3"/>
  <c r="O157" i="3"/>
  <c r="O38" i="3"/>
  <c r="O268" i="3"/>
  <c r="P157" i="3"/>
  <c r="P38" i="3"/>
  <c r="P268" i="3"/>
  <c r="Q157" i="3"/>
  <c r="Q38" i="3"/>
  <c r="Q268" i="3"/>
  <c r="L268" i="3"/>
  <c r="L208" i="3"/>
  <c r="L213" i="3"/>
  <c r="R15" i="3"/>
  <c r="P186" i="3"/>
  <c r="O186" i="3"/>
  <c r="P250" i="3"/>
  <c r="S157" i="3"/>
  <c r="S38" i="3"/>
  <c r="S268" i="3"/>
  <c r="T157" i="3"/>
  <c r="T38" i="3"/>
  <c r="T268" i="3"/>
  <c r="U157" i="3"/>
  <c r="U38" i="3"/>
  <c r="U268" i="3"/>
  <c r="V157" i="3"/>
  <c r="V38" i="3"/>
  <c r="V268" i="3"/>
  <c r="W15" i="3"/>
  <c r="U186" i="3"/>
  <c r="T186" i="3"/>
  <c r="U250" i="3"/>
  <c r="X157" i="3"/>
  <c r="X38" i="3"/>
  <c r="X268" i="3"/>
  <c r="Y157" i="3"/>
  <c r="Y38" i="3"/>
  <c r="Y268" i="3"/>
  <c r="Z157" i="3"/>
  <c r="Z38" i="3"/>
  <c r="Z268" i="3"/>
  <c r="AA157" i="3"/>
  <c r="AA38" i="3"/>
  <c r="AA268" i="3"/>
  <c r="AA264" i="3"/>
  <c r="X269" i="3"/>
  <c r="Y269" i="3"/>
  <c r="Z269" i="3"/>
  <c r="AA269" i="3"/>
  <c r="AB15" i="3"/>
  <c r="Z186" i="3"/>
  <c r="Y186" i="3"/>
  <c r="Z250" i="3"/>
  <c r="AC157" i="3"/>
  <c r="AC38" i="3"/>
  <c r="AC268" i="3"/>
  <c r="AD157" i="3"/>
  <c r="AD38" i="3"/>
  <c r="AD268" i="3"/>
  <c r="AE157" i="3"/>
  <c r="AE38" i="3"/>
  <c r="AE268" i="3"/>
  <c r="AF157" i="3"/>
  <c r="AF38" i="3"/>
  <c r="AF268" i="3"/>
  <c r="AC264" i="3"/>
  <c r="AD264" i="3"/>
  <c r="AE264" i="3"/>
  <c r="AF264" i="3"/>
  <c r="AC269" i="3"/>
  <c r="AD269" i="3"/>
  <c r="AE269" i="3"/>
  <c r="AF269" i="3"/>
  <c r="AH157" i="3"/>
  <c r="AH38" i="3"/>
  <c r="AH268" i="3"/>
  <c r="AH264" i="3"/>
  <c r="AH269" i="3"/>
  <c r="AI157" i="3"/>
  <c r="AI38" i="3"/>
  <c r="AI268" i="3"/>
  <c r="AI264" i="3"/>
  <c r="AI269" i="3"/>
  <c r="AJ157" i="3"/>
  <c r="AJ38" i="3"/>
  <c r="AJ268" i="3"/>
  <c r="AJ264" i="3"/>
  <c r="AJ269" i="3"/>
  <c r="AK157" i="3"/>
  <c r="AK38" i="3"/>
  <c r="AK268" i="3"/>
  <c r="AK264" i="3"/>
  <c r="AK269" i="3"/>
  <c r="AL147" i="3"/>
  <c r="AG161" i="3"/>
  <c r="AG160" i="3"/>
  <c r="AB209" i="3"/>
  <c r="AG152" i="3"/>
  <c r="AG147" i="3"/>
  <c r="AB161" i="3"/>
  <c r="AB160" i="3"/>
  <c r="AB152" i="3"/>
  <c r="AB147" i="3"/>
  <c r="W161" i="3"/>
  <c r="W160" i="3"/>
  <c r="W152" i="3"/>
  <c r="W147" i="3"/>
  <c r="R161" i="3"/>
  <c r="R160" i="3"/>
  <c r="M37" i="3"/>
  <c r="M15" i="3"/>
  <c r="M33" i="3"/>
  <c r="M35" i="3"/>
  <c r="L35" i="3"/>
  <c r="M39" i="3"/>
  <c r="M42" i="3"/>
  <c r="R152" i="3"/>
  <c r="M185" i="3"/>
  <c r="M190" i="3"/>
  <c r="R147" i="3"/>
  <c r="AL115" i="3"/>
  <c r="AG115" i="3"/>
  <c r="AB115" i="3"/>
  <c r="W115" i="3"/>
  <c r="R115" i="3"/>
  <c r="T94" i="3"/>
  <c r="T96" i="3"/>
  <c r="T101" i="3"/>
  <c r="T14" i="3"/>
  <c r="S81" i="3"/>
  <c r="X83" i="3"/>
  <c r="T81" i="3"/>
  <c r="Y83" i="3"/>
  <c r="U81" i="3"/>
  <c r="Z83" i="3"/>
  <c r="V81" i="3"/>
  <c r="AA83" i="3"/>
  <c r="X82" i="3"/>
  <c r="X81" i="3"/>
  <c r="AC83" i="3"/>
  <c r="Y82" i="3"/>
  <c r="Y81" i="3"/>
  <c r="AD83" i="3"/>
  <c r="Z82" i="3"/>
  <c r="Z81" i="3"/>
  <c r="AE83" i="3"/>
  <c r="AA82" i="3"/>
  <c r="AA81" i="3"/>
  <c r="AF83" i="3"/>
  <c r="AC81" i="3"/>
  <c r="AH83" i="3"/>
  <c r="AD81" i="3"/>
  <c r="AI83" i="3"/>
  <c r="AE82" i="3"/>
  <c r="AE81" i="3"/>
  <c r="AJ83" i="3"/>
  <c r="AF82" i="3"/>
  <c r="AF81" i="3"/>
  <c r="AK83" i="3"/>
  <c r="AL101" i="3"/>
  <c r="AL93" i="3"/>
  <c r="AH82" i="3"/>
  <c r="AI82" i="3"/>
  <c r="AJ82" i="3"/>
  <c r="AK82" i="3"/>
  <c r="AL82" i="3"/>
  <c r="AL100" i="3"/>
  <c r="AG101" i="3"/>
  <c r="AG93" i="3"/>
  <c r="AG82" i="3"/>
  <c r="AG100" i="3"/>
  <c r="AB101" i="3"/>
  <c r="AB93" i="3"/>
  <c r="AB82" i="3"/>
  <c r="AB100" i="3"/>
  <c r="W101" i="3"/>
  <c r="W93" i="3"/>
  <c r="W82" i="3"/>
  <c r="W100" i="3"/>
  <c r="R101" i="3"/>
  <c r="R93" i="3"/>
  <c r="R82" i="3"/>
  <c r="R100" i="3"/>
  <c r="Y94" i="3"/>
  <c r="Y96" i="3"/>
  <c r="Y14" i="3"/>
  <c r="AD94" i="3"/>
  <c r="AD96" i="3"/>
  <c r="AD14" i="3"/>
  <c r="AI94" i="3"/>
  <c r="AI96" i="3"/>
  <c r="AI14" i="3"/>
  <c r="AL68" i="3"/>
  <c r="AG68" i="3"/>
  <c r="AB68" i="3"/>
  <c r="W68" i="3"/>
  <c r="R68" i="3"/>
  <c r="AC59" i="3"/>
  <c r="AD59" i="3"/>
  <c r="AE59" i="3"/>
  <c r="AF59" i="3"/>
  <c r="AH60" i="3"/>
  <c r="AH59" i="3"/>
  <c r="AH61" i="3"/>
  <c r="AH63" i="3"/>
  <c r="AI60" i="3"/>
  <c r="AI59" i="3"/>
  <c r="AI61" i="3"/>
  <c r="AI63" i="3"/>
  <c r="AJ60" i="3"/>
  <c r="AJ59" i="3"/>
  <c r="AJ61" i="3"/>
  <c r="AJ63" i="3"/>
  <c r="AK60" i="3"/>
  <c r="AK59" i="3"/>
  <c r="AK61" i="3"/>
  <c r="AK63" i="3"/>
  <c r="AL60" i="3"/>
  <c r="AL67" i="3"/>
  <c r="AC61" i="3"/>
  <c r="AC63" i="3"/>
  <c r="AD61" i="3"/>
  <c r="AD63" i="3"/>
  <c r="AE61" i="3"/>
  <c r="AE63" i="3"/>
  <c r="AF61" i="3"/>
  <c r="AF63" i="3"/>
  <c r="AG60" i="3"/>
  <c r="AG67" i="3"/>
  <c r="AB67" i="3"/>
  <c r="W67" i="3"/>
  <c r="R67" i="3"/>
  <c r="AB60" i="3"/>
  <c r="W60" i="3"/>
  <c r="R60" i="3"/>
  <c r="AL56" i="3"/>
  <c r="AG56" i="3"/>
  <c r="AB56" i="3"/>
  <c r="W56" i="3"/>
  <c r="R56" i="3"/>
  <c r="AL49" i="3"/>
  <c r="AG49" i="3"/>
  <c r="AB49" i="3"/>
  <c r="W49" i="3"/>
  <c r="AH14" i="3"/>
  <c r="AJ14" i="3"/>
  <c r="AK14" i="3"/>
  <c r="AL14" i="3"/>
  <c r="AC14" i="3"/>
  <c r="AE14" i="3"/>
  <c r="AF14" i="3"/>
  <c r="AG14" i="3"/>
  <c r="AB14" i="3"/>
  <c r="W14" i="3"/>
  <c r="H279" i="3"/>
  <c r="R49" i="3"/>
  <c r="M161" i="3"/>
  <c r="M160" i="3"/>
  <c r="M154" i="3"/>
  <c r="M153" i="3"/>
  <c r="L269" i="3"/>
  <c r="M147" i="3"/>
  <c r="L124" i="3"/>
  <c r="M124" i="3"/>
  <c r="M125" i="3"/>
  <c r="L110" i="3"/>
  <c r="M110" i="3"/>
  <c r="M101" i="3"/>
  <c r="M111" i="3"/>
  <c r="M100" i="3"/>
  <c r="M93" i="3"/>
  <c r="M82" i="3"/>
  <c r="L76" i="3"/>
  <c r="M76" i="3"/>
  <c r="M68" i="3"/>
  <c r="M77" i="3"/>
  <c r="M56" i="3"/>
  <c r="M49" i="3"/>
  <c r="M60" i="3"/>
  <c r="M67" i="3"/>
  <c r="L43" i="3"/>
  <c r="AH244" i="3"/>
  <c r="AI244" i="3"/>
  <c r="AJ244" i="3"/>
  <c r="AK244" i="3"/>
  <c r="AH243" i="3"/>
  <c r="AI243" i="3"/>
  <c r="AJ243" i="3"/>
  <c r="AK243" i="3"/>
  <c r="AH252" i="3"/>
  <c r="AI252" i="3"/>
  <c r="AJ252" i="3"/>
  <c r="AK252" i="3"/>
  <c r="AH254" i="3"/>
  <c r="AI254" i="3"/>
  <c r="AJ254" i="3"/>
  <c r="AK254" i="3"/>
  <c r="AH255" i="3"/>
  <c r="AI255" i="3"/>
  <c r="AJ255" i="3"/>
  <c r="AK255" i="3"/>
  <c r="N43" i="3"/>
  <c r="P43" i="3"/>
  <c r="Q43" i="3"/>
  <c r="S43" i="3"/>
  <c r="U43" i="3"/>
  <c r="V43" i="3"/>
  <c r="X43" i="3"/>
  <c r="Z43" i="3"/>
  <c r="AA43" i="3"/>
  <c r="AC43" i="3"/>
  <c r="AE43" i="3"/>
  <c r="AF43" i="3"/>
  <c r="AH43" i="3"/>
  <c r="O43" i="3"/>
  <c r="T43" i="3"/>
  <c r="Y43" i="3"/>
  <c r="AD43" i="3"/>
  <c r="AI43" i="3"/>
  <c r="AJ43" i="3"/>
  <c r="AK43" i="3"/>
  <c r="AH206" i="3"/>
  <c r="AH217" i="3"/>
  <c r="AH218" i="3"/>
  <c r="AH202" i="3"/>
  <c r="AH203" i="3"/>
  <c r="AH204" i="3"/>
  <c r="AH205" i="3"/>
  <c r="AH210" i="3"/>
  <c r="AH211" i="3"/>
  <c r="AH212" i="3"/>
  <c r="AH193" i="3"/>
  <c r="AH196" i="3"/>
  <c r="AH197" i="3"/>
  <c r="AH188" i="3"/>
  <c r="AI206" i="3"/>
  <c r="AI217" i="3"/>
  <c r="AI218" i="3"/>
  <c r="AI202" i="3"/>
  <c r="AI203" i="3"/>
  <c r="AI204" i="3"/>
  <c r="AI205" i="3"/>
  <c r="AI210" i="3"/>
  <c r="AI211" i="3"/>
  <c r="AI212" i="3"/>
  <c r="AI193" i="3"/>
  <c r="AI196" i="3"/>
  <c r="AI197" i="3"/>
  <c r="AI188" i="3"/>
  <c r="AJ206" i="3"/>
  <c r="AJ217" i="3"/>
  <c r="AJ218" i="3"/>
  <c r="AJ202" i="3"/>
  <c r="AJ203" i="3"/>
  <c r="AJ204" i="3"/>
  <c r="AJ205" i="3"/>
  <c r="AJ210" i="3"/>
  <c r="AJ211" i="3"/>
  <c r="AJ212" i="3"/>
  <c r="AJ193" i="3"/>
  <c r="AJ196" i="3"/>
  <c r="AJ197" i="3"/>
  <c r="AJ188" i="3"/>
  <c r="AK217" i="3"/>
  <c r="AK218" i="3"/>
  <c r="AK202" i="3"/>
  <c r="AK203" i="3"/>
  <c r="AK204" i="3"/>
  <c r="AK205" i="3"/>
  <c r="AK210" i="3"/>
  <c r="AK211" i="3"/>
  <c r="AK212" i="3"/>
  <c r="AK193" i="3"/>
  <c r="AK196" i="3"/>
  <c r="AK197" i="3"/>
  <c r="AK188" i="3"/>
  <c r="AL186" i="3"/>
  <c r="AL188" i="3"/>
  <c r="AL191" i="3"/>
  <c r="AL193" i="3"/>
  <c r="AH194" i="3"/>
  <c r="AI194" i="3"/>
  <c r="AJ194" i="3"/>
  <c r="AK194" i="3"/>
  <c r="AL194" i="3"/>
  <c r="AL196" i="3"/>
  <c r="AL197" i="3"/>
  <c r="AL202" i="3"/>
  <c r="AL203" i="3"/>
  <c r="AL204" i="3"/>
  <c r="AL205" i="3"/>
  <c r="AL206" i="3"/>
  <c r="AL210" i="3"/>
  <c r="AL211" i="3"/>
  <c r="AL212" i="3"/>
  <c r="AL215" i="3"/>
  <c r="AL217" i="3"/>
  <c r="AL218" i="3"/>
  <c r="N151" i="3"/>
  <c r="O151" i="3"/>
  <c r="P151" i="3"/>
  <c r="Q151" i="3"/>
  <c r="S151" i="3"/>
  <c r="T151" i="3"/>
  <c r="U151" i="3"/>
  <c r="V151" i="3"/>
  <c r="X151" i="3"/>
  <c r="Y151" i="3"/>
  <c r="Z151" i="3"/>
  <c r="AA151" i="3"/>
  <c r="AC151" i="3"/>
  <c r="AD151" i="3"/>
  <c r="AE151" i="3"/>
  <c r="AF151" i="3"/>
  <c r="AH151" i="3"/>
  <c r="AI151" i="3"/>
  <c r="AJ151" i="3"/>
  <c r="AK151" i="3"/>
  <c r="D272" i="3"/>
  <c r="D262" i="3"/>
  <c r="D274" i="3"/>
  <c r="D276" i="3"/>
  <c r="E275" i="3"/>
  <c r="E272" i="3"/>
  <c r="E262" i="3"/>
  <c r="E274" i="3"/>
  <c r="E276" i="3"/>
  <c r="F275" i="3"/>
  <c r="F272" i="3"/>
  <c r="F262" i="3"/>
  <c r="F274" i="3"/>
  <c r="F276" i="3"/>
  <c r="G275" i="3"/>
  <c r="G272" i="3"/>
  <c r="G262" i="3"/>
  <c r="G274" i="3"/>
  <c r="G276" i="3"/>
  <c r="G184" i="3"/>
  <c r="F184" i="3"/>
  <c r="G151" i="3"/>
  <c r="E184" i="3"/>
  <c r="F151" i="3"/>
  <c r="D184" i="3"/>
  <c r="E151" i="3"/>
  <c r="I184" i="3"/>
  <c r="I151" i="3"/>
  <c r="J151" i="3"/>
  <c r="L30" i="3"/>
  <c r="AA282" i="3"/>
  <c r="AB282" i="3"/>
  <c r="AC282" i="3"/>
  <c r="AD282" i="3"/>
  <c r="AE282" i="3"/>
  <c r="AF282" i="3"/>
  <c r="AG282" i="3"/>
  <c r="AH282" i="3"/>
  <c r="AI282" i="3"/>
  <c r="AJ282" i="3"/>
  <c r="AK282" i="3"/>
  <c r="AL282" i="3"/>
  <c r="L282" i="3"/>
  <c r="M282" i="3"/>
  <c r="N282" i="3"/>
  <c r="O282" i="3"/>
  <c r="P282" i="3"/>
  <c r="Q282" i="3"/>
  <c r="R282" i="3"/>
  <c r="S282" i="3"/>
  <c r="T282" i="3"/>
  <c r="U282" i="3"/>
  <c r="V282" i="3"/>
  <c r="W282" i="3"/>
  <c r="X282" i="3"/>
  <c r="Y282" i="3"/>
  <c r="Z282" i="3"/>
  <c r="L154" i="3"/>
  <c r="L153" i="3"/>
  <c r="L149" i="3"/>
  <c r="M27" i="3"/>
  <c r="M149" i="3"/>
  <c r="M148" i="3"/>
  <c r="L148" i="3"/>
  <c r="AK147" i="3"/>
  <c r="AJ147" i="3"/>
  <c r="AI147" i="3"/>
  <c r="AH147" i="3"/>
  <c r="AF147" i="3"/>
  <c r="AE147" i="3"/>
  <c r="AD147" i="3"/>
  <c r="AC147" i="3"/>
  <c r="AA147" i="3"/>
  <c r="Z147" i="3"/>
  <c r="Y147" i="3"/>
  <c r="X147" i="3"/>
  <c r="V147" i="3"/>
  <c r="U147" i="3"/>
  <c r="T147" i="3"/>
  <c r="S147" i="3"/>
  <c r="Q147" i="3"/>
  <c r="P147" i="3"/>
  <c r="O147" i="3"/>
  <c r="N147" i="3"/>
  <c r="L147" i="3"/>
  <c r="AG215" i="3"/>
  <c r="AG186" i="3"/>
  <c r="S206" i="3"/>
  <c r="S209" i="3"/>
  <c r="S264" i="3"/>
  <c r="S217" i="3"/>
  <c r="S218" i="3"/>
  <c r="S202" i="3"/>
  <c r="S203" i="3"/>
  <c r="S204" i="3"/>
  <c r="S205" i="3"/>
  <c r="S210" i="3"/>
  <c r="S211" i="3"/>
  <c r="S212" i="3"/>
  <c r="S193" i="3"/>
  <c r="S196" i="3"/>
  <c r="S197" i="3"/>
  <c r="S194" i="3"/>
  <c r="S243" i="3"/>
  <c r="S188" i="3"/>
  <c r="S252" i="3"/>
  <c r="S254" i="3"/>
  <c r="S255" i="3"/>
  <c r="T206" i="3"/>
  <c r="T209" i="3"/>
  <c r="T264" i="3"/>
  <c r="T30" i="3"/>
  <c r="T217" i="3"/>
  <c r="T218" i="3"/>
  <c r="T202" i="3"/>
  <c r="T203" i="3"/>
  <c r="T204" i="3"/>
  <c r="T205" i="3"/>
  <c r="T210" i="3"/>
  <c r="T211" i="3"/>
  <c r="T212" i="3"/>
  <c r="T193" i="3"/>
  <c r="T196" i="3"/>
  <c r="T197" i="3"/>
  <c r="T194" i="3"/>
  <c r="T243" i="3"/>
  <c r="T188" i="3"/>
  <c r="T252" i="3"/>
  <c r="T254" i="3"/>
  <c r="T255" i="3"/>
  <c r="U206" i="3"/>
  <c r="U209" i="3"/>
  <c r="U264" i="3"/>
  <c r="U30" i="3"/>
  <c r="U217" i="3"/>
  <c r="U218" i="3"/>
  <c r="U202" i="3"/>
  <c r="U203" i="3"/>
  <c r="U204" i="3"/>
  <c r="U205" i="3"/>
  <c r="U210" i="3"/>
  <c r="U211" i="3"/>
  <c r="U212" i="3"/>
  <c r="U193" i="3"/>
  <c r="U196" i="3"/>
  <c r="U197" i="3"/>
  <c r="U194" i="3"/>
  <c r="U243" i="3"/>
  <c r="U188" i="3"/>
  <c r="U252" i="3"/>
  <c r="U254" i="3"/>
  <c r="U255" i="3"/>
  <c r="V209" i="3"/>
  <c r="V264" i="3"/>
  <c r="V30" i="3"/>
  <c r="V217" i="3"/>
  <c r="V218" i="3"/>
  <c r="V202" i="3"/>
  <c r="V203" i="3"/>
  <c r="V204" i="3"/>
  <c r="V205" i="3"/>
  <c r="V210" i="3"/>
  <c r="V211" i="3"/>
  <c r="V212" i="3"/>
  <c r="V193" i="3"/>
  <c r="V196" i="3"/>
  <c r="V197" i="3"/>
  <c r="V194" i="3"/>
  <c r="V243" i="3"/>
  <c r="V188" i="3"/>
  <c r="V252" i="3"/>
  <c r="V254" i="3"/>
  <c r="V255" i="3"/>
  <c r="W30" i="3"/>
  <c r="X206" i="3"/>
  <c r="X209" i="3"/>
  <c r="X264" i="3"/>
  <c r="X30" i="3"/>
  <c r="X217" i="3"/>
  <c r="X218" i="3"/>
  <c r="X202" i="3"/>
  <c r="X203" i="3"/>
  <c r="X204" i="3"/>
  <c r="W205" i="3"/>
  <c r="X205" i="3"/>
  <c r="X210" i="3"/>
  <c r="X211" i="3"/>
  <c r="X212" i="3"/>
  <c r="X193" i="3"/>
  <c r="X196" i="3"/>
  <c r="W197" i="3"/>
  <c r="X197" i="3"/>
  <c r="X194" i="3"/>
  <c r="X243" i="3"/>
  <c r="X188" i="3"/>
  <c r="X252" i="3"/>
  <c r="X254" i="3"/>
  <c r="X255" i="3"/>
  <c r="Y206" i="3"/>
  <c r="Y209" i="3"/>
  <c r="Y264" i="3"/>
  <c r="Y30" i="3"/>
  <c r="Y217" i="3"/>
  <c r="Y218" i="3"/>
  <c r="Y202" i="3"/>
  <c r="Y203" i="3"/>
  <c r="Y204" i="3"/>
  <c r="Y205" i="3"/>
  <c r="Y210" i="3"/>
  <c r="Y211" i="3"/>
  <c r="Y212" i="3"/>
  <c r="Y193" i="3"/>
  <c r="Y196" i="3"/>
  <c r="Y197" i="3"/>
  <c r="Y194" i="3"/>
  <c r="Y243" i="3"/>
  <c r="Y188" i="3"/>
  <c r="Y252" i="3"/>
  <c r="Y254" i="3"/>
  <c r="Y255" i="3"/>
  <c r="Z206" i="3"/>
  <c r="Z209" i="3"/>
  <c r="Z264" i="3"/>
  <c r="Z30" i="3"/>
  <c r="Z217" i="3"/>
  <c r="Z218" i="3"/>
  <c r="Z202" i="3"/>
  <c r="Z203" i="3"/>
  <c r="Z204" i="3"/>
  <c r="Z205" i="3"/>
  <c r="Z210" i="3"/>
  <c r="Z211" i="3"/>
  <c r="Z212" i="3"/>
  <c r="Z193" i="3"/>
  <c r="Z196" i="3"/>
  <c r="Z197" i="3"/>
  <c r="Z194" i="3"/>
  <c r="Z243" i="3"/>
  <c r="Z188" i="3"/>
  <c r="Z252" i="3"/>
  <c r="Z254" i="3"/>
  <c r="Z255" i="3"/>
  <c r="AA30" i="3"/>
  <c r="AA217" i="3"/>
  <c r="AA218" i="3"/>
  <c r="AA202" i="3"/>
  <c r="AA203" i="3"/>
  <c r="AA204" i="3"/>
  <c r="AA205" i="3"/>
  <c r="AA210" i="3"/>
  <c r="AA211" i="3"/>
  <c r="AA212" i="3"/>
  <c r="AA193" i="3"/>
  <c r="AA196" i="3"/>
  <c r="AA197" i="3"/>
  <c r="AA194" i="3"/>
  <c r="AA243" i="3"/>
  <c r="AA188" i="3"/>
  <c r="AA252" i="3"/>
  <c r="AA254" i="3"/>
  <c r="AA255" i="3"/>
  <c r="AB30" i="3"/>
  <c r="AC206" i="3"/>
  <c r="AC217" i="3"/>
  <c r="AC218" i="3"/>
  <c r="AC202" i="3"/>
  <c r="AC203" i="3"/>
  <c r="AC204" i="3"/>
  <c r="AB205" i="3"/>
  <c r="AC205" i="3"/>
  <c r="AC210" i="3"/>
  <c r="AC211" i="3"/>
  <c r="AC212" i="3"/>
  <c r="AC193" i="3"/>
  <c r="AC196" i="3"/>
  <c r="AB197" i="3"/>
  <c r="AC197" i="3"/>
  <c r="AC194" i="3"/>
  <c r="AC243" i="3"/>
  <c r="AC188" i="3"/>
  <c r="AC252" i="3"/>
  <c r="AC254" i="3"/>
  <c r="AC255" i="3"/>
  <c r="AD206" i="3"/>
  <c r="AD217" i="3"/>
  <c r="AD218" i="3"/>
  <c r="AD202" i="3"/>
  <c r="AD203" i="3"/>
  <c r="AD204" i="3"/>
  <c r="AD205" i="3"/>
  <c r="AD210" i="3"/>
  <c r="AD211" i="3"/>
  <c r="AD212" i="3"/>
  <c r="AD193" i="3"/>
  <c r="AD196" i="3"/>
  <c r="AD197" i="3"/>
  <c r="AD194" i="3"/>
  <c r="AD243" i="3"/>
  <c r="AD188" i="3"/>
  <c r="AD252" i="3"/>
  <c r="AD254" i="3"/>
  <c r="AD255" i="3"/>
  <c r="AE206" i="3"/>
  <c r="AE217" i="3"/>
  <c r="AE218" i="3"/>
  <c r="AE202" i="3"/>
  <c r="AE203" i="3"/>
  <c r="AE204" i="3"/>
  <c r="AE205" i="3"/>
  <c r="AE210" i="3"/>
  <c r="AE211" i="3"/>
  <c r="AE212" i="3"/>
  <c r="AE193" i="3"/>
  <c r="AE196" i="3"/>
  <c r="AE197" i="3"/>
  <c r="AE194" i="3"/>
  <c r="AE243" i="3"/>
  <c r="AE188" i="3"/>
  <c r="AE252" i="3"/>
  <c r="AE254" i="3"/>
  <c r="AE255" i="3"/>
  <c r="AF217" i="3"/>
  <c r="AF218" i="3"/>
  <c r="AF202" i="3"/>
  <c r="AF203" i="3"/>
  <c r="AF204" i="3"/>
  <c r="AF205" i="3"/>
  <c r="AF210" i="3"/>
  <c r="AF211" i="3"/>
  <c r="AF212" i="3"/>
  <c r="AF193" i="3"/>
  <c r="AF196" i="3"/>
  <c r="AF197" i="3"/>
  <c r="AF194" i="3"/>
  <c r="AF243" i="3"/>
  <c r="AF188" i="3"/>
  <c r="AF252" i="3"/>
  <c r="AF254" i="3"/>
  <c r="AF255" i="3"/>
  <c r="AG205" i="3"/>
  <c r="AG197" i="3"/>
  <c r="W186" i="3"/>
  <c r="AB186" i="3"/>
  <c r="W188" i="3"/>
  <c r="AB188" i="3"/>
  <c r="AG188" i="3"/>
  <c r="W191" i="3"/>
  <c r="AB191" i="3"/>
  <c r="AG191" i="3"/>
  <c r="W193" i="3"/>
  <c r="AB193" i="3"/>
  <c r="AG193" i="3"/>
  <c r="W194" i="3"/>
  <c r="AB194" i="3"/>
  <c r="AG194" i="3"/>
  <c r="W196" i="3"/>
  <c r="AB196" i="3"/>
  <c r="AG196" i="3"/>
  <c r="W202" i="3"/>
  <c r="AB202" i="3"/>
  <c r="AG202" i="3"/>
  <c r="W203" i="3"/>
  <c r="AB203" i="3"/>
  <c r="AG203" i="3"/>
  <c r="W204" i="3"/>
  <c r="AB204" i="3"/>
  <c r="AG204" i="3"/>
  <c r="W206" i="3"/>
  <c r="AB206" i="3"/>
  <c r="AG206" i="3"/>
  <c r="W209" i="3"/>
  <c r="W210" i="3"/>
  <c r="AB210" i="3"/>
  <c r="AG210" i="3"/>
  <c r="W211" i="3"/>
  <c r="AB211" i="3"/>
  <c r="AG211" i="3"/>
  <c r="W212" i="3"/>
  <c r="AB212" i="3"/>
  <c r="AG212" i="3"/>
  <c r="W215" i="3"/>
  <c r="AB215" i="3"/>
  <c r="W217" i="3"/>
  <c r="AB217" i="3"/>
  <c r="AG217" i="3"/>
  <c r="W218" i="3"/>
  <c r="AB218" i="3"/>
  <c r="AG218" i="3"/>
  <c r="R191" i="3"/>
  <c r="M191" i="3"/>
  <c r="H191" i="3"/>
  <c r="M200" i="3"/>
  <c r="M208" i="3"/>
  <c r="R201" i="3"/>
  <c r="AC244" i="3"/>
  <c r="AD244" i="3"/>
  <c r="AE244" i="3"/>
  <c r="AF244" i="3"/>
  <c r="X244" i="3"/>
  <c r="Y244" i="3"/>
  <c r="Z244" i="3"/>
  <c r="AA244" i="3"/>
  <c r="S269" i="3"/>
  <c r="T269" i="3"/>
  <c r="U269" i="3"/>
  <c r="V269" i="3"/>
  <c r="S244" i="3"/>
  <c r="T244" i="3"/>
  <c r="U244" i="3"/>
  <c r="V244" i="3"/>
  <c r="N256" i="3"/>
  <c r="P256" i="3"/>
  <c r="O256" i="3"/>
  <c r="L256" i="3"/>
  <c r="N255" i="3"/>
  <c r="Q255" i="3"/>
  <c r="P255" i="3"/>
  <c r="O255" i="3"/>
  <c r="L255" i="3"/>
  <c r="N254" i="3"/>
  <c r="Q254" i="3"/>
  <c r="P254" i="3"/>
  <c r="O254" i="3"/>
  <c r="L254" i="3"/>
  <c r="N252" i="3"/>
  <c r="Q252" i="3"/>
  <c r="P252" i="3"/>
  <c r="O252" i="3"/>
  <c r="L252" i="3"/>
  <c r="Q244" i="3"/>
  <c r="P244" i="3"/>
  <c r="O244" i="3"/>
  <c r="N244" i="3"/>
  <c r="L244" i="3"/>
  <c r="N243" i="3"/>
  <c r="Q243" i="3"/>
  <c r="P243" i="3"/>
  <c r="O243" i="3"/>
  <c r="L243" i="3"/>
  <c r="M216" i="3"/>
  <c r="M215" i="3"/>
  <c r="M219" i="3"/>
  <c r="R215" i="3"/>
  <c r="M213" i="3"/>
  <c r="M220" i="3"/>
  <c r="M186" i="3"/>
  <c r="M187" i="3"/>
  <c r="M195" i="3"/>
  <c r="R186" i="3"/>
  <c r="L218" i="3"/>
  <c r="M218" i="3"/>
  <c r="N218" i="3"/>
  <c r="O218" i="3"/>
  <c r="P218" i="3"/>
  <c r="Q218" i="3"/>
  <c r="R218" i="3"/>
  <c r="R217" i="3"/>
  <c r="M217" i="3"/>
  <c r="Q217" i="3"/>
  <c r="P217" i="3"/>
  <c r="O217" i="3"/>
  <c r="N217" i="3"/>
  <c r="L217" i="3"/>
  <c r="N269" i="3"/>
  <c r="Q269" i="3"/>
  <c r="P269" i="3"/>
  <c r="O269" i="3"/>
  <c r="R212" i="3"/>
  <c r="M212" i="3"/>
  <c r="N212" i="3"/>
  <c r="O212" i="3"/>
  <c r="P212" i="3"/>
  <c r="Q212" i="3"/>
  <c r="L212" i="3"/>
  <c r="K152" i="3"/>
  <c r="L152" i="3"/>
  <c r="N152" i="3"/>
  <c r="O152" i="3"/>
  <c r="P152" i="3"/>
  <c r="Q152" i="3"/>
  <c r="S152" i="3"/>
  <c r="T152" i="3"/>
  <c r="U152" i="3"/>
  <c r="V152" i="3"/>
  <c r="X152" i="3"/>
  <c r="Y152" i="3"/>
  <c r="Z152" i="3"/>
  <c r="AA152" i="3"/>
  <c r="AC152" i="3"/>
  <c r="AD152" i="3"/>
  <c r="AE152" i="3"/>
  <c r="AF152" i="3"/>
  <c r="AH152" i="3"/>
  <c r="AI152" i="3"/>
  <c r="AJ152" i="3"/>
  <c r="AK152" i="3"/>
  <c r="S30" i="3"/>
  <c r="N30" i="3"/>
  <c r="Q30" i="3"/>
  <c r="P30" i="3"/>
  <c r="O30" i="3"/>
  <c r="R30" i="3"/>
  <c r="M30" i="3"/>
  <c r="M152" i="3"/>
  <c r="N264" i="3"/>
  <c r="O264" i="3"/>
  <c r="P264" i="3"/>
  <c r="Q264" i="3"/>
  <c r="K206" i="3"/>
  <c r="L206" i="3"/>
  <c r="L209" i="3"/>
  <c r="L264" i="3"/>
  <c r="L233" i="3"/>
  <c r="M206" i="3"/>
  <c r="M209" i="3"/>
  <c r="N206" i="3"/>
  <c r="N209" i="3"/>
  <c r="O206" i="3"/>
  <c r="O209" i="3"/>
  <c r="P206" i="3"/>
  <c r="P209" i="3"/>
  <c r="Q209" i="3"/>
  <c r="R206" i="3"/>
  <c r="R209" i="3"/>
  <c r="L234" i="3"/>
  <c r="N234" i="3"/>
  <c r="O234" i="3"/>
  <c r="P234" i="3"/>
  <c r="Q234" i="3"/>
  <c r="R234" i="3"/>
  <c r="S234" i="3"/>
  <c r="T234" i="3"/>
  <c r="U234" i="3"/>
  <c r="V234" i="3"/>
  <c r="W234" i="3"/>
  <c r="X234" i="3"/>
  <c r="Y234" i="3"/>
  <c r="Z234" i="3"/>
  <c r="AA234" i="3"/>
  <c r="AB234" i="3"/>
  <c r="AC234" i="3"/>
  <c r="AD234" i="3"/>
  <c r="AE234" i="3"/>
  <c r="AF234" i="3"/>
  <c r="AG234" i="3"/>
  <c r="AH234" i="3"/>
  <c r="AI234" i="3"/>
  <c r="AJ234" i="3"/>
  <c r="AK234" i="3"/>
  <c r="AL234" i="3"/>
  <c r="L205" i="3"/>
  <c r="M205" i="3"/>
  <c r="N205" i="3"/>
  <c r="O205" i="3"/>
  <c r="P205" i="3"/>
  <c r="Q205" i="3"/>
  <c r="R205" i="3"/>
  <c r="L211" i="3"/>
  <c r="N211" i="3"/>
  <c r="O211" i="3"/>
  <c r="P211" i="3"/>
  <c r="Q211" i="3"/>
  <c r="R211" i="3"/>
  <c r="M211" i="3"/>
  <c r="L203" i="3"/>
  <c r="N203" i="3"/>
  <c r="O203" i="3"/>
  <c r="P203" i="3"/>
  <c r="Q203" i="3"/>
  <c r="L202" i="3"/>
  <c r="N202" i="3"/>
  <c r="O202" i="3"/>
  <c r="P202" i="3"/>
  <c r="Q202" i="3"/>
  <c r="N64" i="3"/>
  <c r="S64" i="3"/>
  <c r="X64" i="3"/>
  <c r="AC64" i="3"/>
  <c r="S62" i="3"/>
  <c r="X62" i="3"/>
  <c r="AC62" i="3"/>
  <c r="L59" i="3"/>
  <c r="I60" i="3"/>
  <c r="J60" i="3"/>
  <c r="K60" i="3"/>
  <c r="N60" i="3"/>
  <c r="N59" i="3"/>
  <c r="O60" i="3"/>
  <c r="O59" i="3"/>
  <c r="P60" i="3"/>
  <c r="P59" i="3"/>
  <c r="Q60" i="3"/>
  <c r="Q59" i="3"/>
  <c r="S60" i="3"/>
  <c r="S59" i="3"/>
  <c r="T60" i="3"/>
  <c r="T59" i="3"/>
  <c r="U60" i="3"/>
  <c r="U59" i="3"/>
  <c r="V60" i="3"/>
  <c r="V59" i="3"/>
  <c r="X60" i="3"/>
  <c r="X59" i="3"/>
  <c r="Y60" i="3"/>
  <c r="Y59" i="3"/>
  <c r="Z60" i="3"/>
  <c r="Z59" i="3"/>
  <c r="AA60" i="3"/>
  <c r="AA59" i="3"/>
  <c r="L48" i="3"/>
  <c r="I49" i="3"/>
  <c r="J49" i="3"/>
  <c r="K49" i="3"/>
  <c r="N49" i="3"/>
  <c r="N48" i="3"/>
  <c r="O49" i="3"/>
  <c r="O48" i="3"/>
  <c r="P49" i="3"/>
  <c r="P48" i="3"/>
  <c r="Q49" i="3"/>
  <c r="Q48" i="3"/>
  <c r="S49" i="3"/>
  <c r="S48" i="3"/>
  <c r="T49" i="3"/>
  <c r="T48" i="3"/>
  <c r="U49" i="3"/>
  <c r="U48" i="3"/>
  <c r="V49" i="3"/>
  <c r="V48" i="3"/>
  <c r="X49" i="3"/>
  <c r="X48" i="3"/>
  <c r="AC50" i="3"/>
  <c r="I51" i="3"/>
  <c r="N55" i="3"/>
  <c r="O55" i="3"/>
  <c r="P55" i="3"/>
  <c r="Q55" i="3"/>
  <c r="S55" i="3"/>
  <c r="T55" i="3"/>
  <c r="U55" i="3"/>
  <c r="V55" i="3"/>
  <c r="X55" i="3"/>
  <c r="Y55" i="3"/>
  <c r="Z55" i="3"/>
  <c r="AA55" i="3"/>
  <c r="AC55" i="3"/>
  <c r="L64" i="3"/>
  <c r="Q64" i="3"/>
  <c r="V64" i="3"/>
  <c r="AA64" i="3"/>
  <c r="V62" i="3"/>
  <c r="AA62" i="3"/>
  <c r="AA61" i="3"/>
  <c r="AA63" i="3"/>
  <c r="AA50" i="3"/>
  <c r="P64" i="3"/>
  <c r="U64" i="3"/>
  <c r="Z64" i="3"/>
  <c r="U62" i="3"/>
  <c r="Z62" i="3"/>
  <c r="Z61" i="3"/>
  <c r="Z63" i="3"/>
  <c r="Z50" i="3"/>
  <c r="K51" i="3"/>
  <c r="O64" i="3"/>
  <c r="T64" i="3"/>
  <c r="Y64" i="3"/>
  <c r="T62" i="3"/>
  <c r="Y62" i="3"/>
  <c r="Y61" i="3"/>
  <c r="Y63" i="3"/>
  <c r="Y50" i="3"/>
  <c r="J51" i="3"/>
  <c r="X61" i="3"/>
  <c r="X63" i="3"/>
  <c r="X50" i="3"/>
  <c r="V61" i="3"/>
  <c r="V63" i="3"/>
  <c r="V50" i="3"/>
  <c r="U61" i="3"/>
  <c r="U63" i="3"/>
  <c r="U50" i="3"/>
  <c r="T61" i="3"/>
  <c r="T63" i="3"/>
  <c r="T50" i="3"/>
  <c r="S61" i="3"/>
  <c r="S63" i="3"/>
  <c r="S50" i="3"/>
  <c r="Q61" i="3"/>
  <c r="Q63" i="3"/>
  <c r="Q50" i="3"/>
  <c r="P61" i="3"/>
  <c r="P63" i="3"/>
  <c r="P50" i="3"/>
  <c r="O61" i="3"/>
  <c r="O63" i="3"/>
  <c r="O50" i="3"/>
  <c r="N61" i="3"/>
  <c r="N63" i="3"/>
  <c r="N50" i="3"/>
  <c r="L61" i="3"/>
  <c r="L63" i="3"/>
  <c r="L50" i="3"/>
  <c r="K75" i="3"/>
  <c r="K78" i="3"/>
  <c r="L83" i="3"/>
  <c r="G84" i="3"/>
  <c r="L92" i="3"/>
  <c r="L94" i="3"/>
  <c r="L96" i="3"/>
  <c r="L14" i="3"/>
  <c r="L97" i="3"/>
  <c r="L129" i="3"/>
  <c r="N83" i="3"/>
  <c r="I84" i="3"/>
  <c r="N88" i="3"/>
  <c r="N92" i="3"/>
  <c r="N94" i="3"/>
  <c r="N96" i="3"/>
  <c r="N14" i="3"/>
  <c r="N97" i="3"/>
  <c r="N129" i="3"/>
  <c r="O83" i="3"/>
  <c r="J84" i="3"/>
  <c r="O84" i="3"/>
  <c r="O88" i="3"/>
  <c r="O89" i="3"/>
  <c r="J93" i="3"/>
  <c r="K93" i="3"/>
  <c r="O93" i="3"/>
  <c r="O92" i="3"/>
  <c r="O94" i="3"/>
  <c r="O96" i="3"/>
  <c r="O14" i="3"/>
  <c r="O97" i="3"/>
  <c r="O129" i="3"/>
  <c r="P83" i="3"/>
  <c r="K84" i="3"/>
  <c r="P84" i="3"/>
  <c r="P88" i="3"/>
  <c r="P89" i="3"/>
  <c r="P93" i="3"/>
  <c r="P92" i="3"/>
  <c r="P94" i="3"/>
  <c r="P96" i="3"/>
  <c r="P14" i="3"/>
  <c r="P97" i="3"/>
  <c r="P129" i="3"/>
  <c r="L81" i="3"/>
  <c r="Q83" i="3"/>
  <c r="Q88" i="3"/>
  <c r="Q93" i="3"/>
  <c r="Q92" i="3"/>
  <c r="Q94" i="3"/>
  <c r="Q96" i="3"/>
  <c r="Q14" i="3"/>
  <c r="Q97" i="3"/>
  <c r="Q129" i="3"/>
  <c r="N81" i="3"/>
  <c r="S83" i="3"/>
  <c r="S88" i="3"/>
  <c r="S95" i="3"/>
  <c r="S93" i="3"/>
  <c r="S92" i="3"/>
  <c r="S94" i="3"/>
  <c r="S96" i="3"/>
  <c r="S14" i="3"/>
  <c r="S97" i="3"/>
  <c r="S129" i="3"/>
  <c r="O81" i="3"/>
  <c r="T83" i="3"/>
  <c r="T84" i="3"/>
  <c r="T88" i="3"/>
  <c r="T89" i="3"/>
  <c r="T95" i="3"/>
  <c r="T93" i="3"/>
  <c r="T92" i="3"/>
  <c r="T97" i="3"/>
  <c r="T129" i="3"/>
  <c r="P81" i="3"/>
  <c r="U83" i="3"/>
  <c r="U84" i="3"/>
  <c r="U88" i="3"/>
  <c r="U89" i="3"/>
  <c r="U95" i="3"/>
  <c r="U93" i="3"/>
  <c r="U92" i="3"/>
  <c r="U94" i="3"/>
  <c r="U96" i="3"/>
  <c r="U14" i="3"/>
  <c r="U97" i="3"/>
  <c r="U129" i="3"/>
  <c r="Q81" i="3"/>
  <c r="V83" i="3"/>
  <c r="V88" i="3"/>
  <c r="V95" i="3"/>
  <c r="V93" i="3"/>
  <c r="V92" i="3"/>
  <c r="V94" i="3"/>
  <c r="V96" i="3"/>
  <c r="V14" i="3"/>
  <c r="V97" i="3"/>
  <c r="V129" i="3"/>
  <c r="X88" i="3"/>
  <c r="X95" i="3"/>
  <c r="X93" i="3"/>
  <c r="X92" i="3"/>
  <c r="X94" i="3"/>
  <c r="X96" i="3"/>
  <c r="X14" i="3"/>
  <c r="X97" i="3"/>
  <c r="X129" i="3"/>
  <c r="Y88" i="3"/>
  <c r="Y95" i="3"/>
  <c r="Y93" i="3"/>
  <c r="Y92" i="3"/>
  <c r="Y97" i="3"/>
  <c r="Y129" i="3"/>
  <c r="Z88" i="3"/>
  <c r="Z95" i="3"/>
  <c r="Z93" i="3"/>
  <c r="Z92" i="3"/>
  <c r="Z94" i="3"/>
  <c r="Z96" i="3"/>
  <c r="Z14" i="3"/>
  <c r="Z97" i="3"/>
  <c r="Z129" i="3"/>
  <c r="AC97" i="3"/>
  <c r="AC95" i="3"/>
  <c r="AA93" i="3"/>
  <c r="AA92" i="3"/>
  <c r="AC93" i="3"/>
  <c r="AC92" i="3"/>
  <c r="AC94" i="3"/>
  <c r="AC96" i="3"/>
  <c r="AA88" i="3"/>
  <c r="AC88" i="3"/>
  <c r="AA97" i="3"/>
  <c r="AA95" i="3"/>
  <c r="AA94" i="3"/>
  <c r="AA96" i="3"/>
  <c r="U101" i="3"/>
  <c r="P101" i="3"/>
  <c r="O101" i="3"/>
  <c r="K108" i="3"/>
  <c r="K112" i="3"/>
  <c r="K122" i="3"/>
  <c r="K126" i="3"/>
  <c r="L131" i="3"/>
  <c r="N131" i="3"/>
  <c r="O131" i="3"/>
  <c r="P131" i="3"/>
  <c r="Q131" i="3"/>
  <c r="S131" i="3"/>
  <c r="T131" i="3"/>
  <c r="U131" i="3"/>
  <c r="V131" i="3"/>
  <c r="X131" i="3"/>
  <c r="Y131" i="3"/>
  <c r="Z131" i="3"/>
  <c r="AA131" i="3"/>
  <c r="AC131" i="3"/>
  <c r="G132" i="3"/>
  <c r="L132" i="3"/>
  <c r="N132" i="3"/>
  <c r="O132" i="3"/>
  <c r="P132" i="3"/>
  <c r="Q132" i="3"/>
  <c r="S132" i="3"/>
  <c r="T132" i="3"/>
  <c r="U132" i="3"/>
  <c r="V132" i="3"/>
  <c r="X132" i="3"/>
  <c r="Y132" i="3"/>
  <c r="Z132" i="3"/>
  <c r="AA132" i="3"/>
  <c r="AC132" i="3"/>
  <c r="AA14" i="3"/>
  <c r="AA129" i="3"/>
  <c r="L134" i="3"/>
  <c r="N134" i="3"/>
  <c r="O134" i="3"/>
  <c r="P134" i="3"/>
  <c r="Q134" i="3"/>
  <c r="S134" i="3"/>
  <c r="T134" i="3"/>
  <c r="U134" i="3"/>
  <c r="V134" i="3"/>
  <c r="X134" i="3"/>
  <c r="Y134" i="3"/>
  <c r="Z134" i="3"/>
  <c r="AA134" i="3"/>
  <c r="AC134" i="3"/>
  <c r="L135" i="3"/>
  <c r="N135" i="3"/>
  <c r="O135" i="3"/>
  <c r="P135" i="3"/>
  <c r="Q135" i="3"/>
  <c r="S135" i="3"/>
  <c r="T135" i="3"/>
  <c r="U135" i="3"/>
  <c r="V135" i="3"/>
  <c r="X135" i="3"/>
  <c r="Y135" i="3"/>
  <c r="Z135" i="3"/>
  <c r="AA135" i="3"/>
  <c r="AC135" i="3"/>
  <c r="K23" i="3"/>
  <c r="J23" i="3"/>
  <c r="I23" i="3"/>
  <c r="G18" i="3"/>
  <c r="G19" i="3"/>
  <c r="G20" i="3"/>
  <c r="G21" i="3"/>
  <c r="G22" i="3"/>
  <c r="G17" i="3"/>
  <c r="G23" i="3"/>
  <c r="F23" i="3"/>
  <c r="L201" i="3"/>
  <c r="N201" i="3"/>
  <c r="O201" i="3"/>
  <c r="P201" i="3"/>
  <c r="AD64" i="3"/>
  <c r="AD62" i="3"/>
  <c r="Y49" i="3"/>
  <c r="Y48" i="3"/>
  <c r="AD50" i="3"/>
  <c r="AD55" i="3"/>
  <c r="AD97" i="3"/>
  <c r="AD95" i="3"/>
  <c r="AD93" i="3"/>
  <c r="AD92" i="3"/>
  <c r="AD88" i="3"/>
  <c r="AD131" i="3"/>
  <c r="AD132" i="3"/>
  <c r="AC129" i="3"/>
  <c r="AD134" i="3"/>
  <c r="AD135" i="3"/>
  <c r="AE64" i="3"/>
  <c r="AE62" i="3"/>
  <c r="Z49" i="3"/>
  <c r="Z48" i="3"/>
  <c r="AE50" i="3"/>
  <c r="AE55" i="3"/>
  <c r="AE97" i="3"/>
  <c r="AE95" i="3"/>
  <c r="AE93" i="3"/>
  <c r="AE92" i="3"/>
  <c r="AE94" i="3"/>
  <c r="AE96" i="3"/>
  <c r="AE88" i="3"/>
  <c r="AE131" i="3"/>
  <c r="AE132" i="3"/>
  <c r="AD129" i="3"/>
  <c r="AE134" i="3"/>
  <c r="AE135" i="3"/>
  <c r="AF64" i="3"/>
  <c r="AF62" i="3"/>
  <c r="AA49" i="3"/>
  <c r="AA48" i="3"/>
  <c r="AF50" i="3"/>
  <c r="AF55" i="3"/>
  <c r="AF97" i="3"/>
  <c r="AF95" i="3"/>
  <c r="AF93" i="3"/>
  <c r="AF92" i="3"/>
  <c r="AF94" i="3"/>
  <c r="AF96" i="3"/>
  <c r="AF88" i="3"/>
  <c r="AF131" i="3"/>
  <c r="AF132" i="3"/>
  <c r="AE129" i="3"/>
  <c r="AF134" i="3"/>
  <c r="AF135" i="3"/>
  <c r="AK64" i="3"/>
  <c r="AK62" i="3"/>
  <c r="AC49" i="3"/>
  <c r="AC48" i="3"/>
  <c r="AD49" i="3"/>
  <c r="AD48" i="3"/>
  <c r="AE49" i="3"/>
  <c r="AE48" i="3"/>
  <c r="AF49" i="3"/>
  <c r="AF48" i="3"/>
  <c r="AK50" i="3"/>
  <c r="AH55" i="3"/>
  <c r="AI55" i="3"/>
  <c r="AJ55" i="3"/>
  <c r="AK55" i="3"/>
  <c r="AJ64" i="3"/>
  <c r="AJ62" i="3"/>
  <c r="AJ50" i="3"/>
  <c r="AI64" i="3"/>
  <c r="AI62" i="3"/>
  <c r="AI50" i="3"/>
  <c r="AH64" i="3"/>
  <c r="AH62" i="3"/>
  <c r="AH50" i="3"/>
  <c r="AF129" i="3"/>
  <c r="AH88" i="3"/>
  <c r="AH95" i="3"/>
  <c r="AH93" i="3"/>
  <c r="AH92" i="3"/>
  <c r="AH94" i="3"/>
  <c r="AH96" i="3"/>
  <c r="AH97" i="3"/>
  <c r="AH129" i="3"/>
  <c r="AI88" i="3"/>
  <c r="AI95" i="3"/>
  <c r="AI93" i="3"/>
  <c r="AI92" i="3"/>
  <c r="AI97" i="3"/>
  <c r="AI129" i="3"/>
  <c r="AK97" i="3"/>
  <c r="AK95" i="3"/>
  <c r="AJ93" i="3"/>
  <c r="AJ92" i="3"/>
  <c r="AK93" i="3"/>
  <c r="AK92" i="3"/>
  <c r="AK94" i="3"/>
  <c r="AK96" i="3"/>
  <c r="AJ88" i="3"/>
  <c r="AK88" i="3"/>
  <c r="AJ97" i="3"/>
  <c r="AJ95" i="3"/>
  <c r="AJ94" i="3"/>
  <c r="AJ96" i="3"/>
  <c r="AH134" i="3"/>
  <c r="AI134" i="3"/>
  <c r="AJ134" i="3"/>
  <c r="AK134" i="3"/>
  <c r="R203" i="3"/>
  <c r="M203" i="3"/>
  <c r="M202" i="3"/>
  <c r="R202" i="3"/>
  <c r="M201" i="3"/>
  <c r="K215" i="3"/>
  <c r="K219" i="3"/>
  <c r="K208" i="3"/>
  <c r="K213" i="3"/>
  <c r="K220" i="3"/>
  <c r="K235" i="3"/>
  <c r="L235" i="3"/>
  <c r="N235" i="3"/>
  <c r="O235" i="3"/>
  <c r="P235" i="3"/>
  <c r="Q235" i="3"/>
  <c r="S235" i="3"/>
  <c r="T235" i="3"/>
  <c r="U235" i="3"/>
  <c r="V235" i="3"/>
  <c r="X235" i="3"/>
  <c r="Y235" i="3"/>
  <c r="Z235" i="3"/>
  <c r="AA235" i="3"/>
  <c r="AC235" i="3"/>
  <c r="AD235" i="3"/>
  <c r="AE235" i="3"/>
  <c r="AF235" i="3"/>
  <c r="AH235" i="3"/>
  <c r="AI235" i="3"/>
  <c r="AJ235" i="3"/>
  <c r="AK235" i="3"/>
  <c r="AK129" i="3"/>
  <c r="AH131" i="3"/>
  <c r="AI131" i="3"/>
  <c r="AJ131" i="3"/>
  <c r="AK131" i="3"/>
  <c r="L188" i="3"/>
  <c r="N188" i="3"/>
  <c r="O188" i="3"/>
  <c r="P188" i="3"/>
  <c r="Q188" i="3"/>
  <c r="L193" i="3"/>
  <c r="N193" i="3"/>
  <c r="O193" i="3"/>
  <c r="P193" i="3"/>
  <c r="Q193" i="3"/>
  <c r="AJ129" i="3"/>
  <c r="L197" i="3"/>
  <c r="M197" i="3"/>
  <c r="N197" i="3"/>
  <c r="O197" i="3"/>
  <c r="P197" i="3"/>
  <c r="Q197" i="3"/>
  <c r="R197" i="3"/>
  <c r="L196" i="3"/>
  <c r="N196" i="3"/>
  <c r="O196" i="3"/>
  <c r="P196" i="3"/>
  <c r="Q196" i="3"/>
  <c r="Q194" i="3"/>
  <c r="R194" i="3"/>
  <c r="R188" i="3"/>
  <c r="R193" i="3"/>
  <c r="R196" i="3"/>
  <c r="L194" i="3"/>
  <c r="M194" i="3"/>
  <c r="M188" i="3"/>
  <c r="M193" i="3"/>
  <c r="M196" i="3"/>
  <c r="N194" i="3"/>
  <c r="O194" i="3"/>
  <c r="P194" i="3"/>
  <c r="I248" i="3"/>
  <c r="I256" i="3"/>
  <c r="I16" i="3"/>
  <c r="I25" i="3"/>
  <c r="I31" i="3"/>
  <c r="I33" i="3"/>
  <c r="I241" i="3"/>
  <c r="J16" i="3"/>
  <c r="J25" i="3"/>
  <c r="J31" i="3"/>
  <c r="J33" i="3"/>
  <c r="J241" i="3"/>
  <c r="K16" i="3"/>
  <c r="K25" i="3"/>
  <c r="K31" i="3"/>
  <c r="K33" i="3"/>
  <c r="K241" i="3"/>
  <c r="M258" i="3"/>
  <c r="I259" i="3"/>
  <c r="L210" i="3"/>
  <c r="N210" i="3"/>
  <c r="O210" i="3"/>
  <c r="P210" i="3"/>
  <c r="Q210" i="3"/>
  <c r="R210" i="3"/>
  <c r="M210" i="3"/>
  <c r="L204" i="3"/>
  <c r="N204" i="3"/>
  <c r="O204" i="3"/>
  <c r="P204" i="3"/>
  <c r="Q204" i="3"/>
  <c r="R204" i="3"/>
  <c r="M204" i="3"/>
  <c r="AK230" i="3"/>
  <c r="AJ230" i="3"/>
  <c r="AI230" i="3"/>
  <c r="AH230" i="3"/>
  <c r="AK228" i="3"/>
  <c r="AJ228" i="3"/>
  <c r="AI228" i="3"/>
  <c r="AH228" i="3"/>
  <c r="AK226" i="3"/>
  <c r="AJ226" i="3"/>
  <c r="AI226" i="3"/>
  <c r="AH226" i="3"/>
  <c r="AF230" i="3"/>
  <c r="AE230" i="3"/>
  <c r="AD230" i="3"/>
  <c r="AC230" i="3"/>
  <c r="AF228" i="3"/>
  <c r="AE228" i="3"/>
  <c r="AD228" i="3"/>
  <c r="AC228" i="3"/>
  <c r="AF226" i="3"/>
  <c r="AE226" i="3"/>
  <c r="AD226" i="3"/>
  <c r="AC226" i="3"/>
  <c r="AA230" i="3"/>
  <c r="Z230" i="3"/>
  <c r="Y230" i="3"/>
  <c r="X230" i="3"/>
  <c r="AA228" i="3"/>
  <c r="Z228" i="3"/>
  <c r="Y228" i="3"/>
  <c r="X228" i="3"/>
  <c r="AA226" i="3"/>
  <c r="Z226" i="3"/>
  <c r="Y226" i="3"/>
  <c r="X226" i="3"/>
  <c r="V230" i="3"/>
  <c r="U230" i="3"/>
  <c r="T230" i="3"/>
  <c r="S230" i="3"/>
  <c r="V228" i="3"/>
  <c r="U228" i="3"/>
  <c r="T228" i="3"/>
  <c r="S228" i="3"/>
  <c r="V226" i="3"/>
  <c r="U226" i="3"/>
  <c r="T226" i="3"/>
  <c r="S226" i="3"/>
  <c r="L230" i="3"/>
  <c r="N230" i="3"/>
  <c r="O230" i="3"/>
  <c r="P230" i="3"/>
  <c r="Q230" i="3"/>
  <c r="L228" i="3"/>
  <c r="N228" i="3"/>
  <c r="O228" i="3"/>
  <c r="P228" i="3"/>
  <c r="Q228" i="3"/>
  <c r="N226" i="3"/>
  <c r="O226" i="3"/>
  <c r="P226" i="3"/>
  <c r="Q226" i="3"/>
  <c r="L226" i="3"/>
  <c r="AH135" i="3"/>
  <c r="D169" i="3"/>
  <c r="D170" i="3"/>
  <c r="D171" i="3"/>
  <c r="D174" i="3"/>
  <c r="E174" i="3"/>
  <c r="F174" i="3"/>
  <c r="G169" i="3"/>
  <c r="G171" i="3"/>
  <c r="G174" i="3"/>
  <c r="I174" i="3"/>
  <c r="J174" i="3"/>
  <c r="K169" i="3"/>
  <c r="K174" i="3"/>
  <c r="L174" i="3"/>
  <c r="AH132" i="3"/>
  <c r="L109" i="3"/>
  <c r="N109" i="3"/>
  <c r="O109" i="3"/>
  <c r="P109" i="3"/>
  <c r="Q109" i="3"/>
  <c r="S109" i="3"/>
  <c r="T109" i="3"/>
  <c r="U109" i="3"/>
  <c r="V109" i="3"/>
  <c r="X109" i="3"/>
  <c r="Y109" i="3"/>
  <c r="Z109" i="3"/>
  <c r="AA109" i="3"/>
  <c r="AC109" i="3"/>
  <c r="AD109" i="3"/>
  <c r="AE109" i="3"/>
  <c r="AF109" i="3"/>
  <c r="AH109" i="3"/>
  <c r="L123" i="3"/>
  <c r="N123" i="3"/>
  <c r="O123" i="3"/>
  <c r="P123" i="3"/>
  <c r="Q123" i="3"/>
  <c r="S123" i="3"/>
  <c r="T123" i="3"/>
  <c r="U123" i="3"/>
  <c r="V123" i="3"/>
  <c r="X123" i="3"/>
  <c r="Y123" i="3"/>
  <c r="Z123" i="3"/>
  <c r="AA123" i="3"/>
  <c r="AC123" i="3"/>
  <c r="AD123" i="3"/>
  <c r="AE123" i="3"/>
  <c r="AF123" i="3"/>
  <c r="AH123" i="3"/>
  <c r="AH24" i="3"/>
  <c r="AI135" i="3"/>
  <c r="AI132" i="3"/>
  <c r="AI109" i="3"/>
  <c r="AI123" i="3"/>
  <c r="AI24" i="3"/>
  <c r="AJ135" i="3"/>
  <c r="AJ132" i="3"/>
  <c r="AJ109" i="3"/>
  <c r="AJ123" i="3"/>
  <c r="AJ24" i="3"/>
  <c r="AK135" i="3"/>
  <c r="AK132" i="3"/>
  <c r="AK109" i="3"/>
  <c r="AK123" i="3"/>
  <c r="AK24" i="3"/>
  <c r="AC24" i="3"/>
  <c r="AD24" i="3"/>
  <c r="AE24" i="3"/>
  <c r="AF24" i="3"/>
  <c r="X24" i="3"/>
  <c r="Y24" i="3"/>
  <c r="Z24" i="3"/>
  <c r="AA24" i="3"/>
  <c r="S24" i="3"/>
  <c r="T24" i="3"/>
  <c r="U24" i="3"/>
  <c r="V24" i="3"/>
  <c r="G34" i="3"/>
  <c r="L34" i="3"/>
  <c r="N34" i="3"/>
  <c r="O34" i="3"/>
  <c r="P34" i="3"/>
  <c r="Q34" i="3"/>
  <c r="S34" i="3"/>
  <c r="T34" i="3"/>
  <c r="U34" i="3"/>
  <c r="V34" i="3"/>
  <c r="X34" i="3"/>
  <c r="Y34" i="3"/>
  <c r="Z34" i="3"/>
  <c r="AA34" i="3"/>
  <c r="AC34" i="3"/>
  <c r="AD34" i="3"/>
  <c r="AE34" i="3"/>
  <c r="AF34" i="3"/>
  <c r="AH34" i="3"/>
  <c r="AI34" i="3"/>
  <c r="AJ34" i="3"/>
  <c r="AK34" i="3"/>
  <c r="N24" i="3"/>
  <c r="O24" i="3"/>
  <c r="P24" i="3"/>
  <c r="Q24" i="3"/>
  <c r="L24" i="3"/>
  <c r="L176" i="3"/>
  <c r="L26" i="3"/>
  <c r="L36" i="3"/>
  <c r="K161" i="3"/>
  <c r="K158" i="3"/>
  <c r="J161" i="3"/>
  <c r="J158" i="3"/>
  <c r="I161" i="3"/>
  <c r="I158" i="3"/>
  <c r="G161" i="3"/>
  <c r="G158" i="3"/>
  <c r="L158" i="3"/>
  <c r="I176" i="3"/>
  <c r="I26" i="3"/>
  <c r="I27" i="3"/>
  <c r="I36" i="3"/>
  <c r="I37" i="3"/>
  <c r="J176" i="3"/>
  <c r="J26" i="3"/>
  <c r="J27" i="3"/>
  <c r="J36" i="3"/>
  <c r="J37" i="3"/>
  <c r="K176" i="3"/>
  <c r="K26" i="3"/>
  <c r="K27" i="3"/>
  <c r="K178" i="3"/>
  <c r="K36" i="3"/>
  <c r="K37" i="3"/>
  <c r="I35" i="3"/>
  <c r="M14" i="3"/>
  <c r="M24" i="3"/>
  <c r="M34" i="3"/>
  <c r="J35" i="3"/>
  <c r="K35" i="3"/>
  <c r="O161" i="3"/>
  <c r="P161" i="3"/>
  <c r="Q161" i="3"/>
  <c r="R14" i="3"/>
  <c r="R24" i="3"/>
  <c r="R34" i="3"/>
  <c r="S161" i="3"/>
  <c r="T161" i="3"/>
  <c r="U161" i="3"/>
  <c r="V161" i="3"/>
  <c r="W24" i="3"/>
  <c r="W34" i="3"/>
  <c r="AB24" i="3"/>
  <c r="AB34" i="3"/>
  <c r="AG24" i="3"/>
  <c r="AG34" i="3"/>
  <c r="AL24" i="3"/>
  <c r="AL34" i="3"/>
  <c r="M36" i="3"/>
  <c r="M26" i="3"/>
  <c r="AL43" i="3"/>
  <c r="K157" i="3"/>
  <c r="J157" i="3"/>
  <c r="I157" i="3"/>
  <c r="G157" i="3"/>
  <c r="L157" i="3"/>
  <c r="AG43" i="3"/>
  <c r="AB43" i="3"/>
  <c r="W43" i="3"/>
  <c r="R43" i="3"/>
  <c r="M43" i="3"/>
  <c r="L40" i="3"/>
  <c r="M38" i="3"/>
  <c r="M40" i="3"/>
  <c r="L41" i="3"/>
  <c r="M41" i="3"/>
  <c r="L136" i="3"/>
  <c r="L137" i="3"/>
  <c r="L138" i="3"/>
  <c r="L139" i="3"/>
  <c r="L125" i="3"/>
  <c r="L111" i="3"/>
  <c r="K101" i="3"/>
  <c r="K110" i="3"/>
  <c r="L99" i="3"/>
  <c r="N99" i="3"/>
  <c r="O99" i="3"/>
  <c r="P99" i="3"/>
  <c r="Q99" i="3"/>
  <c r="S99" i="3"/>
  <c r="T99" i="3"/>
  <c r="U99" i="3"/>
  <c r="V99" i="3"/>
  <c r="X99" i="3"/>
  <c r="Y99" i="3"/>
  <c r="Z99" i="3"/>
  <c r="AA99" i="3"/>
  <c r="AC99" i="3"/>
  <c r="AD99" i="3"/>
  <c r="AE99" i="3"/>
  <c r="AF99" i="3"/>
  <c r="AH81" i="3"/>
  <c r="AH99" i="3"/>
  <c r="AI81" i="3"/>
  <c r="AI99" i="3"/>
  <c r="AJ81" i="3"/>
  <c r="AJ99" i="3"/>
  <c r="AK81" i="3"/>
  <c r="AK99" i="3"/>
  <c r="L100" i="3"/>
  <c r="N100" i="3"/>
  <c r="O100" i="3"/>
  <c r="P100" i="3"/>
  <c r="Q100" i="3"/>
  <c r="S100" i="3"/>
  <c r="T100" i="3"/>
  <c r="U100" i="3"/>
  <c r="V100" i="3"/>
  <c r="X100" i="3"/>
  <c r="Y100" i="3"/>
  <c r="Z100" i="3"/>
  <c r="AA100" i="3"/>
  <c r="AC100" i="3"/>
  <c r="AD100" i="3"/>
  <c r="AE100" i="3"/>
  <c r="AF100" i="3"/>
  <c r="AH100" i="3"/>
  <c r="AI100" i="3"/>
  <c r="AJ100" i="3"/>
  <c r="AK100" i="3"/>
  <c r="L77" i="3"/>
  <c r="K68" i="3"/>
  <c r="K79" i="3"/>
  <c r="K82" i="3"/>
  <c r="K83" i="3"/>
  <c r="K90" i="3"/>
  <c r="K91" i="3"/>
  <c r="K94" i="3"/>
  <c r="K95" i="3"/>
  <c r="K98" i="3"/>
  <c r="K99" i="3"/>
  <c r="K100" i="3"/>
  <c r="K111" i="3"/>
  <c r="K113" i="3"/>
  <c r="K116" i="3"/>
  <c r="K124" i="3"/>
  <c r="K125" i="3"/>
  <c r="K127" i="3"/>
  <c r="K130" i="3"/>
  <c r="K136" i="3"/>
  <c r="K137" i="3"/>
  <c r="K138" i="3"/>
  <c r="K139" i="3"/>
  <c r="K141" i="3"/>
  <c r="K142" i="3"/>
  <c r="K143" i="3"/>
  <c r="K144" i="3"/>
  <c r="K76" i="3"/>
  <c r="K145" i="3"/>
  <c r="F16" i="3"/>
  <c r="K147" i="3"/>
  <c r="K148" i="3"/>
  <c r="K149" i="3"/>
  <c r="K150" i="3"/>
  <c r="D259" i="3"/>
  <c r="H16" i="3"/>
  <c r="H23" i="3"/>
  <c r="H25" i="3"/>
  <c r="H31" i="3"/>
  <c r="H33" i="3"/>
  <c r="H241" i="3"/>
  <c r="D273" i="3"/>
  <c r="I266" i="3"/>
  <c r="J206" i="3"/>
  <c r="K42" i="3"/>
  <c r="F25" i="3"/>
  <c r="F176" i="3"/>
  <c r="F26" i="3"/>
  <c r="F27" i="3"/>
  <c r="F177" i="3"/>
  <c r="F36" i="3"/>
  <c r="F37" i="3"/>
  <c r="F42" i="3"/>
  <c r="K153" i="3"/>
  <c r="F31" i="3"/>
  <c r="F33" i="3"/>
  <c r="F241" i="3"/>
  <c r="K154" i="3"/>
  <c r="K155" i="3"/>
  <c r="L66" i="3"/>
  <c r="N66" i="3"/>
  <c r="O66" i="3"/>
  <c r="P66" i="3"/>
  <c r="Q66" i="3"/>
  <c r="S66" i="3"/>
  <c r="T66" i="3"/>
  <c r="U66" i="3"/>
  <c r="V66" i="3"/>
  <c r="X66" i="3"/>
  <c r="Y66" i="3"/>
  <c r="Z66" i="3"/>
  <c r="AA66" i="3"/>
  <c r="AC66" i="3"/>
  <c r="AD66" i="3"/>
  <c r="AE66" i="3"/>
  <c r="AF66" i="3"/>
  <c r="AH49" i="3"/>
  <c r="AH48" i="3"/>
  <c r="AH66" i="3"/>
  <c r="AI49" i="3"/>
  <c r="AI48" i="3"/>
  <c r="AI66" i="3"/>
  <c r="AJ49" i="3"/>
  <c r="AJ48" i="3"/>
  <c r="AJ66" i="3"/>
  <c r="AK49" i="3"/>
  <c r="AK48" i="3"/>
  <c r="AK66" i="3"/>
  <c r="L67" i="3"/>
  <c r="N67" i="3"/>
  <c r="O67" i="3"/>
  <c r="P67" i="3"/>
  <c r="Q67" i="3"/>
  <c r="S67" i="3"/>
  <c r="T67" i="3"/>
  <c r="U67" i="3"/>
  <c r="V67" i="3"/>
  <c r="X67" i="3"/>
  <c r="Y67" i="3"/>
  <c r="Z67" i="3"/>
  <c r="AA67" i="3"/>
  <c r="AC67" i="3"/>
  <c r="AD67" i="3"/>
  <c r="AE67" i="3"/>
  <c r="AF67" i="3"/>
  <c r="AH67" i="3"/>
  <c r="AI67" i="3"/>
  <c r="AJ67" i="3"/>
  <c r="AK67" i="3"/>
  <c r="L141" i="3"/>
  <c r="N141" i="3"/>
  <c r="O141" i="3"/>
  <c r="P141" i="3"/>
  <c r="Q141" i="3"/>
  <c r="S141" i="3"/>
  <c r="T141" i="3"/>
  <c r="U141" i="3"/>
  <c r="V141" i="3"/>
  <c r="X141" i="3"/>
  <c r="Y141" i="3"/>
  <c r="Z141" i="3"/>
  <c r="AA141" i="3"/>
  <c r="AC141" i="3"/>
  <c r="AD141" i="3"/>
  <c r="AE141" i="3"/>
  <c r="AF141" i="3"/>
  <c r="AH141" i="3"/>
  <c r="AI141" i="3"/>
  <c r="AJ141" i="3"/>
  <c r="AK141" i="3"/>
  <c r="L142" i="3"/>
  <c r="N142" i="3"/>
  <c r="O142" i="3"/>
  <c r="P142" i="3"/>
  <c r="Q142" i="3"/>
  <c r="S142" i="3"/>
  <c r="T142" i="3"/>
  <c r="U142" i="3"/>
  <c r="V142" i="3"/>
  <c r="X142" i="3"/>
  <c r="Y142" i="3"/>
  <c r="Z142" i="3"/>
  <c r="AA142" i="3"/>
  <c r="AC142" i="3"/>
  <c r="AD142" i="3"/>
  <c r="AE142" i="3"/>
  <c r="AF142" i="3"/>
  <c r="AH142" i="3"/>
  <c r="AI142" i="3"/>
  <c r="AJ142" i="3"/>
  <c r="AK142" i="3"/>
  <c r="L143" i="3"/>
  <c r="N143" i="3"/>
  <c r="O143" i="3"/>
  <c r="P143" i="3"/>
  <c r="Q143" i="3"/>
  <c r="S143" i="3"/>
  <c r="T143" i="3"/>
  <c r="U143" i="3"/>
  <c r="V143" i="3"/>
  <c r="X143" i="3"/>
  <c r="Y143" i="3"/>
  <c r="Z143" i="3"/>
  <c r="AA143" i="3"/>
  <c r="AC143" i="3"/>
  <c r="AD143" i="3"/>
  <c r="AE143" i="3"/>
  <c r="AF143" i="3"/>
  <c r="AH143" i="3"/>
  <c r="AI143" i="3"/>
  <c r="AJ143" i="3"/>
  <c r="AK143" i="3"/>
  <c r="L144" i="3"/>
  <c r="N144" i="3"/>
  <c r="S144" i="3"/>
  <c r="T144" i="3"/>
  <c r="U144" i="3"/>
  <c r="V144" i="3"/>
  <c r="X144" i="3"/>
  <c r="Y144" i="3"/>
  <c r="Z144" i="3"/>
  <c r="AA144" i="3"/>
  <c r="AC144" i="3"/>
  <c r="AD144" i="3"/>
  <c r="AE144" i="3"/>
  <c r="AF144" i="3"/>
  <c r="AH144" i="3"/>
  <c r="AI144" i="3"/>
  <c r="AJ144" i="3"/>
  <c r="AK144" i="3"/>
  <c r="L145" i="3"/>
  <c r="I93" i="3"/>
  <c r="L90" i="3"/>
  <c r="N90" i="3"/>
  <c r="O90" i="3"/>
  <c r="P90" i="3"/>
  <c r="Q90" i="3"/>
  <c r="S90" i="3"/>
  <c r="T90" i="3"/>
  <c r="U90" i="3"/>
  <c r="V90" i="3"/>
  <c r="X90" i="3"/>
  <c r="Y90" i="3"/>
  <c r="Z90" i="3"/>
  <c r="AA90" i="3"/>
  <c r="AC90" i="3"/>
  <c r="AD90" i="3"/>
  <c r="AE90" i="3"/>
  <c r="AF90" i="3"/>
  <c r="AH90" i="3"/>
  <c r="AI90" i="3"/>
  <c r="AJ90" i="3"/>
  <c r="AK90" i="3"/>
  <c r="L91" i="3"/>
  <c r="N91" i="3"/>
  <c r="O91" i="3"/>
  <c r="P91" i="3"/>
  <c r="Q91" i="3"/>
  <c r="S91" i="3"/>
  <c r="T91" i="3"/>
  <c r="U91" i="3"/>
  <c r="V91" i="3"/>
  <c r="X91" i="3"/>
  <c r="Y91" i="3"/>
  <c r="Z91" i="3"/>
  <c r="AA91" i="3"/>
  <c r="AC91" i="3"/>
  <c r="AD91" i="3"/>
  <c r="AE91" i="3"/>
  <c r="AF91" i="3"/>
  <c r="AH91" i="3"/>
  <c r="AI91" i="3"/>
  <c r="AJ91" i="3"/>
  <c r="AK91" i="3"/>
  <c r="AK58" i="3"/>
  <c r="AJ58" i="3"/>
  <c r="AI58" i="3"/>
  <c r="AH58" i="3"/>
  <c r="AK57" i="3"/>
  <c r="AJ57" i="3"/>
  <c r="AI57" i="3"/>
  <c r="AH57" i="3"/>
  <c r="AF58" i="3"/>
  <c r="AE58" i="3"/>
  <c r="AD58" i="3"/>
  <c r="AC58" i="3"/>
  <c r="AF57" i="3"/>
  <c r="AE57" i="3"/>
  <c r="AD57" i="3"/>
  <c r="AC57" i="3"/>
  <c r="AA58" i="3"/>
  <c r="Z58" i="3"/>
  <c r="Y58" i="3"/>
  <c r="X58" i="3"/>
  <c r="AA57" i="3"/>
  <c r="Z57" i="3"/>
  <c r="Y57" i="3"/>
  <c r="X57" i="3"/>
  <c r="V58" i="3"/>
  <c r="U58" i="3"/>
  <c r="T58" i="3"/>
  <c r="S58" i="3"/>
  <c r="V57" i="3"/>
  <c r="U57" i="3"/>
  <c r="T57" i="3"/>
  <c r="S57" i="3"/>
  <c r="N57" i="3"/>
  <c r="O57" i="3"/>
  <c r="P57" i="3"/>
  <c r="Q57" i="3"/>
  <c r="N58" i="3"/>
  <c r="O58" i="3"/>
  <c r="P58" i="3"/>
  <c r="Q58" i="3"/>
  <c r="L58" i="3"/>
  <c r="L57" i="3"/>
  <c r="K282" i="3"/>
  <c r="G236" i="3"/>
  <c r="I236" i="3"/>
  <c r="J236" i="3"/>
  <c r="G122" i="3"/>
  <c r="G126" i="3"/>
  <c r="G127" i="3"/>
  <c r="J288" i="3"/>
  <c r="I288" i="3"/>
  <c r="G13" i="3"/>
  <c r="G14" i="3"/>
  <c r="G15" i="3"/>
  <c r="G16" i="3"/>
  <c r="G288" i="3"/>
  <c r="D16" i="3"/>
  <c r="D23" i="3"/>
  <c r="D25" i="3"/>
  <c r="D31" i="3"/>
  <c r="D33" i="3"/>
  <c r="D241" i="3"/>
  <c r="E16" i="3"/>
  <c r="E23" i="3"/>
  <c r="E25" i="3"/>
  <c r="E31" i="3"/>
  <c r="E33" i="3"/>
  <c r="E241" i="3"/>
  <c r="G24" i="3"/>
  <c r="G25" i="3"/>
  <c r="G29" i="3"/>
  <c r="G30" i="3"/>
  <c r="G28" i="3"/>
  <c r="G31" i="3"/>
  <c r="G32" i="3"/>
  <c r="G33" i="3"/>
  <c r="G241" i="3"/>
  <c r="G189" i="3"/>
  <c r="G198" i="3"/>
  <c r="G231" i="3"/>
  <c r="I189" i="3"/>
  <c r="I198" i="3"/>
  <c r="I231" i="3"/>
  <c r="J189" i="3"/>
  <c r="J198" i="3"/>
  <c r="J231" i="3"/>
  <c r="K189" i="3"/>
  <c r="K198" i="3"/>
  <c r="K231" i="3"/>
  <c r="G232" i="3"/>
  <c r="I232" i="3"/>
  <c r="J232" i="3"/>
  <c r="K232" i="3"/>
  <c r="G235" i="3"/>
  <c r="I235" i="3"/>
  <c r="J235" i="3"/>
  <c r="I206" i="3"/>
  <c r="J152" i="3"/>
  <c r="I152" i="3"/>
  <c r="I229" i="3"/>
  <c r="J229" i="3"/>
  <c r="K229" i="3"/>
  <c r="H205" i="3"/>
  <c r="J155" i="3"/>
  <c r="J154" i="3"/>
  <c r="I155" i="3"/>
  <c r="I154" i="3"/>
  <c r="J42" i="3"/>
  <c r="E176" i="3"/>
  <c r="E26" i="3"/>
  <c r="E27" i="3"/>
  <c r="E177" i="3"/>
  <c r="E36" i="3"/>
  <c r="E37" i="3"/>
  <c r="E42" i="3"/>
  <c r="J153" i="3"/>
  <c r="G176" i="3"/>
  <c r="G26" i="3"/>
  <c r="G27" i="3"/>
  <c r="G36" i="3"/>
  <c r="G37" i="3"/>
  <c r="G42" i="3"/>
  <c r="D176" i="3"/>
  <c r="D26" i="3"/>
  <c r="H26" i="3"/>
  <c r="H27" i="3"/>
  <c r="D36" i="3"/>
  <c r="H36" i="3"/>
  <c r="H37" i="3"/>
  <c r="H42" i="3"/>
  <c r="I42" i="3"/>
  <c r="D27" i="3"/>
  <c r="D37" i="3"/>
  <c r="D42" i="3"/>
  <c r="I153" i="3"/>
  <c r="H115" i="3"/>
  <c r="G229" i="3"/>
  <c r="G227" i="3"/>
  <c r="G225" i="3"/>
  <c r="G152" i="3"/>
  <c r="G291" i="3"/>
  <c r="G55" i="3"/>
  <c r="G60" i="3"/>
  <c r="G61" i="3"/>
  <c r="G62" i="3"/>
  <c r="G93" i="3"/>
  <c r="G94" i="3"/>
  <c r="G95" i="3"/>
  <c r="I61" i="3"/>
  <c r="I62" i="3"/>
  <c r="I94" i="3"/>
  <c r="I95" i="3"/>
  <c r="J116" i="3"/>
  <c r="I116" i="3"/>
  <c r="J130" i="3"/>
  <c r="I130" i="3"/>
  <c r="J61" i="3"/>
  <c r="J62" i="3"/>
  <c r="J94" i="3"/>
  <c r="J95" i="3"/>
  <c r="K61" i="3"/>
  <c r="K62" i="3"/>
  <c r="G49" i="3"/>
  <c r="G82" i="3"/>
  <c r="I82" i="3"/>
  <c r="J82" i="3"/>
  <c r="I75" i="3"/>
  <c r="I78" i="3"/>
  <c r="I68" i="3"/>
  <c r="I79" i="3"/>
  <c r="G75" i="3"/>
  <c r="G78" i="3"/>
  <c r="G68" i="3"/>
  <c r="G79" i="3"/>
  <c r="J75" i="3"/>
  <c r="J78" i="3"/>
  <c r="J68" i="3"/>
  <c r="J79" i="3"/>
  <c r="I108" i="3"/>
  <c r="I112" i="3"/>
  <c r="I101" i="3"/>
  <c r="I113" i="3"/>
  <c r="G108" i="3"/>
  <c r="G112" i="3"/>
  <c r="G101" i="3"/>
  <c r="G113" i="3"/>
  <c r="J108" i="3"/>
  <c r="J112" i="3"/>
  <c r="J101" i="3"/>
  <c r="J113" i="3"/>
  <c r="I122" i="3"/>
  <c r="I126" i="3"/>
  <c r="I127" i="3"/>
  <c r="J122" i="3"/>
  <c r="J126" i="3"/>
  <c r="J127" i="3"/>
  <c r="F160" i="3"/>
  <c r="F167" i="3"/>
  <c r="I150" i="3"/>
  <c r="J150" i="3"/>
  <c r="D229" i="3"/>
  <c r="D227" i="3"/>
  <c r="I227" i="3"/>
  <c r="D225" i="3"/>
  <c r="I225" i="3"/>
  <c r="E229" i="3"/>
  <c r="E227" i="3"/>
  <c r="J227" i="3"/>
  <c r="E225" i="3"/>
  <c r="J225" i="3"/>
  <c r="F229" i="3"/>
  <c r="F227" i="3"/>
  <c r="K227" i="3"/>
  <c r="F225" i="3"/>
  <c r="K225" i="3"/>
  <c r="F161" i="3"/>
  <c r="F157" i="3"/>
  <c r="F158" i="3"/>
  <c r="E161" i="3"/>
  <c r="E164" i="3"/>
  <c r="E167" i="3"/>
  <c r="E158" i="3"/>
  <c r="E157" i="3"/>
  <c r="D163" i="3"/>
  <c r="D164" i="3"/>
  <c r="H188" i="3"/>
  <c r="G179" i="3"/>
  <c r="H170" i="3"/>
  <c r="H171" i="3"/>
  <c r="H172" i="3"/>
  <c r="H173" i="3"/>
  <c r="H169" i="3"/>
  <c r="J179" i="3"/>
  <c r="K179" i="3"/>
  <c r="H150" i="3"/>
  <c r="G150" i="3"/>
  <c r="I141" i="3"/>
  <c r="J76" i="3"/>
  <c r="J110" i="3"/>
  <c r="J124" i="3"/>
  <c r="J136" i="3"/>
  <c r="J137" i="3"/>
  <c r="J145" i="3"/>
  <c r="I110" i="3"/>
  <c r="I76" i="3"/>
  <c r="I124" i="3"/>
  <c r="I136" i="3"/>
  <c r="I137" i="3"/>
  <c r="I145" i="3"/>
  <c r="J144" i="3"/>
  <c r="I144" i="3"/>
  <c r="J143" i="3"/>
  <c r="I143" i="3"/>
  <c r="J142" i="3"/>
  <c r="I142" i="3"/>
  <c r="J141" i="3"/>
  <c r="E141" i="3"/>
  <c r="F141" i="3"/>
  <c r="G141" i="3"/>
  <c r="E142" i="3"/>
  <c r="F142" i="3"/>
  <c r="G142" i="3"/>
  <c r="E143" i="3"/>
  <c r="F143" i="3"/>
  <c r="G143" i="3"/>
  <c r="E144" i="3"/>
  <c r="F144" i="3"/>
  <c r="G144" i="3"/>
  <c r="E68" i="3"/>
  <c r="E75" i="3"/>
  <c r="E76" i="3"/>
  <c r="E101" i="3"/>
  <c r="E108" i="3"/>
  <c r="E110" i="3"/>
  <c r="E122" i="3"/>
  <c r="E124" i="3"/>
  <c r="E136" i="3"/>
  <c r="E137" i="3"/>
  <c r="E145" i="3"/>
  <c r="F68" i="3"/>
  <c r="F75" i="3"/>
  <c r="F76" i="3"/>
  <c r="F101" i="3"/>
  <c r="F108" i="3"/>
  <c r="F110" i="3"/>
  <c r="F122" i="3"/>
  <c r="F124" i="3"/>
  <c r="F136" i="3"/>
  <c r="F137" i="3"/>
  <c r="F145" i="3"/>
  <c r="G136" i="3"/>
  <c r="G137" i="3"/>
  <c r="G76" i="3"/>
  <c r="G110" i="3"/>
  <c r="G124" i="3"/>
  <c r="G145" i="3"/>
  <c r="D68" i="3"/>
  <c r="D75" i="3"/>
  <c r="D76" i="3"/>
  <c r="D101" i="3"/>
  <c r="D108" i="3"/>
  <c r="D110" i="3"/>
  <c r="D122" i="3"/>
  <c r="D124" i="3"/>
  <c r="D136" i="3"/>
  <c r="D137" i="3"/>
  <c r="D145" i="3"/>
  <c r="D144" i="3"/>
  <c r="D143" i="3"/>
  <c r="D142" i="3"/>
  <c r="D141" i="3"/>
  <c r="J138" i="3"/>
  <c r="J139" i="3"/>
  <c r="I138" i="3"/>
  <c r="I139" i="3"/>
  <c r="G138" i="3"/>
  <c r="G139" i="3"/>
  <c r="F138" i="3"/>
  <c r="F139" i="3"/>
  <c r="E138" i="3"/>
  <c r="E139" i="3"/>
  <c r="D138" i="3"/>
  <c r="D139" i="3"/>
  <c r="J98" i="3"/>
  <c r="I98" i="3"/>
  <c r="D94" i="3"/>
  <c r="D95" i="3"/>
  <c r="E91" i="3"/>
  <c r="D91" i="3"/>
  <c r="K65" i="3"/>
  <c r="I65" i="3"/>
  <c r="D57" i="3"/>
  <c r="E61" i="3"/>
  <c r="E62" i="3"/>
  <c r="F61" i="3"/>
  <c r="F62" i="3"/>
  <c r="J65" i="3"/>
  <c r="G100" i="3"/>
  <c r="F93" i="3"/>
  <c r="D93" i="3"/>
  <c r="F82" i="3"/>
  <c r="E82" i="3"/>
  <c r="D82" i="3"/>
  <c r="D61" i="3"/>
  <c r="D60" i="3"/>
  <c r="E60" i="3"/>
  <c r="F60" i="3"/>
  <c r="H60" i="3"/>
  <c r="I50" i="3"/>
  <c r="D49" i="3"/>
  <c r="E49" i="3"/>
  <c r="F49" i="3"/>
  <c r="H49" i="3"/>
  <c r="F90" i="3"/>
  <c r="E90" i="3"/>
  <c r="D90" i="3"/>
  <c r="D62" i="3"/>
  <c r="D78" i="3"/>
  <c r="D79" i="3"/>
  <c r="K50" i="3"/>
  <c r="J50" i="3"/>
  <c r="E93" i="3"/>
  <c r="D112" i="3"/>
  <c r="D113" i="3"/>
  <c r="F94" i="3"/>
  <c r="F95" i="3"/>
  <c r="J83" i="3"/>
  <c r="E94" i="3"/>
  <c r="E95" i="3"/>
  <c r="I83" i="3"/>
  <c r="F112" i="3"/>
  <c r="E112" i="3"/>
  <c r="E113" i="3"/>
  <c r="F113" i="3"/>
  <c r="D126" i="3"/>
  <c r="D127" i="3"/>
  <c r="F126" i="3"/>
  <c r="E126" i="3"/>
  <c r="E127" i="3"/>
  <c r="F127" i="3"/>
  <c r="F78" i="3"/>
  <c r="F79" i="3"/>
  <c r="E78" i="3"/>
  <c r="E79" i="3"/>
  <c r="K224" i="3"/>
  <c r="J224" i="3"/>
  <c r="E224" i="3"/>
  <c r="D224" i="3"/>
  <c r="I224" i="3"/>
  <c r="G224" i="3"/>
  <c r="F224" i="3"/>
  <c r="K230" i="3"/>
  <c r="K228" i="3"/>
  <c r="K226" i="3"/>
  <c r="F235" i="3"/>
  <c r="H194" i="3"/>
  <c r="H211" i="3"/>
  <c r="H235" i="3"/>
  <c r="F236" i="3"/>
  <c r="H192" i="3"/>
  <c r="H236" i="3"/>
  <c r="F232" i="3"/>
  <c r="H185" i="3"/>
  <c r="H190" i="3"/>
  <c r="H232" i="3"/>
  <c r="F189" i="3"/>
  <c r="F198" i="3"/>
  <c r="F231" i="3"/>
  <c r="H184" i="3"/>
  <c r="H186" i="3"/>
  <c r="H187" i="3"/>
  <c r="H189" i="3"/>
  <c r="H193" i="3"/>
  <c r="H195" i="3"/>
  <c r="H196" i="3"/>
  <c r="H197" i="3"/>
  <c r="H198" i="3"/>
  <c r="H231" i="3"/>
  <c r="H200" i="3"/>
  <c r="H229" i="3"/>
  <c r="H227" i="3"/>
  <c r="H225" i="3"/>
  <c r="F288" i="3"/>
  <c r="H288" i="3"/>
  <c r="F291" i="3"/>
  <c r="F289" i="3"/>
  <c r="G289" i="3"/>
  <c r="H289" i="3"/>
  <c r="I289" i="3"/>
  <c r="J289" i="3"/>
  <c r="K289" i="3"/>
  <c r="J208" i="3"/>
  <c r="I208" i="3"/>
  <c r="D208" i="3"/>
  <c r="G208" i="3"/>
  <c r="H207" i="3"/>
  <c r="H201" i="3"/>
  <c r="H202" i="3"/>
  <c r="H203" i="3"/>
  <c r="H204" i="3"/>
  <c r="H206" i="3"/>
  <c r="H208" i="3"/>
  <c r="F208" i="3"/>
  <c r="E206" i="3"/>
  <c r="E208" i="3"/>
  <c r="I215" i="3"/>
  <c r="J215" i="3"/>
  <c r="G215" i="3"/>
  <c r="H210" i="3"/>
  <c r="E291" i="3"/>
  <c r="D291" i="3"/>
  <c r="E236" i="3"/>
  <c r="F215" i="3"/>
  <c r="H275" i="3"/>
  <c r="E288" i="3"/>
  <c r="D288" i="3"/>
  <c r="D189" i="3"/>
  <c r="D198" i="3"/>
  <c r="D231" i="3"/>
  <c r="E189" i="3"/>
  <c r="E198" i="3"/>
  <c r="E231" i="3"/>
  <c r="E215" i="3"/>
  <c r="F219" i="3"/>
  <c r="F213" i="3"/>
  <c r="F220" i="3"/>
  <c r="D232" i="3"/>
  <c r="E232" i="3"/>
  <c r="E219" i="3"/>
  <c r="E213" i="3"/>
  <c r="E220" i="3"/>
  <c r="D235" i="3"/>
  <c r="E235" i="3"/>
  <c r="F281" i="3"/>
  <c r="F282" i="3"/>
  <c r="F283" i="3"/>
  <c r="F152" i="3"/>
  <c r="F57" i="3"/>
  <c r="E57" i="3"/>
  <c r="G213" i="3"/>
  <c r="G219" i="3"/>
  <c r="G220" i="3"/>
  <c r="I213" i="3"/>
  <c r="J213" i="3"/>
  <c r="F150" i="3"/>
  <c r="E150" i="3"/>
  <c r="D150" i="3"/>
  <c r="F35" i="3"/>
  <c r="E152" i="3"/>
  <c r="E281" i="3"/>
  <c r="E282" i="3"/>
  <c r="E283" i="3"/>
  <c r="E289" i="3"/>
  <c r="E66" i="3"/>
  <c r="E67" i="3"/>
  <c r="D281" i="3"/>
  <c r="D215" i="3"/>
  <c r="D219" i="3"/>
  <c r="D213" i="3"/>
  <c r="D220" i="3"/>
  <c r="H209" i="3"/>
  <c r="H82" i="3"/>
  <c r="H93" i="3"/>
  <c r="I230" i="3"/>
  <c r="J230" i="3"/>
  <c r="G282" i="3"/>
  <c r="H282" i="3"/>
  <c r="I282" i="3"/>
  <c r="J282" i="3"/>
  <c r="E35" i="3"/>
  <c r="D35" i="3"/>
  <c r="D282" i="3"/>
  <c r="D283" i="3"/>
  <c r="D289" i="3"/>
  <c r="D234" i="3"/>
  <c r="E234" i="3"/>
  <c r="G234" i="3"/>
  <c r="J234" i="3"/>
  <c r="I234" i="3"/>
  <c r="F234" i="3"/>
  <c r="D228" i="3"/>
  <c r="E228" i="3"/>
  <c r="K234" i="3"/>
  <c r="I228" i="3"/>
  <c r="F228" i="3"/>
  <c r="H218" i="3"/>
  <c r="H174" i="3"/>
  <c r="D179" i="3"/>
  <c r="H43" i="3"/>
  <c r="D125" i="3"/>
  <c r="F100" i="3"/>
  <c r="E100" i="3"/>
  <c r="D99" i="3"/>
  <c r="D66" i="3"/>
  <c r="D111" i="3"/>
  <c r="E99" i="3"/>
  <c r="D67" i="3"/>
  <c r="D58" i="3"/>
  <c r="I67" i="3"/>
  <c r="D77" i="3"/>
  <c r="F99" i="3"/>
  <c r="J67" i="3"/>
  <c r="I66" i="3"/>
  <c r="G66" i="3"/>
  <c r="K67" i="3"/>
  <c r="J66" i="3"/>
  <c r="K66" i="3"/>
  <c r="H160" i="3"/>
  <c r="E226" i="3"/>
  <c r="H212" i="3"/>
  <c r="F230" i="3"/>
  <c r="F226" i="3"/>
  <c r="G226" i="3"/>
  <c r="D226" i="3"/>
  <c r="D230" i="3"/>
  <c r="G230" i="3"/>
  <c r="J226" i="3"/>
  <c r="E230" i="3"/>
  <c r="I226" i="3"/>
  <c r="D148" i="3"/>
  <c r="D41" i="3"/>
  <c r="D40" i="3"/>
  <c r="D233" i="3"/>
  <c r="D221" i="3"/>
  <c r="H215" i="3"/>
  <c r="E148" i="3"/>
  <c r="E125" i="3"/>
  <c r="E41" i="3"/>
  <c r="E233" i="3"/>
  <c r="E40" i="3"/>
  <c r="E221" i="3"/>
  <c r="E58" i="3"/>
  <c r="E77" i="3"/>
  <c r="G228" i="3"/>
  <c r="J228" i="3"/>
  <c r="E179" i="3"/>
  <c r="H161" i="3"/>
  <c r="G99" i="3"/>
  <c r="I99" i="3"/>
  <c r="D100" i="3"/>
  <c r="E111" i="3"/>
  <c r="H100" i="3"/>
  <c r="F58" i="3"/>
  <c r="F125" i="3"/>
  <c r="E149" i="3"/>
  <c r="D149" i="3"/>
  <c r="J100" i="3"/>
  <c r="J91" i="3"/>
  <c r="I100" i="3"/>
  <c r="G90" i="3"/>
  <c r="F91" i="3"/>
  <c r="G91" i="3"/>
  <c r="I90" i="3"/>
  <c r="I91" i="3"/>
  <c r="J99" i="3"/>
  <c r="H101" i="3"/>
  <c r="J90" i="3"/>
  <c r="G57" i="3"/>
  <c r="G58" i="3"/>
  <c r="H56" i="3"/>
  <c r="I57" i="3"/>
  <c r="I58" i="3"/>
  <c r="F148" i="3"/>
  <c r="J58" i="3"/>
  <c r="J57" i="3"/>
  <c r="J147" i="3"/>
  <c r="K58" i="3"/>
  <c r="K57" i="3"/>
  <c r="I147" i="3"/>
  <c r="F149" i="3"/>
  <c r="F41" i="3"/>
  <c r="F40" i="3"/>
  <c r="F233" i="3"/>
  <c r="F221" i="3"/>
  <c r="F77" i="3"/>
  <c r="F111" i="3"/>
  <c r="G111" i="3"/>
  <c r="H110" i="3"/>
  <c r="H111" i="3"/>
  <c r="I111" i="3"/>
  <c r="K41" i="3"/>
  <c r="K40" i="3"/>
  <c r="J41" i="3"/>
  <c r="J40" i="3"/>
  <c r="I41" i="3"/>
  <c r="I40" i="3"/>
  <c r="H213" i="3"/>
  <c r="J149" i="3"/>
  <c r="J148" i="3"/>
  <c r="I149" i="3"/>
  <c r="I148" i="3"/>
  <c r="F179" i="3"/>
  <c r="G148" i="3"/>
  <c r="H148" i="3"/>
  <c r="G149" i="3"/>
  <c r="H149" i="3"/>
  <c r="I290" i="3"/>
  <c r="J290" i="3"/>
  <c r="K290" i="3"/>
  <c r="J111" i="3"/>
  <c r="H217" i="3"/>
  <c r="I219" i="3"/>
  <c r="I220" i="3"/>
  <c r="J219" i="3"/>
  <c r="J220" i="3"/>
  <c r="K221" i="3"/>
  <c r="K233" i="3"/>
  <c r="J221" i="3"/>
  <c r="J281" i="3"/>
  <c r="J283" i="3"/>
  <c r="J233" i="3"/>
  <c r="I281" i="3"/>
  <c r="I283" i="3"/>
  <c r="I221" i="3"/>
  <c r="I233" i="3"/>
  <c r="H216" i="3"/>
  <c r="H219" i="3"/>
  <c r="H220" i="3"/>
  <c r="H221" i="3"/>
  <c r="H281" i="3"/>
  <c r="H283" i="3"/>
  <c r="G281" i="3"/>
  <c r="G221" i="3"/>
  <c r="G233" i="3"/>
  <c r="H35" i="3"/>
  <c r="H41" i="3"/>
  <c r="H40" i="3"/>
  <c r="G35" i="3"/>
  <c r="K77" i="3"/>
  <c r="J77" i="3"/>
  <c r="G77" i="3"/>
  <c r="H76" i="3"/>
  <c r="H68" i="3"/>
  <c r="H77" i="3"/>
  <c r="I77" i="3"/>
  <c r="F66" i="3"/>
  <c r="H67" i="3"/>
  <c r="G67" i="3"/>
  <c r="F67" i="3"/>
  <c r="I125" i="3"/>
  <c r="J125" i="3"/>
  <c r="G125" i="3"/>
  <c r="H124" i="3"/>
  <c r="H125" i="3"/>
  <c r="I179" i="3"/>
  <c r="G41" i="3"/>
  <c r="G40" i="3"/>
  <c r="G283" i="3"/>
  <c r="O144" i="3"/>
  <c r="P144" i="3"/>
  <c r="Q144" i="3"/>
  <c r="Q76" i="3"/>
  <c r="Q110" i="3"/>
  <c r="Q124" i="3"/>
  <c r="Q136" i="3"/>
  <c r="Q137" i="3"/>
  <c r="Q145" i="3"/>
  <c r="P76" i="3"/>
  <c r="P110" i="3"/>
  <c r="P124" i="3"/>
  <c r="P136" i="3"/>
  <c r="P137" i="3"/>
  <c r="P145" i="3"/>
  <c r="O76" i="3"/>
  <c r="O110" i="3"/>
  <c r="O124" i="3"/>
  <c r="O136" i="3"/>
  <c r="O137" i="3"/>
  <c r="O145" i="3"/>
  <c r="AK75" i="3"/>
  <c r="AK76" i="3"/>
  <c r="AK108" i="3"/>
  <c r="AK110" i="3"/>
  <c r="AK122" i="3"/>
  <c r="AK124" i="3"/>
  <c r="AK136" i="3"/>
  <c r="AK137" i="3"/>
  <c r="AK145" i="3"/>
  <c r="AJ76" i="3"/>
  <c r="AJ110" i="3"/>
  <c r="AJ124" i="3"/>
  <c r="AJ136" i="3"/>
  <c r="AJ137" i="3"/>
  <c r="AJ145" i="3"/>
  <c r="AI76" i="3"/>
  <c r="AI110" i="3"/>
  <c r="AI124" i="3"/>
  <c r="AI136" i="3"/>
  <c r="AI137" i="3"/>
  <c r="AI145" i="3"/>
  <c r="AH76" i="3"/>
  <c r="AH110" i="3"/>
  <c r="AH124" i="3"/>
  <c r="AH136" i="3"/>
  <c r="AH137" i="3"/>
  <c r="AH145" i="3"/>
  <c r="AF76" i="3"/>
  <c r="AF110" i="3"/>
  <c r="AF124" i="3"/>
  <c r="AF136" i="3"/>
  <c r="AF137" i="3"/>
  <c r="AF145" i="3"/>
  <c r="AE76" i="3"/>
  <c r="AE110" i="3"/>
  <c r="AE124" i="3"/>
  <c r="AE136" i="3"/>
  <c r="AE137" i="3"/>
  <c r="AE145" i="3"/>
  <c r="AD76" i="3"/>
  <c r="AD110" i="3"/>
  <c r="AD124" i="3"/>
  <c r="AD136" i="3"/>
  <c r="AD137" i="3"/>
  <c r="AD145" i="3"/>
  <c r="AC76" i="3"/>
  <c r="AC110" i="3"/>
  <c r="AC124" i="3"/>
  <c r="AC136" i="3"/>
  <c r="AC137" i="3"/>
  <c r="AC145" i="3"/>
  <c r="AA76" i="3"/>
  <c r="AA110" i="3"/>
  <c r="AA124" i="3"/>
  <c r="AA136" i="3"/>
  <c r="AA137" i="3"/>
  <c r="AA145" i="3"/>
  <c r="Z76" i="3"/>
  <c r="Z110" i="3"/>
  <c r="Z124" i="3"/>
  <c r="Z136" i="3"/>
  <c r="Z137" i="3"/>
  <c r="Z145" i="3"/>
  <c r="Y76" i="3"/>
  <c r="Y110" i="3"/>
  <c r="Y124" i="3"/>
  <c r="Y136" i="3"/>
  <c r="Y137" i="3"/>
  <c r="Y145" i="3"/>
  <c r="X76" i="3"/>
  <c r="X110" i="3"/>
  <c r="X124" i="3"/>
  <c r="X136" i="3"/>
  <c r="X137" i="3"/>
  <c r="X145" i="3"/>
  <c r="V76" i="3"/>
  <c r="V110" i="3"/>
  <c r="V124" i="3"/>
  <c r="V136" i="3"/>
  <c r="V137" i="3"/>
  <c r="V145" i="3"/>
  <c r="U76" i="3"/>
  <c r="U110" i="3"/>
  <c r="U124" i="3"/>
  <c r="U136" i="3"/>
  <c r="U137" i="3"/>
  <c r="U145" i="3"/>
  <c r="T76" i="3"/>
  <c r="T110" i="3"/>
  <c r="T124" i="3"/>
  <c r="T136" i="3"/>
  <c r="T137" i="3"/>
  <c r="T145" i="3"/>
  <c r="N76" i="3"/>
  <c r="N110" i="3"/>
  <c r="N124" i="3"/>
  <c r="N136" i="3"/>
  <c r="N137" i="3"/>
  <c r="N145" i="3"/>
  <c r="Q77" i="3"/>
  <c r="P77" i="3"/>
  <c r="O77" i="3"/>
  <c r="N77" i="3"/>
  <c r="S76" i="3"/>
  <c r="S77" i="3"/>
  <c r="T77" i="3"/>
  <c r="U77" i="3"/>
  <c r="V77" i="3"/>
  <c r="X77" i="3"/>
  <c r="Y77" i="3"/>
  <c r="Z77" i="3"/>
  <c r="AA77" i="3"/>
  <c r="AC77" i="3"/>
  <c r="AD77" i="3"/>
  <c r="AE77" i="3"/>
  <c r="AF77" i="3"/>
  <c r="AH77" i="3"/>
  <c r="AI77" i="3"/>
  <c r="AJ77" i="3"/>
  <c r="AK77" i="3"/>
  <c r="AK78" i="3"/>
  <c r="Q111" i="3"/>
  <c r="P111" i="3"/>
  <c r="O111" i="3"/>
  <c r="N111" i="3"/>
  <c r="S110" i="3"/>
  <c r="S111" i="3"/>
  <c r="T111" i="3"/>
  <c r="U111" i="3"/>
  <c r="V111" i="3"/>
  <c r="X111" i="3"/>
  <c r="Y111" i="3"/>
  <c r="Z111" i="3"/>
  <c r="AA111" i="3"/>
  <c r="AC111" i="3"/>
  <c r="AD111" i="3"/>
  <c r="AE111" i="3"/>
  <c r="AF111" i="3"/>
  <c r="AH111" i="3"/>
  <c r="AI111" i="3"/>
  <c r="AJ111" i="3"/>
  <c r="AK111" i="3"/>
  <c r="AK112" i="3"/>
  <c r="Q125" i="3"/>
  <c r="P125" i="3"/>
  <c r="O125" i="3"/>
  <c r="N125" i="3"/>
  <c r="S124" i="3"/>
  <c r="S125" i="3"/>
  <c r="T125" i="3"/>
  <c r="U125" i="3"/>
  <c r="V125" i="3"/>
  <c r="X125" i="3"/>
  <c r="Y125" i="3"/>
  <c r="Z125" i="3"/>
  <c r="AA125" i="3"/>
  <c r="AC125" i="3"/>
  <c r="AD125" i="3"/>
  <c r="AE125" i="3"/>
  <c r="AF125" i="3"/>
  <c r="AH125" i="3"/>
  <c r="AI125" i="3"/>
  <c r="AJ125" i="3"/>
  <c r="AK125" i="3"/>
  <c r="AK126" i="3"/>
  <c r="Q138" i="3"/>
  <c r="Q139" i="3"/>
  <c r="P138" i="3"/>
  <c r="P139" i="3"/>
  <c r="O138" i="3"/>
  <c r="O139" i="3"/>
  <c r="N138" i="3"/>
  <c r="N139" i="3"/>
  <c r="S136" i="3"/>
  <c r="S137" i="3"/>
  <c r="S138" i="3"/>
  <c r="S139" i="3"/>
  <c r="T138" i="3"/>
  <c r="T139" i="3"/>
  <c r="U138" i="3"/>
  <c r="U139" i="3"/>
  <c r="V138" i="3"/>
  <c r="V139" i="3"/>
  <c r="X138" i="3"/>
  <c r="X139" i="3"/>
  <c r="Y138" i="3"/>
  <c r="Y139" i="3"/>
  <c r="Z138" i="3"/>
  <c r="Z139" i="3"/>
  <c r="AA138" i="3"/>
  <c r="AA139" i="3"/>
  <c r="AC138" i="3"/>
  <c r="AC139" i="3"/>
  <c r="AD138" i="3"/>
  <c r="AD139" i="3"/>
  <c r="AE138" i="3"/>
  <c r="AE139" i="3"/>
  <c r="AF138" i="3"/>
  <c r="AF139" i="3"/>
  <c r="AH138" i="3"/>
  <c r="AH139" i="3"/>
  <c r="AI138" i="3"/>
  <c r="AI139" i="3"/>
  <c r="AJ138" i="3"/>
  <c r="AJ139" i="3"/>
  <c r="AK138" i="3"/>
  <c r="AK139" i="3"/>
  <c r="R41" i="3"/>
  <c r="Q41" i="3"/>
  <c r="P41" i="3"/>
  <c r="O41" i="3"/>
  <c r="N41" i="3"/>
  <c r="R38" i="3"/>
  <c r="R40" i="3"/>
  <c r="Q40" i="3"/>
  <c r="P40" i="3"/>
  <c r="O40" i="3"/>
  <c r="N40" i="3"/>
  <c r="S35" i="3"/>
  <c r="S40" i="3"/>
  <c r="T35" i="3"/>
  <c r="T40" i="3"/>
  <c r="U35" i="3"/>
  <c r="U40" i="3"/>
  <c r="V35" i="3"/>
  <c r="V40" i="3"/>
  <c r="W35" i="3"/>
  <c r="W38" i="3"/>
  <c r="W40" i="3"/>
  <c r="S41" i="3"/>
  <c r="T41" i="3"/>
  <c r="U41" i="3"/>
  <c r="V41" i="3"/>
  <c r="W39" i="3"/>
  <c r="W41" i="3"/>
  <c r="X35" i="3"/>
  <c r="X40" i="3"/>
  <c r="Y35" i="3"/>
  <c r="Y40" i="3"/>
  <c r="Z35" i="3"/>
  <c r="Z40" i="3"/>
  <c r="AA35" i="3"/>
  <c r="AA40" i="3"/>
  <c r="AB35" i="3"/>
  <c r="AB38" i="3"/>
  <c r="AB40" i="3"/>
  <c r="X41" i="3"/>
  <c r="Y41" i="3"/>
  <c r="Z41" i="3"/>
  <c r="AA41" i="3"/>
  <c r="AB39" i="3"/>
  <c r="AB41" i="3"/>
  <c r="AC35" i="3"/>
  <c r="AC40" i="3"/>
  <c r="AD35" i="3"/>
  <c r="AD40" i="3"/>
  <c r="AE35" i="3"/>
  <c r="AE40" i="3"/>
  <c r="AF35" i="3"/>
  <c r="AF40" i="3"/>
  <c r="AG35" i="3"/>
  <c r="AG38" i="3"/>
  <c r="AG40" i="3"/>
  <c r="AC41" i="3"/>
  <c r="AD41" i="3"/>
  <c r="AE41" i="3"/>
  <c r="AF41" i="3"/>
  <c r="AG39" i="3"/>
  <c r="AG41" i="3"/>
  <c r="AH35" i="3"/>
  <c r="AH40" i="3"/>
  <c r="AI35" i="3"/>
  <c r="AI40" i="3"/>
  <c r="AJ35" i="3"/>
  <c r="AJ40" i="3"/>
  <c r="AK35" i="3"/>
  <c r="AK40" i="3"/>
  <c r="AL35" i="3"/>
  <c r="AL38" i="3"/>
  <c r="AL40" i="3"/>
  <c r="AH41" i="3"/>
  <c r="AI41" i="3"/>
  <c r="AJ41" i="3"/>
  <c r="AK41" i="3"/>
  <c r="AL39" i="3"/>
  <c r="AL41" i="3"/>
  <c r="R26" i="3"/>
  <c r="R36" i="3"/>
  <c r="S178" i="3"/>
  <c r="S36" i="3"/>
  <c r="T178" i="3"/>
  <c r="T36" i="3"/>
  <c r="U178" i="3"/>
  <c r="U36" i="3"/>
  <c r="V178" i="3"/>
  <c r="V36" i="3"/>
  <c r="W36" i="3"/>
  <c r="X178" i="3"/>
  <c r="X36" i="3"/>
  <c r="Y178" i="3"/>
  <c r="Y36" i="3"/>
  <c r="Z178" i="3"/>
  <c r="Z36" i="3"/>
  <c r="AA178" i="3"/>
  <c r="AA36" i="3"/>
  <c r="AB36" i="3"/>
  <c r="AC178" i="3"/>
  <c r="AC36" i="3"/>
  <c r="AD178" i="3"/>
  <c r="AD36" i="3"/>
  <c r="AE178" i="3"/>
  <c r="AE36" i="3"/>
  <c r="AF178" i="3"/>
  <c r="AF36" i="3"/>
  <c r="AG36" i="3"/>
  <c r="AH178" i="3"/>
  <c r="AH36" i="3"/>
  <c r="AI178" i="3"/>
  <c r="AI36" i="3"/>
  <c r="AJ178" i="3"/>
  <c r="AJ36" i="3"/>
  <c r="AK178" i="3"/>
  <c r="AK36" i="3"/>
  <c r="AL36" i="3"/>
  <c r="W26" i="3"/>
  <c r="AB26" i="3"/>
  <c r="AG26" i="3"/>
  <c r="AL26" i="3"/>
  <c r="AL216" i="3"/>
  <c r="AL219" i="3"/>
  <c r="AL233" i="3"/>
  <c r="AK233" i="3"/>
  <c r="AJ233" i="3"/>
  <c r="AI233" i="3"/>
  <c r="AH233" i="3"/>
  <c r="AG216" i="3"/>
  <c r="AG219" i="3"/>
  <c r="AG233" i="3"/>
  <c r="AF233" i="3"/>
  <c r="AE233" i="3"/>
  <c r="AD233" i="3"/>
  <c r="AC233" i="3"/>
  <c r="AB216" i="3"/>
  <c r="AB219" i="3"/>
  <c r="AB233" i="3"/>
  <c r="AA233" i="3"/>
  <c r="Z233" i="3"/>
  <c r="Y233" i="3"/>
  <c r="X233" i="3"/>
  <c r="W216" i="3"/>
  <c r="W219" i="3"/>
  <c r="W233" i="3"/>
  <c r="V233" i="3"/>
  <c r="U233" i="3"/>
  <c r="T233" i="3"/>
  <c r="S233" i="3"/>
  <c r="R216" i="3"/>
  <c r="R219" i="3"/>
  <c r="R233" i="3"/>
  <c r="Q233" i="3"/>
  <c r="P233" i="3"/>
  <c r="O233" i="3"/>
  <c r="N233" i="3"/>
  <c r="R200" i="3"/>
  <c r="R208" i="3"/>
  <c r="R213" i="3"/>
  <c r="R220" i="3"/>
  <c r="Q184" i="3"/>
  <c r="R184" i="3"/>
  <c r="R185" i="3"/>
  <c r="R187" i="3"/>
  <c r="R189" i="3"/>
  <c r="R190" i="3"/>
  <c r="R192" i="3"/>
  <c r="R195" i="3"/>
  <c r="R198" i="3"/>
  <c r="R221" i="3"/>
  <c r="Q189" i="3"/>
  <c r="Q198" i="3"/>
  <c r="Q221" i="3"/>
  <c r="P184" i="3"/>
  <c r="P189" i="3"/>
  <c r="P198" i="3"/>
  <c r="P221" i="3"/>
  <c r="O184" i="3"/>
  <c r="O189" i="3"/>
  <c r="O198" i="3"/>
  <c r="O221" i="3"/>
  <c r="N184" i="3"/>
  <c r="N189" i="3"/>
  <c r="N198" i="3"/>
  <c r="N221" i="3"/>
  <c r="L184" i="3"/>
  <c r="M184" i="3"/>
  <c r="M189" i="3"/>
  <c r="M192" i="3"/>
  <c r="M198" i="3"/>
  <c r="M221" i="3"/>
  <c r="L189" i="3"/>
  <c r="L198" i="3"/>
  <c r="L221" i="3"/>
  <c r="S184" i="3"/>
  <c r="S189" i="3"/>
  <c r="S198" i="3"/>
  <c r="S221" i="3"/>
  <c r="T184" i="3"/>
  <c r="T189" i="3"/>
  <c r="T198" i="3"/>
  <c r="T221" i="3"/>
  <c r="U184" i="3"/>
  <c r="U189" i="3"/>
  <c r="U198" i="3"/>
  <c r="U221" i="3"/>
  <c r="V184" i="3"/>
  <c r="V189" i="3"/>
  <c r="V198" i="3"/>
  <c r="V221" i="3"/>
  <c r="W200" i="3"/>
  <c r="W201" i="3"/>
  <c r="W208" i="3"/>
  <c r="W213" i="3"/>
  <c r="W220" i="3"/>
  <c r="W184" i="3"/>
  <c r="W185" i="3"/>
  <c r="W187" i="3"/>
  <c r="W189" i="3"/>
  <c r="W190" i="3"/>
  <c r="W192" i="3"/>
  <c r="W195" i="3"/>
  <c r="W198" i="3"/>
  <c r="W221" i="3"/>
  <c r="X184" i="3"/>
  <c r="X189" i="3"/>
  <c r="X198" i="3"/>
  <c r="X221" i="3"/>
  <c r="Y184" i="3"/>
  <c r="Y189" i="3"/>
  <c r="Y198" i="3"/>
  <c r="Y221" i="3"/>
  <c r="Z184" i="3"/>
  <c r="Z189" i="3"/>
  <c r="Z198" i="3"/>
  <c r="Z221" i="3"/>
  <c r="AA184" i="3"/>
  <c r="AA189" i="3"/>
  <c r="AA198" i="3"/>
  <c r="AA221" i="3"/>
  <c r="AB200" i="3"/>
  <c r="AB201" i="3"/>
  <c r="AB208" i="3"/>
  <c r="AB213" i="3"/>
  <c r="AB220" i="3"/>
  <c r="AB184" i="3"/>
  <c r="AB185" i="3"/>
  <c r="AB187" i="3"/>
  <c r="AB189" i="3"/>
  <c r="AB190" i="3"/>
  <c r="AB192" i="3"/>
  <c r="AB195" i="3"/>
  <c r="AB198" i="3"/>
  <c r="AB221" i="3"/>
  <c r="AC184" i="3"/>
  <c r="AC189" i="3"/>
  <c r="AC198" i="3"/>
  <c r="AC221" i="3"/>
  <c r="AD184" i="3"/>
  <c r="AD189" i="3"/>
  <c r="AD198" i="3"/>
  <c r="AD221" i="3"/>
  <c r="AE184" i="3"/>
  <c r="AE189" i="3"/>
  <c r="AE198" i="3"/>
  <c r="AE221" i="3"/>
  <c r="AF184" i="3"/>
  <c r="AF189" i="3"/>
  <c r="AF198" i="3"/>
  <c r="AF221" i="3"/>
  <c r="AG200" i="3"/>
  <c r="AG201" i="3"/>
  <c r="AG208" i="3"/>
  <c r="AG213" i="3"/>
  <c r="AG220" i="3"/>
  <c r="AG184" i="3"/>
  <c r="AG185" i="3"/>
  <c r="AG187" i="3"/>
  <c r="AG189" i="3"/>
  <c r="AG190" i="3"/>
  <c r="AG192" i="3"/>
  <c r="AG195" i="3"/>
  <c r="AG198" i="3"/>
  <c r="AG221" i="3"/>
  <c r="AK148" i="3"/>
  <c r="AJ148" i="3"/>
  <c r="AI148" i="3"/>
  <c r="AH148" i="3"/>
  <c r="AF148" i="3"/>
  <c r="AE148" i="3"/>
  <c r="AD148" i="3"/>
  <c r="AC148" i="3"/>
  <c r="AA148" i="3"/>
  <c r="Z148" i="3"/>
  <c r="Y148" i="3"/>
  <c r="X148" i="3"/>
  <c r="V148" i="3"/>
  <c r="U148" i="3"/>
  <c r="T148" i="3"/>
  <c r="S148" i="3"/>
  <c r="Q148" i="3"/>
  <c r="P148" i="3"/>
  <c r="O148" i="3"/>
  <c r="N148" i="3"/>
  <c r="AK149" i="3"/>
  <c r="AJ149" i="3"/>
  <c r="AI149" i="3"/>
  <c r="AH149" i="3"/>
  <c r="AF149" i="3"/>
  <c r="AE149" i="3"/>
  <c r="AD149" i="3"/>
  <c r="AC149" i="3"/>
  <c r="AA149" i="3"/>
  <c r="Z149" i="3"/>
  <c r="Y149" i="3"/>
  <c r="X149" i="3"/>
  <c r="V149" i="3"/>
  <c r="U149" i="3"/>
  <c r="T149" i="3"/>
  <c r="S149" i="3"/>
  <c r="Q149" i="3"/>
  <c r="P149" i="3"/>
  <c r="O149" i="3"/>
  <c r="N149" i="3"/>
  <c r="N153" i="3"/>
  <c r="O153" i="3"/>
  <c r="P153" i="3"/>
  <c r="Q42" i="3"/>
  <c r="Q153" i="3"/>
  <c r="S37" i="3"/>
  <c r="S42" i="3"/>
  <c r="S153" i="3"/>
  <c r="T37" i="3"/>
  <c r="T42" i="3"/>
  <c r="T153" i="3"/>
  <c r="U37" i="3"/>
  <c r="U42" i="3"/>
  <c r="U153" i="3"/>
  <c r="V37" i="3"/>
  <c r="V42" i="3"/>
  <c r="V153" i="3"/>
  <c r="X37" i="3"/>
  <c r="X42" i="3"/>
  <c r="X153" i="3"/>
  <c r="Y37" i="3"/>
  <c r="Y42" i="3"/>
  <c r="Y153" i="3"/>
  <c r="Z37" i="3"/>
  <c r="Z42" i="3"/>
  <c r="Z153" i="3"/>
  <c r="AA37" i="3"/>
  <c r="AA42" i="3"/>
  <c r="AA153" i="3"/>
  <c r="AC37" i="3"/>
  <c r="AC42" i="3"/>
  <c r="AC153" i="3"/>
  <c r="AD37" i="3"/>
  <c r="AD42" i="3"/>
  <c r="AD153" i="3"/>
  <c r="AE37" i="3"/>
  <c r="AE42" i="3"/>
  <c r="AE153" i="3"/>
  <c r="AF37" i="3"/>
  <c r="AF42" i="3"/>
  <c r="AF153" i="3"/>
  <c r="AH37" i="3"/>
  <c r="AH42" i="3"/>
  <c r="AH153" i="3"/>
  <c r="AI37" i="3"/>
  <c r="AI42" i="3"/>
  <c r="AI153" i="3"/>
  <c r="AJ37" i="3"/>
  <c r="AJ42" i="3"/>
  <c r="AJ153" i="3"/>
  <c r="AK37" i="3"/>
  <c r="AK42" i="3"/>
  <c r="AK153" i="3"/>
  <c r="N154" i="3"/>
  <c r="O154" i="3"/>
  <c r="P154" i="3"/>
  <c r="Q154" i="3"/>
  <c r="S154" i="3"/>
  <c r="T154" i="3"/>
  <c r="U154" i="3"/>
  <c r="V154" i="3"/>
  <c r="X154" i="3"/>
  <c r="Y154" i="3"/>
  <c r="Z154" i="3"/>
  <c r="AA154" i="3"/>
  <c r="AC154" i="3"/>
  <c r="AD154" i="3"/>
  <c r="AE154" i="3"/>
  <c r="AF154" i="3"/>
  <c r="AH154" i="3"/>
  <c r="AI154" i="3"/>
  <c r="AJ154" i="3"/>
  <c r="AK154" i="3"/>
  <c r="L155" i="3"/>
  <c r="N155" i="3"/>
  <c r="O155" i="3"/>
  <c r="P155" i="3"/>
  <c r="Q155" i="3"/>
  <c r="S155" i="3"/>
  <c r="T155" i="3"/>
  <c r="U155" i="3"/>
  <c r="V155" i="3"/>
  <c r="X155" i="3"/>
  <c r="Y155" i="3"/>
  <c r="Z155" i="3"/>
  <c r="AA155" i="3"/>
  <c r="AC155" i="3"/>
  <c r="AD155" i="3"/>
  <c r="AE155" i="3"/>
  <c r="AF155" i="3"/>
  <c r="AH155" i="3"/>
  <c r="AI155" i="3"/>
  <c r="AJ155" i="3"/>
  <c r="AK155" i="3"/>
  <c r="AK184" i="3"/>
  <c r="AL184" i="3"/>
  <c r="AL185" i="3"/>
  <c r="AL190" i="3"/>
  <c r="AL281" i="3"/>
  <c r="AL283" i="3"/>
  <c r="AK281" i="3"/>
  <c r="AK283" i="3"/>
  <c r="AJ184" i="3"/>
  <c r="AJ281" i="3"/>
  <c r="AJ283" i="3"/>
  <c r="AI184" i="3"/>
  <c r="AI281" i="3"/>
  <c r="AI283" i="3"/>
  <c r="AH184" i="3"/>
  <c r="AH281" i="3"/>
  <c r="AH283" i="3"/>
  <c r="AG281" i="3"/>
  <c r="AG283" i="3"/>
  <c r="AF281" i="3"/>
  <c r="AF283" i="3"/>
  <c r="AE281" i="3"/>
  <c r="AE283" i="3"/>
  <c r="AD281" i="3"/>
  <c r="AD283" i="3"/>
  <c r="AC281" i="3"/>
  <c r="AC283" i="3"/>
  <c r="AB281" i="3"/>
  <c r="AB283" i="3"/>
  <c r="AA281" i="3"/>
  <c r="AA283" i="3"/>
  <c r="Z281" i="3"/>
  <c r="Z283" i="3"/>
  <c r="Y281" i="3"/>
  <c r="Y283" i="3"/>
  <c r="X281" i="3"/>
  <c r="X283" i="3"/>
  <c r="W281" i="3"/>
  <c r="W283" i="3"/>
  <c r="V281" i="3"/>
  <c r="V283" i="3"/>
  <c r="U281" i="3"/>
  <c r="U283" i="3"/>
  <c r="T281" i="3"/>
  <c r="T283" i="3"/>
  <c r="S281" i="3"/>
  <c r="S283" i="3"/>
  <c r="R281" i="3"/>
  <c r="R283" i="3"/>
  <c r="Q281" i="3"/>
  <c r="Q283" i="3"/>
  <c r="P281" i="3"/>
  <c r="P283" i="3"/>
  <c r="O281" i="3"/>
  <c r="O283" i="3"/>
  <c r="N281" i="3"/>
  <c r="N283" i="3"/>
  <c r="M281" i="3"/>
  <c r="M283" i="3"/>
  <c r="L281" i="3"/>
  <c r="L283" i="3"/>
  <c r="AL200" i="3"/>
  <c r="AL201" i="3"/>
  <c r="AL208" i="3"/>
  <c r="AL213" i="3"/>
  <c r="AL220" i="3"/>
  <c r="AL187" i="3"/>
  <c r="AL189" i="3"/>
  <c r="AK192" i="3"/>
  <c r="AL192" i="3"/>
  <c r="AL195" i="3"/>
  <c r="AL198" i="3"/>
  <c r="AL221" i="3"/>
  <c r="AK189" i="3"/>
  <c r="AK198" i="3"/>
  <c r="AK221" i="3"/>
  <c r="AJ189" i="3"/>
  <c r="AJ198" i="3"/>
  <c r="AJ221" i="3"/>
  <c r="AI189" i="3"/>
  <c r="AI198" i="3"/>
  <c r="AI221" i="3"/>
  <c r="AH189" i="3"/>
  <c r="AH198" i="3"/>
  <c r="AH221" i="3"/>
  <c r="M151" i="3"/>
  <c r="M155" i="3"/>
  <c r="M279" i="3"/>
  <c r="R76" i="3"/>
  <c r="R77" i="3"/>
  <c r="W76" i="3"/>
  <c r="W77" i="3"/>
  <c r="AB76" i="3"/>
  <c r="AB77" i="3"/>
  <c r="AG76" i="3"/>
  <c r="AG77" i="3"/>
  <c r="AL76" i="3"/>
  <c r="AL77" i="3"/>
  <c r="R110" i="3"/>
  <c r="R111" i="3"/>
  <c r="W110" i="3"/>
  <c r="W111" i="3"/>
  <c r="AB110" i="3"/>
  <c r="AB111" i="3"/>
  <c r="AG110" i="3"/>
  <c r="AG111" i="3"/>
  <c r="AL110" i="3"/>
  <c r="AL111" i="3"/>
  <c r="R124" i="3"/>
  <c r="R125" i="3"/>
  <c r="W124" i="3"/>
  <c r="W125" i="3"/>
  <c r="AB124" i="3"/>
  <c r="AB125" i="3"/>
  <c r="AG124" i="3"/>
  <c r="AG125" i="3"/>
  <c r="AL124" i="3"/>
  <c r="AL125" i="3"/>
  <c r="R148" i="3"/>
  <c r="R27" i="3"/>
  <c r="R149" i="3"/>
  <c r="R150" i="3"/>
  <c r="R151" i="3"/>
  <c r="R153" i="3"/>
  <c r="R154" i="3"/>
  <c r="R155" i="3"/>
  <c r="W148" i="3"/>
  <c r="W27" i="3"/>
  <c r="W149" i="3"/>
  <c r="W150" i="3"/>
  <c r="W151" i="3"/>
  <c r="W37" i="3"/>
  <c r="W42" i="3"/>
  <c r="W153" i="3"/>
  <c r="W154" i="3"/>
  <c r="W155" i="3"/>
  <c r="AB148" i="3"/>
  <c r="AB27" i="3"/>
  <c r="AB149" i="3"/>
  <c r="AB150" i="3"/>
  <c r="AB151" i="3"/>
  <c r="AB37" i="3"/>
  <c r="AB42" i="3"/>
  <c r="AB153" i="3"/>
  <c r="AB154" i="3"/>
  <c r="AB155" i="3"/>
  <c r="AG148" i="3"/>
  <c r="AG27" i="3"/>
  <c r="AG149" i="3"/>
  <c r="AG150" i="3"/>
  <c r="AG151" i="3"/>
  <c r="AG37" i="3"/>
  <c r="AG42" i="3"/>
  <c r="AG153" i="3"/>
  <c r="AG154" i="3"/>
  <c r="AG155" i="3"/>
  <c r="AL148" i="3"/>
  <c r="AL27" i="3"/>
  <c r="AL149" i="3"/>
  <c r="AL150" i="3"/>
  <c r="AL151" i="3"/>
  <c r="AL37" i="3"/>
  <c r="AL42" i="3"/>
  <c r="AL153" i="3"/>
  <c r="AL154" i="3"/>
  <c r="AL155" i="3"/>
  <c r="N290" i="3"/>
  <c r="O290" i="3"/>
  <c r="P290" i="3"/>
  <c r="Q290" i="3"/>
  <c r="S290" i="3"/>
  <c r="T290" i="3"/>
  <c r="U290" i="3"/>
  <c r="V290" i="3"/>
  <c r="X290" i="3"/>
  <c r="Y290" i="3"/>
  <c r="Z290" i="3"/>
  <c r="AA290" i="3"/>
  <c r="AC290" i="3"/>
  <c r="AD290" i="3"/>
  <c r="AE290" i="3"/>
  <c r="AF290" i="3"/>
  <c r="AH290" i="3"/>
  <c r="AI290" i="3"/>
  <c r="AJ290" i="3"/>
  <c r="AK290" i="3"/>
  <c r="R290" i="3"/>
  <c r="W29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Rohan Naran Jadav</author>
    <author>GE User</author>
    <author>Owner</author>
  </authors>
  <commentList>
    <comment ref="C9" authorId="0" shapeId="0" xr:uid="{F517F6E6-A400-B646-A073-B9E9F6F9C6E5}">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B293" authorId="0" shapeId="0" xr:uid="{F36D30C1-27A7-F742-AD48-BD31C43ADFE9}">
      <text>
        <r>
          <rPr>
            <b/>
            <sz val="9"/>
            <color rgb="FF000000"/>
            <rFont val="Tahoma"/>
            <family val="2"/>
          </rPr>
          <t xml:space="preserve">Multiple Note 1) </t>
        </r>
        <r>
          <rPr>
            <sz val="9"/>
            <color rgb="FF000000"/>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9/27/2020.</t>
        </r>
      </text>
    </comment>
    <comment ref="C297" authorId="1" shapeId="0" xr:uid="{30F0F416-8B66-D641-9783-4FC05A19C65A}">
      <text>
        <r>
          <rPr>
            <b/>
            <sz val="10"/>
            <color rgb="FF000000"/>
            <rFont val="Tahoma"/>
            <family val="2"/>
          </rPr>
          <t>Rohan Naran Jada</t>
        </r>
        <r>
          <rPr>
            <sz val="10"/>
            <color rgb="FF000000"/>
            <rFont val="Tahoma"/>
            <family val="2"/>
          </rPr>
          <t xml:space="preserve">v
</t>
        </r>
        <r>
          <rPr>
            <sz val="10"/>
            <color rgb="FF000000"/>
            <rFont val="Tahoma"/>
            <family val="2"/>
          </rPr>
          <t>I</t>
        </r>
        <r>
          <rPr>
            <sz val="10"/>
            <color rgb="FF000000"/>
            <rFont val="Calibri"/>
            <family val="2"/>
            <scheme val="minor"/>
          </rPr>
          <t xml:space="preserve"> have applied a Price- Earnings multiple of 33.4x fiscal year my forecasted 2021 EPS because I have forecasted overall bullish view on the recovery</t>
        </r>
        <r>
          <rPr>
            <sz val="10"/>
            <color rgb="FF000000"/>
            <rFont val="Calibri"/>
            <family val="2"/>
            <scheme val="minor"/>
          </rPr>
          <t xml:space="preserve">
</t>
        </r>
      </text>
    </comment>
    <comment ref="C298" authorId="0" shapeId="0" xr:uid="{ED09AC1D-51FA-F148-90FD-70283B308BAC}">
      <text>
        <r>
          <rPr>
            <b/>
            <sz val="9"/>
            <color rgb="FF000000"/>
            <rFont val="Tahoma"/>
            <family val="2"/>
          </rPr>
          <t xml:space="preserve">Multiple Note 2) </t>
        </r>
        <r>
          <rPr>
            <sz val="9"/>
            <color rgb="FF000000"/>
            <rFont val="Tahoma"/>
            <family val="2"/>
          </rPr>
          <t xml:space="preserve">Multiples in this section are calculated including the value of net cash and are based on the 3-month average daily share price compared to the consensus EPS estimates for the next twelve month period. </t>
        </r>
      </text>
    </comment>
    <comment ref="B301" authorId="0" shapeId="0" xr:uid="{BB8A0C40-C482-2944-96DD-A454F925FF1A}">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8/22/2020.</t>
        </r>
      </text>
    </comment>
    <comment ref="C303" authorId="0" shapeId="0" xr:uid="{FCF7E1C8-D7D8-9D45-8287-AF8DC9A61312}">
      <text>
        <r>
          <rPr>
            <sz val="9"/>
            <color rgb="FF000000"/>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t>
        </r>
        <r>
          <rPr>
            <sz val="9"/>
            <color rgb="FF000000"/>
            <rFont val="Tahoma"/>
            <family val="2"/>
          </rPr>
          <t xml:space="preserve"> 
</t>
        </r>
        <r>
          <rPr>
            <sz val="9"/>
            <color rgb="FF000000"/>
            <rFont val="Tahoma"/>
            <family val="2"/>
          </rPr>
          <t xml:space="preserve">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
        </r>
        <r>
          <rPr>
            <sz val="9"/>
            <color rgb="FF000000"/>
            <rFont val="Tahoma"/>
            <family val="2"/>
          </rPr>
          <t xml:space="preserve"> 
</t>
        </r>
        <r>
          <rPr>
            <sz val="9"/>
            <color rgb="FF000000"/>
            <rFont val="Tahoma"/>
            <family val="2"/>
          </rPr>
          <t>To solve this issue the target share price must be used in the calculation of debt to equity. You can use trial and error to type in share prices until the price for the market capitalization calculation equals that of the DCF target. Or you can simply input the equation of "Target Share Price" = "Implied DCF 12-month target value" (i.e. "DCF check") and use the Goal Seek function to change "Target Share Price" to equal the final DCF target. This should be the final step in your model, as any changes in the inputs could impact the valuation.</t>
        </r>
      </text>
    </comment>
    <comment ref="C307" authorId="0" shapeId="0" xr:uid="{C93EAF2C-8BC6-F748-A95A-34D9DF540E1D}">
      <text>
        <r>
          <rPr>
            <sz val="9"/>
            <color rgb="FF000000"/>
            <rFont val="Tahoma"/>
            <family val="2"/>
          </rPr>
          <t>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r>
      </text>
    </comment>
    <comment ref="C308" authorId="0" shapeId="0" xr:uid="{4FEB64D7-AE7E-4A46-902D-CEAFFC7482B3}">
      <text>
        <r>
          <rPr>
            <sz val="9"/>
            <color rgb="FF000000"/>
            <rFont val="Tahoma"/>
            <family val="2"/>
          </rPr>
          <t>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 (based on a 12-month forecast, refer to the ERP model for details).</t>
        </r>
      </text>
    </comment>
    <comment ref="B317" authorId="0" shapeId="0" xr:uid="{EC569762-7C37-CB4B-8675-7CAA2E43F7BE}">
      <text>
        <r>
          <rPr>
            <sz val="9"/>
            <color rgb="FF000000"/>
            <rFont val="Tahoma"/>
            <family val="2"/>
          </rPr>
          <t xml:space="preserve">&gt;Assumes constant networking capital in the constant growth stage.
</t>
        </r>
        <r>
          <rPr>
            <sz val="9"/>
            <color rgb="FF000000"/>
            <rFont val="Tahoma"/>
            <family val="2"/>
          </rPr>
          <t xml:space="preserve">&gt;Assumes debt balance and interest expense remains constant in the constant growth stage, and that book value of debt approximates fair value.
</t>
        </r>
      </text>
    </comment>
    <comment ref="C321" authorId="0" shapeId="0" xr:uid="{696FFAF0-FFEA-584E-AA10-EF3B485456DA}">
      <text>
        <r>
          <rPr>
            <sz val="9"/>
            <color rgb="FF000000"/>
            <rFont val="Tahoma"/>
            <family val="2"/>
          </rPr>
          <t>The Stage 2 long-term WACC assumes the weight and cost of debt remains constant, and cost of equity reaches the long-term average based on a long-term beta of 0.9 using the historic average VIX of 18.43%, the historic average 10-year U.S. Treasury rate of 6.23%, and Constant Sharpe of 0.312.</t>
        </r>
      </text>
    </comment>
    <comment ref="C323" authorId="2" shapeId="0" xr:uid="{6E890D87-267F-8847-98B5-D94793A7E933}">
      <text>
        <r>
          <rPr>
            <b/>
            <sz val="9"/>
            <color rgb="FF000000"/>
            <rFont val="Tahoma"/>
            <family val="2"/>
          </rPr>
          <t xml:space="preserve">Equation:
</t>
        </r>
        <r>
          <rPr>
            <b/>
            <sz val="9"/>
            <color rgb="FF000000"/>
            <rFont val="Tahoma"/>
            <family val="2"/>
          </rPr>
          <t>CFO:</t>
        </r>
        <r>
          <rPr>
            <sz val="9"/>
            <color rgb="FF000000"/>
            <rFont val="Tahoma"/>
            <family val="2"/>
          </rPr>
          <t xml:space="preserve"> [CFO x (1 + Constant CFO growth rate)] 
</t>
        </r>
        <r>
          <rPr>
            <b/>
            <sz val="9"/>
            <color rgb="FF000000"/>
            <rFont val="Tahoma"/>
            <family val="2"/>
          </rPr>
          <t>Minus Capex:</t>
        </r>
        <r>
          <rPr>
            <sz val="9"/>
            <color rgb="FF000000"/>
            <rFont val="Tahoma"/>
            <family val="2"/>
          </rPr>
          <t xml:space="preserve"> [(Average Capex to sales ratio) x [Sales x (1 + Constant Sales growth rate)]
</t>
        </r>
        <r>
          <rPr>
            <b/>
            <sz val="9"/>
            <color rgb="FF000000"/>
            <rFont val="Tahoma"/>
            <family val="2"/>
          </rPr>
          <t>Plus after-tax cost of debt:</t>
        </r>
        <r>
          <rPr>
            <sz val="9"/>
            <color rgb="FF000000"/>
            <rFont val="Tahoma"/>
            <family val="2"/>
          </rPr>
          <t xml:space="preserve"> [After tax cost of debt x Long-Term debt] </t>
        </r>
      </text>
    </comment>
    <comment ref="C325" authorId="3" shapeId="0" xr:uid="{5221CCB3-266D-6E47-ABE3-9C3690EA9319}">
      <text>
        <r>
          <rPr>
            <sz val="9"/>
            <color rgb="FF000000"/>
            <rFont val="Tahoma"/>
            <family val="2"/>
          </rPr>
          <t xml:space="preserve">This adds back cash and removes debt from the enterprise value to arrive at the equity only value
</t>
        </r>
      </text>
    </comment>
    <comment ref="B328" authorId="0" shapeId="0" xr:uid="{C8D6A71F-3AFF-084C-BFC8-7A81F10D771C}">
      <text>
        <r>
          <rPr>
            <sz val="9"/>
            <color rgb="FF000000"/>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8/22/2020</t>
        </r>
      </text>
    </comment>
  </commentList>
</comments>
</file>

<file path=xl/sharedStrings.xml><?xml version="1.0" encoding="utf-8"?>
<sst xmlns="http://schemas.openxmlformats.org/spreadsheetml/2006/main" count="1064" uniqueCount="338">
  <si>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</si>
  <si>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</si>
  <si>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</si>
  <si>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</si>
  <si>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</si>
  <si>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</si>
  <si>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</si>
  <si>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</si>
  <si>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</si>
  <si>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</si>
  <si>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Total liabilities and equity</t>
  </si>
  <si>
    <t>Cash flows from operating activities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</si>
  <si>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</si>
  <si>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</si>
  <si>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</si>
  <si>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</si>
  <si>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</si>
  <si>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</si>
  <si>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</si>
  <si>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Balance Sheet Ratios &amp; Assumptions</t>
  </si>
  <si>
    <t>Receivables turnover</t>
  </si>
  <si>
    <t>Number of days of payables</t>
  </si>
  <si>
    <t>Cash Flow Ratios &amp; Assumptions</t>
  </si>
  <si>
    <t>Operating margin (GAAP)</t>
  </si>
  <si>
    <t>Discounted FCFF</t>
  </si>
  <si>
    <t>Provisions for income tax</t>
  </si>
  <si>
    <t>Cash and equivalents</t>
  </si>
  <si>
    <t>Goodwill</t>
  </si>
  <si>
    <t>Accounts payable</t>
  </si>
  <si>
    <t xml:space="preserve">Retained earnings </t>
  </si>
  <si>
    <t>Total shareholders' equity</t>
  </si>
  <si>
    <t xml:space="preserve">Basic EPS </t>
  </si>
  <si>
    <t xml:space="preserve">Diluted EPS </t>
  </si>
  <si>
    <t>DCF Period (approximate number of years)</t>
  </si>
  <si>
    <t>Total operating expenses</t>
  </si>
  <si>
    <t>Change in basic shares  (excluding repurchases)</t>
  </si>
  <si>
    <t>Change in diluted shares  (excluding repurchases)</t>
  </si>
  <si>
    <t>GR</t>
  </si>
  <si>
    <t>Ratio Analysis</t>
  </si>
  <si>
    <t xml:space="preserve">Net Cash and investments per share </t>
  </si>
  <si>
    <t>Days sales outstanding</t>
  </si>
  <si>
    <t>Payables turnover</t>
  </si>
  <si>
    <t>Net Cash from Operations growth rate (YoY)</t>
  </si>
  <si>
    <t>Total operating income/(loss)</t>
  </si>
  <si>
    <t>Income/(loss) before income tax</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</si>
  <si>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</si>
  <si>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</si>
  <si>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</si>
  <si>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</si>
  <si>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</si>
  <si>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</si>
  <si>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Adjusted net cash  per share </t>
  </si>
  <si>
    <t>Non-GAAP Adjustments</t>
  </si>
  <si>
    <t>Cash Flow Statement Ratios</t>
  </si>
  <si>
    <t>Capex to revenue</t>
  </si>
  <si>
    <t>Equity</t>
  </si>
  <si>
    <t>Share-based compensation to revenue</t>
  </si>
  <si>
    <t>Segment Data</t>
  </si>
  <si>
    <t>Reconciliation</t>
  </si>
  <si>
    <t>Dec-18</t>
  </si>
  <si>
    <t xml:space="preserve">   Net income attributable to common shareholders</t>
  </si>
  <si>
    <t>Accounts receivable</t>
  </si>
  <si>
    <t>Other investing activities</t>
  </si>
  <si>
    <t>Repurchase of common stock</t>
  </si>
  <si>
    <t>Other financing activities</t>
  </si>
  <si>
    <t>Cash and equivalents at end of period (BS)</t>
  </si>
  <si>
    <t>Effect of exchange rate changes &amp; restricted cash</t>
  </si>
  <si>
    <t>Accumulated other comprehensive loss</t>
  </si>
  <si>
    <t>Revenue growth rate (GAAP, YoY)</t>
  </si>
  <si>
    <t>Starbucks Income Statement</t>
  </si>
  <si>
    <t>Starbucks Balance Sheet</t>
  </si>
  <si>
    <t>Starbucks Cash Flow Statement</t>
  </si>
  <si>
    <t>F1Q19</t>
  </si>
  <si>
    <t>Sept-19E</t>
  </si>
  <si>
    <t>Dec-19E</t>
  </si>
  <si>
    <t>Mar-20E</t>
  </si>
  <si>
    <t>June-20E</t>
  </si>
  <si>
    <t>Sept-20E</t>
  </si>
  <si>
    <t>Dec-20E</t>
  </si>
  <si>
    <t>Mar-21E</t>
  </si>
  <si>
    <t>June-21E</t>
  </si>
  <si>
    <t>Sept-21E</t>
  </si>
  <si>
    <t>Dec-21E</t>
  </si>
  <si>
    <t>Mar-22E</t>
  </si>
  <si>
    <t>June-22E</t>
  </si>
  <si>
    <t>Sept-22E</t>
  </si>
  <si>
    <t>Dec-22E</t>
  </si>
  <si>
    <t>Mar-23E</t>
  </si>
  <si>
    <t>June-23E</t>
  </si>
  <si>
    <t>Sept-23E</t>
  </si>
  <si>
    <t>F4Q20E</t>
  </si>
  <si>
    <t>FY 2020E</t>
  </si>
  <si>
    <t>F1Q21E</t>
  </si>
  <si>
    <t>F2Q21E</t>
  </si>
  <si>
    <t>F3Q21E</t>
  </si>
  <si>
    <t>F4Q21E</t>
  </si>
  <si>
    <t>FY 2021E</t>
  </si>
  <si>
    <t>F1Q22E</t>
  </si>
  <si>
    <t>F2Q22E</t>
  </si>
  <si>
    <t>F3Q22E</t>
  </si>
  <si>
    <t>F4Q22E</t>
  </si>
  <si>
    <t>FY 2022E</t>
  </si>
  <si>
    <t>F1Q23E</t>
  </si>
  <si>
    <t>F2Q23E</t>
  </si>
  <si>
    <t>F3Q23E</t>
  </si>
  <si>
    <t>F4Q23E</t>
  </si>
  <si>
    <t>FY 2023E</t>
  </si>
  <si>
    <t>Store operating expenses</t>
  </si>
  <si>
    <t>Other operating expenses</t>
  </si>
  <si>
    <t>Depreciation and amortization expenses</t>
  </si>
  <si>
    <t>General and administrative expenses</t>
  </si>
  <si>
    <t>Income from equity investees</t>
  </si>
  <si>
    <t>Interest income and other</t>
  </si>
  <si>
    <t>Interest expense</t>
  </si>
  <si>
    <t>Net income including noncontrolling interest</t>
  </si>
  <si>
    <t xml:space="preserve">Net earnings attributable to noncontrolling interest </t>
  </si>
  <si>
    <t>Cash dividend</t>
  </si>
  <si>
    <t>Americas (GAAP)</t>
  </si>
  <si>
    <t>Restructuring and impairments</t>
  </si>
  <si>
    <t>Americas company-operated stores</t>
  </si>
  <si>
    <t>Americas licensed stores</t>
  </si>
  <si>
    <t>Comp store sales - Ticket</t>
  </si>
  <si>
    <t>Comp store sales - Transaction</t>
  </si>
  <si>
    <t>Comp store sales - Total</t>
  </si>
  <si>
    <t xml:space="preserve">Net new company operated stores added </t>
  </si>
  <si>
    <t>Estimated stores included in comp sales calculation [step 1]</t>
  </si>
  <si>
    <t>Estimated revenue per store in comp sales calc ($M) [step 4]</t>
  </si>
  <si>
    <t>Comp sale revenue reconciliation [step 5]</t>
  </si>
  <si>
    <t xml:space="preserve">Net new licensed  stores added </t>
  </si>
  <si>
    <t>Revenue per company operated store [step 2]</t>
  </si>
  <si>
    <t>Average revenue per licensed store</t>
  </si>
  <si>
    <t>Average licensed stores in the period</t>
  </si>
  <si>
    <t>Americas Revenue: Other</t>
  </si>
  <si>
    <t>Americas Revenue: licensed stores ($M)</t>
  </si>
  <si>
    <t>Americas Revenue: Company-operated stores ($M)</t>
  </si>
  <si>
    <t>Other revenue YoY growth rate</t>
  </si>
  <si>
    <t>Americas total net revenues ($M)</t>
  </si>
  <si>
    <t>Americas total stores</t>
  </si>
  <si>
    <t>Americas total net store additions</t>
  </si>
  <si>
    <t>Operating expenses exDepreciation($M)</t>
  </si>
  <si>
    <t>Operating expenses exDepreciation (% of revenue)</t>
  </si>
  <si>
    <t>Channel Development (GAAP)</t>
  </si>
  <si>
    <t>Channel Dev Total operating expenses</t>
  </si>
  <si>
    <t>Channel Dev Total operating income</t>
  </si>
  <si>
    <t>Channel Dev Total operating margin (%)</t>
  </si>
  <si>
    <t>Corporate &amp; Other  (GAAP)</t>
  </si>
  <si>
    <t>Corp &amp; Other Total operating expenses</t>
  </si>
  <si>
    <t>Corp &amp; Other Total operating income</t>
  </si>
  <si>
    <t>Revenue YoY growth rate</t>
  </si>
  <si>
    <t>Company-operated revenue</t>
  </si>
  <si>
    <t>Licensed store revenue</t>
  </si>
  <si>
    <t>Other revenue</t>
  </si>
  <si>
    <t>Operating Income</t>
  </si>
  <si>
    <t>Gain on acquisition of JV/disposition of business</t>
  </si>
  <si>
    <r>
      <t xml:space="preserve">Other company-operated revenue (stores open less than 13 months and FX) </t>
    </r>
    <r>
      <rPr>
        <i/>
        <sz val="11"/>
        <color theme="3"/>
        <rFont val="Calibri"/>
        <family val="2"/>
        <scheme val="minor"/>
      </rPr>
      <t>[step 3]</t>
    </r>
  </si>
  <si>
    <r>
      <t>Other company-operated revenue (stores open less than 13 months and FX)</t>
    </r>
    <r>
      <rPr>
        <i/>
        <sz val="11"/>
        <color theme="3"/>
        <rFont val="Calibri"/>
        <family val="2"/>
        <scheme val="minor"/>
      </rPr>
      <t xml:space="preserve"> [step 3]</t>
    </r>
  </si>
  <si>
    <t>Nestle Transaction (Operating expenses)</t>
  </si>
  <si>
    <t>Restructuring and impairments (Operating expenses)</t>
  </si>
  <si>
    <t>Stock Awards (Operating expenses)</t>
  </si>
  <si>
    <t>Total impact on operating expenses</t>
  </si>
  <si>
    <t>Total impact on operating income</t>
  </si>
  <si>
    <t>Gain/(loss) on acquisitions and divestitures (Net income)</t>
  </si>
  <si>
    <t>Non-GAAP operating income adjustments</t>
  </si>
  <si>
    <t xml:space="preserve">Non-GAAP operating income </t>
  </si>
  <si>
    <t>Non-GAAP net income adjustments</t>
  </si>
  <si>
    <t xml:space="preserve">Non-GAAP net income </t>
  </si>
  <si>
    <t>Non-GAAP diluted EPS</t>
  </si>
  <si>
    <t>Income tax impact of adjustments and other (Net income)</t>
  </si>
  <si>
    <t>Income tax impact and other as % of operating income adj</t>
  </si>
  <si>
    <t>Short-term investments</t>
  </si>
  <si>
    <t>Accounts receivable, net</t>
  </si>
  <si>
    <t>Inventories</t>
  </si>
  <si>
    <t>Long-term investments</t>
  </si>
  <si>
    <t xml:space="preserve">Property, plant and equipment, net </t>
  </si>
  <si>
    <t>Other intangible assets, net</t>
  </si>
  <si>
    <t>Accrued liabilities</t>
  </si>
  <si>
    <t>Stored value card liability and deferred revenue</t>
  </si>
  <si>
    <t>Long-term debt</t>
  </si>
  <si>
    <t>Other long-term liabilities</t>
  </si>
  <si>
    <t>Common stock and additional paid in capital</t>
  </si>
  <si>
    <t>Noncontrolling interest</t>
  </si>
  <si>
    <t>Net income - including noncontrolling interests</t>
  </si>
  <si>
    <t>Deferred income taxes, net</t>
  </si>
  <si>
    <t>Income earned from equity method investees</t>
  </si>
  <si>
    <t>Distributions received from equity method investees</t>
  </si>
  <si>
    <t>Stock-based compensation expense</t>
  </si>
  <si>
    <t>Deferred revenue</t>
  </si>
  <si>
    <t>Proceeds from issuance of common stock</t>
  </si>
  <si>
    <t>Sale/Maturities/(Purchases) of investments</t>
  </si>
  <si>
    <t>Additions to PP&amp;E</t>
  </si>
  <si>
    <t>Gain resulting from acquisitions/sales</t>
  </si>
  <si>
    <t>Other Noncash Income/(Expense)</t>
  </si>
  <si>
    <t>Other operating assets and liabilities</t>
  </si>
  <si>
    <t>Cash dividends paid</t>
  </si>
  <si>
    <t>Increase/(Decrease) in prepaid expenses, other</t>
  </si>
  <si>
    <t>Operating margin (Non-GAAP)</t>
  </si>
  <si>
    <t>Interest &amp; other income as a % of average  investments and cash</t>
  </si>
  <si>
    <t>Interest expense as a % of average debt balances</t>
  </si>
  <si>
    <t>Deferred income taxes as % of def revenue &amp; stored value liability</t>
  </si>
  <si>
    <t xml:space="preserve">Distributions from equity investments as a % of income </t>
  </si>
  <si>
    <t>Inventory turnover</t>
  </si>
  <si>
    <t>Short-term investments as a % of total investments</t>
  </si>
  <si>
    <t>Total investments as a % of assets</t>
  </si>
  <si>
    <t>Debt to equity ratio</t>
  </si>
  <si>
    <t>Short-term debt to total debt</t>
  </si>
  <si>
    <t>All Other  (Operating expense)</t>
  </si>
  <si>
    <t>Americas total operating expenses</t>
  </si>
  <si>
    <t>Americas total operating income</t>
  </si>
  <si>
    <t>Americas total operating margin (%)</t>
  </si>
  <si>
    <t>Minimum tax withholdings on share-based awards</t>
  </si>
  <si>
    <t>Cash &amp; marketable securities (exEquity method investments)</t>
  </si>
  <si>
    <t>F2Q19</t>
  </si>
  <si>
    <t>Mar-19</t>
  </si>
  <si>
    <t>General and administrative expenses (GAAP)</t>
  </si>
  <si>
    <t>June-19</t>
  </si>
  <si>
    <t>F3Q19</t>
  </si>
  <si>
    <t>Dec-23E</t>
  </si>
  <si>
    <t>Mar-24E</t>
  </si>
  <si>
    <t>June-24E</t>
  </si>
  <si>
    <t>Sept-24E</t>
  </si>
  <si>
    <t>F1Q24E</t>
  </si>
  <si>
    <t>F2Q24E</t>
  </si>
  <si>
    <t>F3Q24E</t>
  </si>
  <si>
    <t>F4Q24E</t>
  </si>
  <si>
    <t>FY 2024E</t>
  </si>
  <si>
    <t>F4Q19</t>
  </si>
  <si>
    <t>FY 2019</t>
  </si>
  <si>
    <t>F1Q20</t>
  </si>
  <si>
    <t>F2Q20</t>
  </si>
  <si>
    <t>F3Q20</t>
  </si>
  <si>
    <t>Product and distribution costs</t>
  </si>
  <si>
    <t>Revenue - Company-operated stores</t>
  </si>
  <si>
    <t>Revenue - Licensed stores revenue</t>
  </si>
  <si>
    <t>Revenue - Product, Services, and Other</t>
  </si>
  <si>
    <t>Total revenues</t>
  </si>
  <si>
    <t>Proceeds from issuance of commercial paper</t>
  </si>
  <si>
    <t>Increase/(Decrease) in Income Taxes Payable</t>
  </si>
  <si>
    <t xml:space="preserve">Debt/commercial paper (payments) </t>
  </si>
  <si>
    <t>Debt issuance</t>
  </si>
  <si>
    <t>Other current liabilities</t>
  </si>
  <si>
    <t>Accrued payroll and benefits (current)</t>
  </si>
  <si>
    <t>Income taxes payable (current)</t>
  </si>
  <si>
    <t xml:space="preserve">Current portion of operating lease liability </t>
  </si>
  <si>
    <t>Equity investments</t>
  </si>
  <si>
    <t>Operating lease, right-of-use asset</t>
  </si>
  <si>
    <t>Other long-term assets</t>
  </si>
  <si>
    <t>Current portion of debt</t>
  </si>
  <si>
    <t>Operating lease liability</t>
  </si>
  <si>
    <t>Day Count (number of days in the quarter)</t>
  </si>
  <si>
    <t>Dec-24E</t>
  </si>
  <si>
    <t>Mar-25E</t>
  </si>
  <si>
    <t>June-25E</t>
  </si>
  <si>
    <t>Sept-25E</t>
  </si>
  <si>
    <t>F1Q25E</t>
  </si>
  <si>
    <t>F2Q25E</t>
  </si>
  <si>
    <t>F3Q25E</t>
  </si>
  <si>
    <t>F4Q25E</t>
  </si>
  <si>
    <t>FY 2025E</t>
  </si>
  <si>
    <t>International Segment (GAAP)</t>
  </si>
  <si>
    <t>International company-operated stores</t>
  </si>
  <si>
    <t>Int'l Revenue: Company-operated stores ($M)</t>
  </si>
  <si>
    <t>International licensed stores</t>
  </si>
  <si>
    <t>Int'l Revenue: licensed stores ($M)</t>
  </si>
  <si>
    <t>Int'l Revenue: Other</t>
  </si>
  <si>
    <t>Int'l total stores</t>
  </si>
  <si>
    <t>Int'l total net store additions</t>
  </si>
  <si>
    <t>Int'l total net revenues ($M)</t>
  </si>
  <si>
    <t>Int'l Total operating expenses</t>
  </si>
  <si>
    <t>Int'l Total operating income</t>
  </si>
  <si>
    <t>Int'l Total operating margin (%)</t>
  </si>
  <si>
    <t>Channel Development Revenue</t>
  </si>
  <si>
    <t>Net revenues ($M)</t>
  </si>
  <si>
    <t>Net revenue YoY growth rate</t>
  </si>
  <si>
    <t>International transaction and integration related costs</t>
  </si>
  <si>
    <t>Share Count Analysis</t>
  </si>
  <si>
    <t>Sept '18 ASR - Share repurchase assumptions: average price</t>
  </si>
  <si>
    <t>Sept '18 ASR - Share repurchase: amount in the period ($M)</t>
  </si>
  <si>
    <t>Sept '18 ASR -Shares repurchased (in millions)</t>
  </si>
  <si>
    <t>March '19 ASR - Share repurchase assumptions: average price</t>
  </si>
  <si>
    <t>March '19 ASR - Share repurchase: amount in the period ($M)</t>
  </si>
  <si>
    <t>March '19 ASR -Shares repurchased (in millions)</t>
  </si>
  <si>
    <t>Share repurchase assumptions: average price (exASRs)</t>
  </si>
  <si>
    <t>Share repurchase: amount in the period ($M, exASRs)</t>
  </si>
  <si>
    <t>Shares repurchased (in millions, exASRs)</t>
  </si>
  <si>
    <t>Non-GAAP EPS Growth (YoY)</t>
  </si>
  <si>
    <t>Cash Flow From Operations Growth (YoY)</t>
  </si>
  <si>
    <t>Free Cash Flow Growth (YoY)</t>
  </si>
  <si>
    <t>inventories outstanding</t>
  </si>
  <si>
    <t>Impact of extra week - 4Q2021 (Operating income)</t>
  </si>
  <si>
    <t>Multiple Valuation</t>
  </si>
  <si>
    <t>P/E 3-month average</t>
  </si>
  <si>
    <t>P/E 3-month high</t>
  </si>
  <si>
    <t>P/E 3-month low</t>
  </si>
  <si>
    <t>P/E used for valuation</t>
  </si>
  <si>
    <t>Adjustments</t>
  </si>
  <si>
    <t>Implied P/E 12-month target value</t>
  </si>
  <si>
    <t>DCF check</t>
  </si>
  <si>
    <t>Discounted Cash Flow Valuation</t>
  </si>
  <si>
    <t>Weighted Average Cost of Capital (WACC) Inputs</t>
  </si>
  <si>
    <t>Target share price</t>
  </si>
  <si>
    <t>Shares outstanding</t>
  </si>
  <si>
    <t>Market Capitalization ($M)</t>
  </si>
  <si>
    <t>Beta (relative to the S&amp;P500)</t>
  </si>
  <si>
    <t>Constant market Sharpe ratio</t>
  </si>
  <si>
    <t>S&amp;P500 implied volatility</t>
  </si>
  <si>
    <t>Equity market risk premium</t>
  </si>
  <si>
    <t>Estimate of Risk Free (future 10yr UST)</t>
  </si>
  <si>
    <t>Required return on equity (CAPM)</t>
  </si>
  <si>
    <t>Equity to total capital</t>
  </si>
  <si>
    <t>Average cost of debt</t>
  </si>
  <si>
    <t xml:space="preserve">After tax cost of debt </t>
  </si>
  <si>
    <t>Stage 1 WACC</t>
  </si>
  <si>
    <t>Constant Growth Stage Assumptions</t>
  </si>
  <si>
    <t>Revenue growth (in perpetuity)</t>
  </si>
  <si>
    <t>Constant CFO growth rate</t>
  </si>
  <si>
    <t>Average CapEx (% of sales)</t>
  </si>
  <si>
    <t>Stage 2 Long-Term WACC</t>
  </si>
  <si>
    <t>DCF Valuation</t>
  </si>
  <si>
    <t>PV of terminal value (Stage 2)</t>
  </si>
  <si>
    <t>NPV of Stage 1 cash flows</t>
  </si>
  <si>
    <t xml:space="preserve">Plus cash/(debt) per share </t>
  </si>
  <si>
    <t>Implied DCF 12-month target value</t>
  </si>
  <si>
    <t>Risk Estimation Summary</t>
  </si>
  <si>
    <t xml:space="preserve">Standard deviation </t>
  </si>
  <si>
    <t>Implied target value</t>
  </si>
  <si>
    <t>Implied upper bound</t>
  </si>
  <si>
    <t>Implied Lower bound</t>
  </si>
  <si>
    <t>EBITDA</t>
  </si>
  <si>
    <t>Mean monthly return</t>
  </si>
  <si>
    <t>By obtaining this model you are deemed to have read and agreed to our Terms of Use. Visit our website for details: https://www.gutenbergresearch.com/terms-of-use.html</t>
  </si>
  <si>
    <t>Previous ending cash (prior to change on 10/2)</t>
  </si>
  <si>
    <t>Blue cells = Gutenberg estimates (updated 8/22/2020)</t>
  </si>
  <si>
    <t>Updated ending cash (after change on 10/2)</t>
  </si>
  <si>
    <t>Purple cells = Company guidance (updated 7/28/2020)</t>
  </si>
  <si>
    <t>Change in cash due to increase in dividend</t>
  </si>
  <si>
    <t>Orange cells = Consensus estimates (updated 8/22/2020)</t>
  </si>
  <si>
    <t>Implied 50/50 average target value</t>
  </si>
  <si>
    <t xml:space="preserve">Implied target price band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</si>
</sst>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 #,##0.0000_);_(* \(#,##0.0000\);_(* &quot;-&quot;??_);_(@_)"/>
    <numFmt numFmtId="226" formatCode="0.000%"/>
    <numFmt numFmtId="227" formatCode="#,##0.000"/>
    <numFmt numFmtId="228" formatCode="0.0\x"/>
    <numFmt numFmtId="229" formatCode="&quot;$&quot;#,##0"/>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u val="singleAccounting"/>
      <sz val="11"/>
      <name val="Calibri"/>
      <family val="2"/>
      <scheme val="minor"/>
    </font>
    <font>
      <b/>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u val="singleAccounting"/>
      <sz val="11"/>
      <color rgb="FFFF0000"/>
      <name val="Calibri"/>
      <family val="2"/>
      <scheme val="minor"/>
    </font>
    <font>
      <u/>
      <sz val="11"/>
      <name val="Calibri"/>
      <family val="2"/>
      <scheme val="minor"/>
    </font>
    <font>
      <i/>
      <sz val="11"/>
      <color theme="3"/>
      <name val="Calibri"/>
      <family val="2"/>
      <scheme val="minor"/>
    </font>
    <font>
      <b/>
      <i/>
      <sz val="11"/>
      <color theme="3"/>
      <name val="Calibri"/>
      <family val="2"/>
      <scheme val="minor"/>
    </font>
    <font>
      <i/>
      <sz val="9"/>
      <color theme="3"/>
      <name val="Calibri"/>
      <family val="2"/>
      <scheme val="minor"/>
    </font>
    <font>
      <b/>
      <i/>
      <u/>
      <sz val="12"/>
      <color theme="3"/>
      <name val="Calibri"/>
      <family val="2"/>
      <scheme val="minor"/>
    </font>
    <font>
      <i/>
      <u val="singleAccounting"/>
      <sz val="11"/>
      <color theme="3"/>
      <name val="Calibri"/>
      <family val="2"/>
      <scheme val="minor"/>
    </font>
    <font>
      <b/>
      <i/>
      <u val="singleAccounting"/>
      <sz val="11"/>
      <color theme="3"/>
      <name val="Calibri"/>
      <family val="2"/>
      <scheme val="minor"/>
    </font>
    <font>
      <sz val="11"/>
      <color theme="0"/>
      <name val="Calibri"/>
      <family val="2"/>
      <scheme val="minor"/>
    </font>
    <font>
      <sz val="11"/>
      <color theme="3"/>
      <name val="Calibri"/>
      <family val="2"/>
      <scheme val="minor"/>
    </font>
    <font>
      <i/>
      <sz val="8"/>
      <name val="Calibri"/>
      <family val="2"/>
      <scheme val="minor"/>
    </font>
    <font>
      <sz val="8"/>
      <name val="Calibri"/>
      <family val="2"/>
      <scheme val="minor"/>
    </font>
    <font>
      <b/>
      <u/>
      <sz val="11"/>
      <color theme="1" tint="0.14999847407452621"/>
      <name val="Calibri"/>
      <family val="2"/>
      <scheme val="minor"/>
    </font>
    <font>
      <sz val="11"/>
      <color theme="1" tint="0.14999847407452621"/>
      <name val="Calibri"/>
      <family val="2"/>
      <scheme val="minor"/>
    </font>
    <font>
      <u val="singleAccounting"/>
      <sz val="11"/>
      <color theme="1" tint="0.14999847407452621"/>
      <name val="Calibri"/>
      <family val="2"/>
      <scheme val="minor"/>
    </font>
    <font>
      <b/>
      <sz val="11"/>
      <color theme="1" tint="0.14999847407452621"/>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b/>
      <sz val="11"/>
      <color rgb="FFC00000"/>
      <name val="Calibri"/>
      <family val="2"/>
      <scheme val="minor"/>
    </font>
    <font>
      <sz val="11"/>
      <color rgb="FFC00000"/>
      <name val="Calibri"/>
      <family val="2"/>
      <scheme val="minor"/>
    </font>
    <font>
      <sz val="10"/>
      <color rgb="FF000000"/>
      <name val="Tahoma"/>
      <family val="2"/>
    </font>
    <font>
      <b/>
      <sz val="10"/>
      <color rgb="FF000000"/>
      <name val="Tahoma"/>
      <family val="2"/>
    </font>
    <font>
      <sz val="10"/>
      <color rgb="FF000000"/>
      <name val="Calibri"/>
      <family val="2"/>
      <scheme val="minor"/>
    </font>
  </fonts>
  <fills count="1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s>
  <borders count="4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s>
  <cellStyleXfs count="33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7" fillId="0" borderId="0" applyNumberFormat="0" applyFill="0" applyBorder="0" applyProtection="0">
      <alignment vertical="top"/>
    </xf>
    <xf numFmtId="0" fontId="8" fillId="0" borderId="15" applyNumberFormat="0" applyFill="0" applyAlignment="0" applyProtection="0"/>
    <xf numFmtId="0" fontId="9" fillId="0" borderId="16"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11" fillId="0" borderId="0" applyNumberFormat="0" applyFill="0" applyBorder="0" applyAlignment="0" applyProtection="0"/>
    <xf numFmtId="0" fontId="12" fillId="0" borderId="0"/>
    <xf numFmtId="176" fontId="13" fillId="0" borderId="0">
      <alignment horizontal="center"/>
    </xf>
    <xf numFmtId="37" fontId="14" fillId="0" borderId="0"/>
    <xf numFmtId="37" fontId="15" fillId="0" borderId="0"/>
    <xf numFmtId="177" fontId="16"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6"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6"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6"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6" fillId="0" borderId="2" applyAlignment="0" applyProtection="0"/>
    <xf numFmtId="177" fontId="16" fillId="0" borderId="2" applyAlignment="0" applyProtection="0"/>
    <xf numFmtId="177" fontId="16" fillId="0" borderId="2" applyAlignment="0" applyProtection="0"/>
    <xf numFmtId="177" fontId="16" fillId="0" borderId="2" applyAlignment="0" applyProtection="0"/>
    <xf numFmtId="177" fontId="1" fillId="0" borderId="0" applyAlignment="0" applyProtection="0"/>
    <xf numFmtId="178" fontId="17"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1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18" fillId="0" borderId="0" applyFill="0" applyBorder="0" applyProtection="0">
      <alignment horizontal="center"/>
      <protection locked="0"/>
    </xf>
    <xf numFmtId="0" fontId="19"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19" fillId="0" borderId="7"/>
    <xf numFmtId="192" fontId="1" fillId="0" borderId="0"/>
    <xf numFmtId="0" fontId="12"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19" fillId="0" borderId="0" applyFont="0" applyFill="0" applyBorder="0" applyAlignment="0" applyProtection="0"/>
    <xf numFmtId="4" fontId="19"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0" fillId="0" borderId="0" applyFont="0" applyFill="0" applyBorder="0" applyAlignment="0" applyProtection="0"/>
    <xf numFmtId="4" fontId="1" fillId="0" borderId="0" applyFont="0" applyFill="0" applyBorder="0" applyAlignment="0" applyProtection="0"/>
    <xf numFmtId="4" fontId="1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2" fillId="0" borderId="0" applyFill="0" applyBorder="0" applyAlignment="0" applyProtection="0">
      <protection locked="0"/>
    </xf>
    <xf numFmtId="193" fontId="3" fillId="0" borderId="0">
      <alignment horizontal="center"/>
    </xf>
    <xf numFmtId="194" fontId="23" fillId="0" borderId="0" applyFill="0" applyBorder="0" applyProtection="0"/>
    <xf numFmtId="195" fontId="24" fillId="0" borderId="0" applyFont="0" applyFill="0" applyBorder="0" applyAlignment="0" applyProtection="0"/>
    <xf numFmtId="196" fontId="25"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1" fillId="0" borderId="0" applyNumberFormat="0" applyFill="0" applyBorder="0" applyAlignment="0" applyProtection="0"/>
    <xf numFmtId="1" fontId="13" fillId="0" borderId="0"/>
    <xf numFmtId="14" fontId="26" fillId="0" borderId="0">
      <alignment horizontal="center"/>
    </xf>
    <xf numFmtId="14" fontId="17" fillId="0" borderId="0" applyFill="0" applyBorder="0" applyAlignment="0"/>
    <xf numFmtId="15" fontId="27" fillId="5" borderId="0" applyNumberFormat="0" applyFont="0" applyFill="0" applyBorder="0" applyAlignment="0">
      <alignment horizontal="center" wrapText="1"/>
    </xf>
    <xf numFmtId="0" fontId="17" fillId="0" borderId="14" applyNumberFormat="0" applyFill="0" applyBorder="0" applyAlignment="0" applyProtection="0"/>
    <xf numFmtId="197" fontId="19" fillId="0" borderId="0" applyFont="0" applyFill="0" applyBorder="0" applyAlignment="0" applyProtection="0"/>
    <xf numFmtId="198" fontId="24" fillId="0" borderId="0" applyFont="0" applyFill="0" applyBorder="0" applyAlignment="0" applyProtection="0"/>
    <xf numFmtId="178" fontId="2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2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5" fillId="0" borderId="17">
      <protection hidden="1"/>
    </xf>
    <xf numFmtId="199" fontId="3" fillId="0" borderId="0" applyFont="0" applyFill="0" applyBorder="0" applyAlignment="0" applyProtection="0"/>
    <xf numFmtId="38" fontId="29" fillId="5" borderId="0" applyNumberFormat="0" applyBorder="0" applyAlignment="0" applyProtection="0"/>
    <xf numFmtId="0" fontId="30" fillId="0" borderId="18" applyNumberFormat="0" applyAlignment="0" applyProtection="0">
      <alignment horizontal="left" vertical="center"/>
    </xf>
    <xf numFmtId="0" fontId="30"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0"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0"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0"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0" fillId="0" borderId="9">
      <alignment horizontal="left" vertical="center"/>
    </xf>
    <xf numFmtId="0" fontId="30" fillId="0" borderId="9">
      <alignment horizontal="left" vertical="center"/>
    </xf>
    <xf numFmtId="0" fontId="30" fillId="0" borderId="9">
      <alignment horizontal="left" vertical="center"/>
    </xf>
    <xf numFmtId="0" fontId="30" fillId="0" borderId="9">
      <alignment horizontal="left" vertical="center"/>
    </xf>
    <xf numFmtId="0" fontId="1" fillId="0" borderId="0">
      <alignment horizontal="left" vertical="center"/>
    </xf>
    <xf numFmtId="14" fontId="31" fillId="6" borderId="17">
      <alignment horizontal="center" vertical="center"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Fill="0" applyAlignment="0" applyProtection="0">
      <protection locked="0"/>
    </xf>
    <xf numFmtId="0" fontId="18" fillId="0" borderId="7" applyFill="0" applyAlignment="0" applyProtection="0">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0" fontId="29" fillId="7" borderId="14" applyNumberFormat="0" applyBorder="0" applyAlignment="0" applyProtection="0"/>
    <xf numFmtId="178" fontId="35"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5"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204" fontId="13" fillId="0" borderId="7"/>
    <xf numFmtId="37" fontId="37" fillId="0" borderId="0"/>
    <xf numFmtId="205" fontId="19" fillId="0" borderId="0"/>
    <xf numFmtId="205" fontId="1" fillId="0" borderId="0"/>
    <xf numFmtId="206" fontId="3" fillId="0" borderId="0"/>
    <xf numFmtId="207"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39" fillId="0" borderId="0"/>
    <xf numFmtId="0" fontId="3" fillId="0" borderId="0"/>
    <xf numFmtId="0" fontId="3" fillId="0" borderId="0"/>
    <xf numFmtId="37" fontId="40" fillId="0" borderId="0"/>
    <xf numFmtId="0" fontId="1" fillId="0" borderId="0"/>
    <xf numFmtId="0" fontId="1" fillId="0" borderId="0"/>
    <xf numFmtId="0" fontId="3" fillId="0" borderId="0">
      <alignment wrapText="1"/>
    </xf>
    <xf numFmtId="0" fontId="3" fillId="0" borderId="0"/>
    <xf numFmtId="37" fontId="40" fillId="0" borderId="0"/>
    <xf numFmtId="0" fontId="3" fillId="0" borderId="0"/>
    <xf numFmtId="37" fontId="40" fillId="0" borderId="0"/>
    <xf numFmtId="0" fontId="1" fillId="0" borderId="0"/>
    <xf numFmtId="0" fontId="20" fillId="0" borderId="0"/>
    <xf numFmtId="37" fontId="1" fillId="0" borderId="0"/>
    <xf numFmtId="0" fontId="1" fillId="0" borderId="0"/>
    <xf numFmtId="37" fontId="1" fillId="0" borderId="0"/>
    <xf numFmtId="0" fontId="3" fillId="0" borderId="0">
      <alignment wrapText="1"/>
    </xf>
    <xf numFmtId="37" fontId="41"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6" fillId="0" borderId="0"/>
    <xf numFmtId="218" fontId="25"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36" fillId="0" borderId="19" applyNumberFormat="0" applyBorder="0"/>
    <xf numFmtId="204" fontId="13" fillId="0" borderId="0"/>
    <xf numFmtId="0" fontId="43" fillId="8" borderId="20" applyNumberFormat="0" applyFont="0" applyFill="0" applyAlignment="0">
      <alignment horizontal="center" vertical="center"/>
    </xf>
    <xf numFmtId="178" fontId="44"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4"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0" fillId="0" borderId="21"/>
    <xf numFmtId="0" fontId="45" fillId="0" borderId="0"/>
    <xf numFmtId="0" fontId="19" fillId="0" borderId="0"/>
    <xf numFmtId="0" fontId="36" fillId="0" borderId="0"/>
    <xf numFmtId="37" fontId="46" fillId="0" borderId="17">
      <alignment horizontal="right"/>
      <protection locked="0"/>
    </xf>
    <xf numFmtId="37" fontId="47" fillId="0" borderId="17">
      <alignment horizontal="right"/>
      <protection locked="0"/>
    </xf>
    <xf numFmtId="49" fontId="17"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48" fillId="0" borderId="0" applyFill="0" applyBorder="0" applyProtection="0">
      <alignment horizontal="left" vertical="top"/>
    </xf>
    <xf numFmtId="40" fontId="49"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7" fontId="40" fillId="0" borderId="7"/>
    <xf numFmtId="37" fontId="40"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3" fillId="0" borderId="0"/>
    <xf numFmtId="0" fontId="3" fillId="0" borderId="0"/>
  </cellStyleXfs>
  <cellXfs count="521">
    <xf numFmtId="0" fontId="0" fillId="0" borderId="0" xfId="0"/>
    <xf numFmtId="164" fontId="4" fillId="0" borderId="0" xfId="1" applyNumberFormat="1" applyFont="1" applyAlignment="1">
      <alignment horizontal="right"/>
    </xf>
    <xf numFmtId="0" fontId="4" fillId="0" borderId="0" xfId="0" applyFont="1"/>
    <xf numFmtId="0" fontId="4" fillId="0" borderId="0" xfId="0"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9" fontId="4" fillId="0" borderId="0" xfId="2" applyFont="1" applyAlignment="1">
      <alignment horizontal="right"/>
    </xf>
    <xf numFmtId="43" fontId="4" fillId="0" borderId="0" xfId="1" applyFont="1"/>
    <xf numFmtId="165" fontId="4" fillId="0" borderId="5" xfId="1" applyNumberFormat="1" applyFont="1" applyBorder="1" applyAlignment="1">
      <alignment horizontal="right"/>
    </xf>
    <xf numFmtId="164" fontId="52" fillId="0" borderId="0" xfId="1" quotePrefix="1" applyNumberFormat="1" applyFont="1" applyAlignment="1">
      <alignment horizontal="right"/>
    </xf>
    <xf numFmtId="164" fontId="52"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1" fillId="0" borderId="0" xfId="0" applyFont="1"/>
    <xf numFmtId="9" fontId="4" fillId="0" borderId="5" xfId="2" applyFont="1" applyBorder="1" applyAlignment="1">
      <alignment horizontal="right"/>
    </xf>
    <xf numFmtId="165" fontId="4" fillId="0" borderId="31" xfId="1" applyNumberFormat="1" applyFont="1" applyBorder="1" applyAlignment="1">
      <alignment horizontal="right"/>
    </xf>
    <xf numFmtId="165" fontId="4" fillId="0" borderId="32" xfId="1" applyNumberFormat="1" applyFont="1" applyBorder="1" applyAlignment="1">
      <alignment horizontal="right"/>
    </xf>
    <xf numFmtId="164" fontId="4" fillId="0" borderId="0" xfId="1" applyNumberFormat="1" applyFont="1" applyAlignment="1">
      <alignment horizontal="left"/>
    </xf>
    <xf numFmtId="165" fontId="4" fillId="0" borderId="2" xfId="1" applyNumberFormat="1" applyFont="1" applyBorder="1" applyAlignment="1">
      <alignment horizontal="right"/>
    </xf>
    <xf numFmtId="164" fontId="52" fillId="0" borderId="2" xfId="1" quotePrefix="1" applyNumberFormat="1" applyFont="1" applyBorder="1" applyAlignment="1">
      <alignment horizontal="right"/>
    </xf>
    <xf numFmtId="9" fontId="51" fillId="0" borderId="2" xfId="2" quotePrefix="1" applyFont="1" applyBorder="1" applyAlignment="1">
      <alignment horizontal="right"/>
    </xf>
    <xf numFmtId="164" fontId="50" fillId="3" borderId="0" xfId="1" quotePrefix="1" applyNumberFormat="1" applyFont="1" applyFill="1" applyAlignment="1">
      <alignment horizontal="right"/>
    </xf>
    <xf numFmtId="164" fontId="54" fillId="2" borderId="2" xfId="1" quotePrefix="1" applyNumberFormat="1" applyFont="1" applyFill="1" applyBorder="1" applyAlignment="1">
      <alignment horizontal="right"/>
    </xf>
    <xf numFmtId="164" fontId="55"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58" fillId="0" borderId="0" xfId="1" applyNumberFormat="1" applyFont="1" applyAlignment="1">
      <alignment horizontal="right"/>
    </xf>
    <xf numFmtId="165" fontId="58" fillId="0" borderId="5" xfId="1" applyNumberFormat="1" applyFont="1" applyBorder="1" applyAlignment="1">
      <alignment horizontal="right"/>
    </xf>
    <xf numFmtId="0" fontId="4" fillId="0" borderId="4" xfId="0" applyFont="1" applyBorder="1"/>
    <xf numFmtId="165" fontId="60" fillId="0" borderId="0" xfId="1" applyNumberFormat="1" applyFont="1" applyAlignment="1">
      <alignment horizontal="right"/>
    </xf>
    <xf numFmtId="165" fontId="60" fillId="0" borderId="5" xfId="1" applyNumberFormat="1" applyFont="1" applyBorder="1" applyAlignment="1">
      <alignment horizontal="right"/>
    </xf>
    <xf numFmtId="0" fontId="59" fillId="0" borderId="4" xfId="0" applyFont="1" applyBorder="1"/>
    <xf numFmtId="0" fontId="59" fillId="0" borderId="0" xfId="0" applyFont="1"/>
    <xf numFmtId="165" fontId="59" fillId="0" borderId="0" xfId="1" applyNumberFormat="1" applyFont="1" applyAlignment="1">
      <alignment horizontal="right"/>
    </xf>
    <xf numFmtId="165" fontId="59" fillId="0" borderId="5" xfId="1" applyNumberFormat="1" applyFont="1" applyBorder="1" applyAlignment="1">
      <alignment horizontal="right"/>
    </xf>
    <xf numFmtId="0" fontId="58" fillId="0" borderId="0" xfId="0" applyFont="1"/>
    <xf numFmtId="43" fontId="58" fillId="0" borderId="0" xfId="1" applyFont="1" applyAlignment="1">
      <alignment horizontal="right"/>
    </xf>
    <xf numFmtId="0" fontId="58" fillId="0" borderId="3" xfId="0" applyFont="1" applyBorder="1" applyAlignment="1">
      <alignment horizontal="left" indent="1"/>
    </xf>
    <xf numFmtId="0" fontId="58" fillId="10" borderId="4" xfId="0" applyFont="1" applyFill="1" applyBorder="1" applyAlignment="1">
      <alignment horizontal="left"/>
    </xf>
    <xf numFmtId="165" fontId="58" fillId="0" borderId="0" xfId="1" quotePrefix="1" applyNumberFormat="1" applyFont="1" applyAlignment="1">
      <alignment horizontal="right"/>
    </xf>
    <xf numFmtId="165" fontId="59" fillId="0" borderId="7" xfId="1" applyNumberFormat="1" applyFont="1" applyBorder="1" applyAlignment="1">
      <alignment horizontal="right"/>
    </xf>
    <xf numFmtId="166" fontId="58" fillId="0" borderId="0" xfId="2" quotePrefix="1" applyNumberFormat="1" applyFont="1" applyAlignment="1">
      <alignment horizontal="right"/>
    </xf>
    <xf numFmtId="165" fontId="58" fillId="0" borderId="5" xfId="1" quotePrefix="1" applyNumberFormat="1" applyFont="1" applyBorder="1" applyAlignment="1">
      <alignment horizontal="right"/>
    </xf>
    <xf numFmtId="0" fontId="58" fillId="10" borderId="3" xfId="0" applyFont="1" applyFill="1" applyBorder="1" applyAlignment="1">
      <alignment horizontal="left"/>
    </xf>
    <xf numFmtId="9" fontId="58" fillId="0" borderId="0" xfId="2" quotePrefix="1" applyFont="1" applyAlignment="1">
      <alignment horizontal="right"/>
    </xf>
    <xf numFmtId="165" fontId="62" fillId="0" borderId="0" xfId="2" applyNumberFormat="1" applyFont="1" applyAlignment="1">
      <alignment horizontal="right"/>
    </xf>
    <xf numFmtId="166" fontId="58" fillId="0" borderId="0" xfId="2" applyNumberFormat="1" applyFont="1" applyAlignment="1">
      <alignment horizontal="right"/>
    </xf>
    <xf numFmtId="166" fontId="58" fillId="0" borderId="5" xfId="2" applyNumberFormat="1" applyFont="1" applyBorder="1" applyAlignment="1">
      <alignment horizontal="right"/>
    </xf>
    <xf numFmtId="9" fontId="58" fillId="0" borderId="0" xfId="2" applyFont="1" applyAlignment="1">
      <alignment horizontal="right"/>
    </xf>
    <xf numFmtId="0" fontId="58" fillId="0" borderId="3" xfId="0" applyFont="1" applyBorder="1"/>
    <xf numFmtId="164" fontId="58" fillId="0" borderId="0" xfId="1" quotePrefix="1" applyNumberFormat="1" applyFont="1" applyAlignment="1">
      <alignment horizontal="right"/>
    </xf>
    <xf numFmtId="164" fontId="58" fillId="0" borderId="5" xfId="1" quotePrefix="1" applyNumberFormat="1" applyFont="1" applyBorder="1" applyAlignment="1">
      <alignment horizontal="right"/>
    </xf>
    <xf numFmtId="165" fontId="60" fillId="9" borderId="0" xfId="1" applyNumberFormat="1" applyFont="1" applyFill="1" applyAlignment="1">
      <alignment horizontal="right"/>
    </xf>
    <xf numFmtId="9" fontId="58" fillId="0" borderId="5" xfId="2" quotePrefix="1" applyFont="1" applyBorder="1" applyAlignment="1">
      <alignment horizontal="right"/>
    </xf>
    <xf numFmtId="0" fontId="61" fillId="0" borderId="25" xfId="0" applyFont="1" applyBorder="1" applyAlignment="1">
      <alignment horizontal="left"/>
    </xf>
    <xf numFmtId="7" fontId="58" fillId="0" borderId="0" xfId="1" applyNumberFormat="1" applyFont="1" applyAlignment="1">
      <alignment horizontal="right"/>
    </xf>
    <xf numFmtId="7" fontId="4" fillId="0" borderId="5" xfId="1" applyNumberFormat="1" applyFont="1" applyBorder="1" applyAlignment="1">
      <alignment horizontal="right"/>
    </xf>
    <xf numFmtId="43" fontId="58" fillId="0" borderId="7" xfId="1" applyFont="1" applyBorder="1" applyAlignment="1">
      <alignment horizontal="right"/>
    </xf>
    <xf numFmtId="43" fontId="58" fillId="0" borderId="8" xfId="1" applyFont="1" applyBorder="1" applyAlignment="1">
      <alignment horizontal="right"/>
    </xf>
    <xf numFmtId="165" fontId="58" fillId="0" borderId="8" xfId="1" applyNumberFormat="1" applyFont="1" applyBorder="1" applyAlignment="1">
      <alignment horizontal="right"/>
    </xf>
    <xf numFmtId="0" fontId="4" fillId="0" borderId="4" xfId="0" applyFont="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7" fillId="2" borderId="3" xfId="0" applyFont="1" applyFill="1" applyBorder="1" applyAlignment="1">
      <alignment horizontal="left"/>
    </xf>
    <xf numFmtId="0" fontId="61" fillId="10" borderId="4" xfId="0" applyFont="1" applyFill="1" applyBorder="1" applyAlignment="1">
      <alignment horizontal="left"/>
    </xf>
    <xf numFmtId="0" fontId="58" fillId="0" borderId="25" xfId="0" applyFont="1" applyBorder="1" applyAlignment="1">
      <alignment horizontal="left"/>
    </xf>
    <xf numFmtId="0" fontId="58" fillId="0" borderId="26" xfId="0" applyFont="1" applyBorder="1" applyAlignment="1">
      <alignment horizontal="left"/>
    </xf>
    <xf numFmtId="0" fontId="59" fillId="0" borderId="4" xfId="0" applyFont="1" applyBorder="1" applyAlignment="1">
      <alignment horizontal="left"/>
    </xf>
    <xf numFmtId="0" fontId="58" fillId="0" borderId="3" xfId="0" applyFont="1" applyBorder="1" applyAlignment="1">
      <alignment horizontal="left" indent="2"/>
    </xf>
    <xf numFmtId="0" fontId="58" fillId="0" borderId="6" xfId="0" applyFont="1" applyBorder="1" applyAlignment="1">
      <alignment horizontal="left"/>
    </xf>
    <xf numFmtId="165" fontId="59" fillId="10" borderId="0" xfId="1" applyNumberFormat="1" applyFont="1" applyFill="1" applyAlignment="1">
      <alignment horizontal="right"/>
    </xf>
    <xf numFmtId="165" fontId="58" fillId="10" borderId="0" xfId="1" applyNumberFormat="1" applyFont="1" applyFill="1" applyAlignment="1">
      <alignment horizontal="right"/>
    </xf>
    <xf numFmtId="165" fontId="58" fillId="10" borderId="5" xfId="1" applyNumberFormat="1" applyFont="1" applyFill="1" applyBorder="1" applyAlignment="1">
      <alignment horizontal="right"/>
    </xf>
    <xf numFmtId="165" fontId="58" fillId="10" borderId="30" xfId="1" applyNumberFormat="1" applyFont="1" applyFill="1" applyBorder="1" applyAlignment="1">
      <alignment horizontal="right"/>
    </xf>
    <xf numFmtId="165" fontId="58" fillId="10" borderId="29" xfId="1" applyNumberFormat="1" applyFont="1" applyFill="1" applyBorder="1" applyAlignment="1">
      <alignment horizontal="right"/>
    </xf>
    <xf numFmtId="164" fontId="54" fillId="2" borderId="33" xfId="1" quotePrefix="1" applyNumberFormat="1" applyFont="1" applyFill="1" applyBorder="1" applyAlignment="1">
      <alignment horizontal="right"/>
    </xf>
    <xf numFmtId="164" fontId="55"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0" fillId="3" borderId="5" xfId="1" quotePrefix="1" applyNumberFormat="1" applyFont="1" applyFill="1" applyBorder="1" applyAlignment="1">
      <alignment horizontal="right"/>
    </xf>
    <xf numFmtId="0" fontId="57" fillId="2" borderId="4" xfId="0" applyFont="1" applyFill="1" applyBorder="1" applyAlignment="1">
      <alignment horizontal="left"/>
    </xf>
    <xf numFmtId="166" fontId="4" fillId="0" borderId="0" xfId="2" applyNumberFormat="1" applyFont="1" applyAlignment="1">
      <alignment horizontal="right"/>
    </xf>
    <xf numFmtId="167" fontId="58" fillId="0" borderId="0" xfId="1" applyNumberFormat="1" applyFont="1" applyAlignment="1">
      <alignment horizontal="right"/>
    </xf>
    <xf numFmtId="166" fontId="58" fillId="0" borderId="0" xfId="1" applyNumberFormat="1" applyFont="1" applyAlignment="1">
      <alignment horizontal="right"/>
    </xf>
    <xf numFmtId="165" fontId="58" fillId="0" borderId="0" xfId="1" applyNumberFormat="1" applyFont="1" applyAlignment="1">
      <alignment horizontal="left"/>
    </xf>
    <xf numFmtId="43" fontId="58" fillId="0" borderId="0" xfId="1" applyFont="1" applyAlignment="1">
      <alignment horizontal="left"/>
    </xf>
    <xf numFmtId="166" fontId="58" fillId="0" borderId="0" xfId="2" applyNumberFormat="1" applyFont="1" applyAlignment="1">
      <alignment horizontal="left"/>
    </xf>
    <xf numFmtId="9" fontId="58" fillId="0" borderId="0" xfId="1" applyNumberFormat="1" applyFont="1" applyAlignment="1">
      <alignment horizontal="left"/>
    </xf>
    <xf numFmtId="0" fontId="58" fillId="0" borderId="10" xfId="0" applyFont="1" applyBorder="1" applyAlignment="1">
      <alignment horizontal="left"/>
    </xf>
    <xf numFmtId="0" fontId="58" fillId="0" borderId="4" xfId="0" applyFont="1" applyBorder="1"/>
    <xf numFmtId="0" fontId="58" fillId="0" borderId="12" xfId="0" applyFont="1" applyBorder="1"/>
    <xf numFmtId="0" fontId="58" fillId="0" borderId="13" xfId="0" applyFont="1" applyBorder="1"/>
    <xf numFmtId="0" fontId="58" fillId="10" borderId="0" xfId="0" applyFont="1" applyFill="1" applyAlignment="1">
      <alignment horizontal="left"/>
    </xf>
    <xf numFmtId="9" fontId="4" fillId="0" borderId="0" xfId="1" applyNumberFormat="1" applyFont="1"/>
    <xf numFmtId="0" fontId="58" fillId="0" borderId="3" xfId="3" applyFont="1" applyBorder="1" applyAlignment="1">
      <alignment horizontal="left" vertical="top"/>
    </xf>
    <xf numFmtId="0" fontId="58" fillId="0" borderId="4" xfId="3" applyFont="1" applyBorder="1" applyAlignment="1">
      <alignment horizontal="left" vertical="top"/>
    </xf>
    <xf numFmtId="17" fontId="58" fillId="0" borderId="0" xfId="1" applyNumberFormat="1" applyFont="1" applyAlignment="1">
      <alignment horizontal="right" wrapText="1"/>
    </xf>
    <xf numFmtId="0" fontId="58" fillId="0" borderId="4" xfId="0" applyFont="1" applyBorder="1" applyAlignment="1">
      <alignment horizontal="left" indent="1"/>
    </xf>
    <xf numFmtId="0" fontId="58" fillId="0" borderId="3" xfId="0" applyFont="1" applyBorder="1" applyAlignment="1">
      <alignment horizontal="left" indent="3"/>
    </xf>
    <xf numFmtId="0" fontId="59" fillId="0" borderId="3" xfId="0" applyFont="1" applyBorder="1" applyAlignment="1">
      <alignment horizontal="left" indent="4"/>
    </xf>
    <xf numFmtId="0" fontId="58" fillId="0" borderId="3" xfId="0" applyFont="1" applyBorder="1" applyAlignment="1">
      <alignment horizontal="left" indent="5"/>
    </xf>
    <xf numFmtId="164" fontId="58" fillId="0" borderId="0" xfId="1" applyNumberFormat="1" applyFont="1" applyAlignment="1">
      <alignment horizontal="right"/>
    </xf>
    <xf numFmtId="164" fontId="58" fillId="0" borderId="5" xfId="1" applyNumberFormat="1" applyFont="1" applyBorder="1" applyAlignment="1">
      <alignment horizontal="right"/>
    </xf>
    <xf numFmtId="164" fontId="59" fillId="0" borderId="0" xfId="1" applyNumberFormat="1" applyFont="1" applyAlignment="1">
      <alignment horizontal="right"/>
    </xf>
    <xf numFmtId="164" fontId="59" fillId="0" borderId="5" xfId="1" applyNumberFormat="1" applyFont="1" applyBorder="1" applyAlignment="1">
      <alignment horizontal="right"/>
    </xf>
    <xf numFmtId="164" fontId="60" fillId="0" borderId="0" xfId="1" applyNumberFormat="1" applyFont="1" applyAlignment="1">
      <alignment horizontal="right"/>
    </xf>
    <xf numFmtId="165" fontId="51" fillId="0" borderId="5" xfId="1" quotePrefix="1" applyNumberFormat="1" applyFont="1" applyBorder="1" applyAlignment="1">
      <alignment horizontal="right"/>
    </xf>
    <xf numFmtId="165" fontId="4" fillId="0" borderId="29" xfId="1" quotePrefix="1" applyNumberFormat="1" applyFont="1" applyBorder="1" applyAlignment="1">
      <alignment horizontal="right"/>
    </xf>
    <xf numFmtId="164" fontId="51" fillId="0" borderId="5" xfId="1" quotePrefix="1" applyNumberFormat="1" applyFont="1" applyBorder="1" applyAlignment="1">
      <alignment horizontal="right"/>
    </xf>
    <xf numFmtId="0" fontId="65" fillId="0" borderId="0" xfId="0" applyFont="1"/>
    <xf numFmtId="0" fontId="65" fillId="0" borderId="3" xfId="0" applyFont="1" applyBorder="1" applyAlignment="1">
      <alignment horizontal="left"/>
    </xf>
    <xf numFmtId="0" fontId="65" fillId="0" borderId="4" xfId="0" applyFont="1" applyBorder="1" applyAlignment="1">
      <alignment horizontal="left"/>
    </xf>
    <xf numFmtId="165" fontId="65" fillId="0" borderId="0" xfId="1" applyNumberFormat="1" applyFont="1" applyAlignment="1">
      <alignment horizontal="right"/>
    </xf>
    <xf numFmtId="165" fontId="65" fillId="9" borderId="0" xfId="1" applyNumberFormat="1" applyFont="1" applyFill="1" applyAlignment="1">
      <alignment horizontal="right"/>
    </xf>
    <xf numFmtId="165" fontId="65" fillId="0" borderId="5" xfId="1" quotePrefix="1" applyNumberFormat="1" applyFont="1" applyBorder="1" applyAlignment="1">
      <alignment horizontal="right"/>
    </xf>
    <xf numFmtId="167" fontId="65" fillId="9" borderId="0" xfId="1" applyNumberFormat="1" applyFont="1" applyFill="1" applyAlignment="1">
      <alignment horizontal="right"/>
    </xf>
    <xf numFmtId="0" fontId="65" fillId="0" borderId="3" xfId="0" applyFont="1" applyBorder="1" applyAlignment="1">
      <alignment horizontal="left" indent="2"/>
    </xf>
    <xf numFmtId="0" fontId="65" fillId="0" borderId="4" xfId="0" applyFont="1" applyBorder="1" applyAlignment="1">
      <alignment horizontal="left" indent="1"/>
    </xf>
    <xf numFmtId="164" fontId="65" fillId="0" borderId="0" xfId="1" applyNumberFormat="1" applyFont="1" applyAlignment="1">
      <alignment horizontal="right"/>
    </xf>
    <xf numFmtId="164" fontId="65" fillId="0" borderId="5" xfId="1" quotePrefix="1" applyNumberFormat="1" applyFont="1" applyBorder="1" applyAlignment="1">
      <alignment horizontal="right"/>
    </xf>
    <xf numFmtId="167" fontId="65" fillId="0" borderId="0" xfId="1" applyNumberFormat="1" applyFont="1" applyAlignment="1">
      <alignment horizontal="right"/>
    </xf>
    <xf numFmtId="165" fontId="59" fillId="0" borderId="31" xfId="1" applyNumberFormat="1" applyFont="1" applyBorder="1" applyAlignment="1">
      <alignment horizontal="right"/>
    </xf>
    <xf numFmtId="165" fontId="51" fillId="0" borderId="32" xfId="1" quotePrefix="1" applyNumberFormat="1" applyFont="1" applyBorder="1" applyAlignment="1">
      <alignment horizontal="right"/>
    </xf>
    <xf numFmtId="0" fontId="58" fillId="0" borderId="12" xfId="0" applyFont="1" applyBorder="1" applyAlignment="1">
      <alignment horizontal="left" indent="2"/>
    </xf>
    <xf numFmtId="0" fontId="58" fillId="0" borderId="13" xfId="0" applyFont="1" applyBorder="1" applyAlignment="1">
      <alignment horizontal="left" indent="1"/>
    </xf>
    <xf numFmtId="164" fontId="58" fillId="0" borderId="0" xfId="2" applyNumberFormat="1" applyFont="1" applyAlignment="1">
      <alignment horizontal="right"/>
    </xf>
    <xf numFmtId="164" fontId="60" fillId="0" borderId="0" xfId="2" applyNumberFormat="1" applyFont="1" applyAlignment="1">
      <alignment horizontal="right"/>
    </xf>
    <xf numFmtId="43" fontId="65" fillId="0" borderId="0" xfId="1" applyFont="1"/>
    <xf numFmtId="43" fontId="65" fillId="0" borderId="4" xfId="1" applyFont="1" applyBorder="1"/>
    <xf numFmtId="43" fontId="65" fillId="0" borderId="5" xfId="1" quotePrefix="1" applyFont="1" applyBorder="1" applyAlignment="1">
      <alignment horizontal="right"/>
    </xf>
    <xf numFmtId="43" fontId="65" fillId="0" borderId="3" xfId="1" applyFont="1" applyBorder="1" applyAlignment="1">
      <alignment horizontal="left" indent="4"/>
    </xf>
    <xf numFmtId="166" fontId="65" fillId="0" borderId="0" xfId="2" applyNumberFormat="1" applyFont="1" applyAlignment="1">
      <alignment horizontal="right"/>
    </xf>
    <xf numFmtId="164" fontId="58" fillId="0" borderId="32" xfId="1" applyNumberFormat="1" applyFont="1" applyBorder="1" applyAlignment="1">
      <alignment horizontal="right"/>
    </xf>
    <xf numFmtId="164" fontId="60" fillId="0" borderId="5" xfId="2" applyNumberFormat="1" applyFont="1" applyBorder="1" applyAlignment="1">
      <alignment horizontal="right"/>
    </xf>
    <xf numFmtId="0" fontId="67" fillId="0" borderId="0" xfId="0" applyFont="1"/>
    <xf numFmtId="0" fontId="68" fillId="0" borderId="4" xfId="0" applyFont="1" applyBorder="1" applyAlignment="1">
      <alignment horizontal="left"/>
    </xf>
    <xf numFmtId="0" fontId="66" fillId="0" borderId="13" xfId="0" applyFont="1" applyBorder="1"/>
    <xf numFmtId="9" fontId="62" fillId="0" borderId="0" xfId="2" applyFont="1" applyAlignment="1">
      <alignment horizontal="right"/>
    </xf>
    <xf numFmtId="0" fontId="66" fillId="0" borderId="26" xfId="0" applyFont="1" applyBorder="1" applyAlignment="1">
      <alignment horizontal="left"/>
    </xf>
    <xf numFmtId="0" fontId="66" fillId="0" borderId="12" xfId="0" applyFont="1" applyBorder="1" applyAlignment="1">
      <alignment horizontal="left" indent="2"/>
    </xf>
    <xf numFmtId="0" fontId="66" fillId="0" borderId="13" xfId="0" applyFont="1" applyBorder="1" applyAlignment="1">
      <alignment horizontal="left"/>
    </xf>
    <xf numFmtId="0" fontId="65" fillId="0" borderId="25" xfId="0" applyFont="1" applyBorder="1" applyAlignment="1">
      <alignment horizontal="left" indent="1"/>
    </xf>
    <xf numFmtId="0" fontId="65" fillId="0" borderId="26" xfId="0" applyFont="1" applyBorder="1"/>
    <xf numFmtId="0" fontId="66" fillId="0" borderId="35" xfId="0" applyFont="1" applyBorder="1" applyAlignment="1">
      <alignment horizontal="left" indent="2"/>
    </xf>
    <xf numFmtId="0" fontId="58" fillId="10" borderId="4" xfId="0" applyFont="1" applyFill="1" applyBorder="1" applyAlignment="1">
      <alignment horizontal="left" indent="1"/>
    </xf>
    <xf numFmtId="9" fontId="58" fillId="0" borderId="7" xfId="2" applyFont="1" applyBorder="1" applyAlignment="1">
      <alignment horizontal="right"/>
    </xf>
    <xf numFmtId="164" fontId="58" fillId="0" borderId="31" xfId="1" applyNumberFormat="1" applyFont="1" applyBorder="1" applyAlignment="1">
      <alignment horizontal="right"/>
    </xf>
    <xf numFmtId="166" fontId="58" fillId="0" borderId="7" xfId="2" quotePrefix="1" applyNumberFormat="1" applyFont="1" applyBorder="1" applyAlignment="1">
      <alignment horizontal="right"/>
    </xf>
    <xf numFmtId="10" fontId="4" fillId="0" borderId="0" xfId="2" applyNumberFormat="1" applyFont="1" applyAlignment="1">
      <alignment horizontal="right"/>
    </xf>
    <xf numFmtId="0" fontId="4" fillId="0" borderId="10" xfId="0" applyFont="1" applyBorder="1" applyAlignment="1">
      <alignment horizontal="left"/>
    </xf>
    <xf numFmtId="43" fontId="51" fillId="0" borderId="0" xfId="0" applyNumberFormat="1" applyFont="1" applyAlignment="1">
      <alignment horizontal="left"/>
    </xf>
    <xf numFmtId="164" fontId="59" fillId="0" borderId="5" xfId="1" quotePrefix="1" applyNumberFormat="1" applyFont="1" applyBorder="1" applyAlignment="1">
      <alignment horizontal="right"/>
    </xf>
    <xf numFmtId="165" fontId="60" fillId="10" borderId="5" xfId="1" applyNumberFormat="1" applyFont="1" applyFill="1" applyBorder="1" applyAlignment="1">
      <alignment horizontal="right"/>
    </xf>
    <xf numFmtId="165" fontId="59" fillId="10" borderId="5" xfId="1" applyNumberFormat="1" applyFont="1" applyFill="1" applyBorder="1" applyAlignment="1">
      <alignment horizontal="right"/>
    </xf>
    <xf numFmtId="165" fontId="50" fillId="3" borderId="0" xfId="1" quotePrefix="1" applyNumberFormat="1" applyFont="1" applyFill="1" applyAlignment="1">
      <alignment horizontal="right"/>
    </xf>
    <xf numFmtId="165" fontId="50" fillId="3" borderId="5" xfId="1" quotePrefix="1" applyNumberFormat="1" applyFont="1" applyFill="1" applyBorder="1" applyAlignment="1">
      <alignment horizontal="right"/>
    </xf>
    <xf numFmtId="165" fontId="59" fillId="0" borderId="8" xfId="1" applyNumberFormat="1" applyFont="1" applyBorder="1" applyAlignment="1">
      <alignment horizontal="right"/>
    </xf>
    <xf numFmtId="165" fontId="4" fillId="10" borderId="31" xfId="1" applyNumberFormat="1" applyFont="1" applyFill="1" applyBorder="1" applyAlignment="1">
      <alignment horizontal="right"/>
    </xf>
    <xf numFmtId="165" fontId="58" fillId="10" borderId="32" xfId="1" applyNumberFormat="1" applyFont="1" applyFill="1" applyBorder="1" applyAlignment="1">
      <alignment horizontal="right"/>
    </xf>
    <xf numFmtId="165" fontId="60" fillId="10" borderId="0" xfId="1" applyNumberFormat="1" applyFont="1" applyFill="1" applyAlignment="1">
      <alignment horizontal="right"/>
    </xf>
    <xf numFmtId="165" fontId="58" fillId="0" borderId="32" xfId="1" applyNumberFormat="1" applyFont="1" applyBorder="1" applyAlignment="1">
      <alignment horizontal="right"/>
    </xf>
    <xf numFmtId="165" fontId="58" fillId="10" borderId="31" xfId="1" applyNumberFormat="1" applyFont="1" applyFill="1" applyBorder="1" applyAlignment="1">
      <alignment horizontal="right"/>
    </xf>
    <xf numFmtId="165" fontId="59" fillId="10" borderId="32" xfId="1" applyNumberFormat="1" applyFont="1" applyFill="1" applyBorder="1" applyAlignment="1">
      <alignment horizontal="right"/>
    </xf>
    <xf numFmtId="0" fontId="58" fillId="0" borderId="4" xfId="0" applyFont="1" applyBorder="1" applyAlignment="1">
      <alignment horizontal="left"/>
    </xf>
    <xf numFmtId="0" fontId="58" fillId="0" borderId="10" xfId="0" applyFont="1" applyBorder="1" applyAlignment="1">
      <alignment horizontal="left"/>
    </xf>
    <xf numFmtId="0" fontId="71" fillId="0" borderId="0" xfId="0" applyFont="1"/>
    <xf numFmtId="0" fontId="4" fillId="0" borderId="0" xfId="0" applyFont="1" applyFill="1"/>
    <xf numFmtId="0" fontId="66" fillId="0" borderId="37" xfId="0" applyFont="1" applyBorder="1" applyAlignment="1">
      <alignment horizontal="left" indent="1"/>
    </xf>
    <xf numFmtId="165" fontId="58" fillId="0" borderId="0" xfId="1" applyNumberFormat="1" applyFont="1" applyFill="1" applyAlignment="1">
      <alignment horizontal="right"/>
    </xf>
    <xf numFmtId="165" fontId="58" fillId="0" borderId="5" xfId="1" applyNumberFormat="1" applyFont="1" applyFill="1" applyBorder="1" applyAlignment="1">
      <alignment horizontal="right"/>
    </xf>
    <xf numFmtId="43" fontId="58" fillId="0" borderId="0" xfId="1" applyNumberFormat="1" applyFont="1" applyFill="1" applyAlignment="1">
      <alignment horizontal="right"/>
    </xf>
    <xf numFmtId="164" fontId="59" fillId="0" borderId="0" xfId="1" applyNumberFormat="1" applyFont="1" applyFill="1" applyAlignment="1">
      <alignment horizontal="right"/>
    </xf>
    <xf numFmtId="164" fontId="60" fillId="0" borderId="0" xfId="1" applyNumberFormat="1" applyFont="1" applyFill="1" applyAlignment="1">
      <alignment horizontal="right"/>
    </xf>
    <xf numFmtId="164" fontId="58" fillId="0" borderId="0" xfId="1" applyNumberFormat="1" applyFont="1" applyFill="1" applyAlignment="1">
      <alignment horizontal="right"/>
    </xf>
    <xf numFmtId="164" fontId="50" fillId="0" borderId="0" xfId="1" applyNumberFormat="1" applyFont="1" applyFill="1" applyAlignment="1">
      <alignment horizontal="right"/>
    </xf>
    <xf numFmtId="164" fontId="69" fillId="0" borderId="31" xfId="1" applyNumberFormat="1" applyFont="1" applyFill="1" applyBorder="1" applyAlignment="1">
      <alignment horizontal="right"/>
    </xf>
    <xf numFmtId="164" fontId="66" fillId="0" borderId="30" xfId="1" applyNumberFormat="1" applyFont="1" applyFill="1" applyBorder="1" applyAlignment="1">
      <alignment horizontal="right"/>
    </xf>
    <xf numFmtId="164" fontId="70" fillId="0" borderId="31" xfId="1" applyNumberFormat="1" applyFont="1" applyFill="1" applyBorder="1" applyAlignment="1">
      <alignment horizontal="right"/>
    </xf>
    <xf numFmtId="43" fontId="59" fillId="0" borderId="0" xfId="1" applyFont="1" applyFill="1" applyAlignment="1">
      <alignment horizontal="right"/>
    </xf>
    <xf numFmtId="43" fontId="66" fillId="0" borderId="36" xfId="1" applyFont="1" applyFill="1" applyBorder="1" applyAlignment="1">
      <alignment horizontal="right"/>
    </xf>
    <xf numFmtId="43" fontId="58" fillId="0" borderId="7" xfId="1" applyFont="1" applyFill="1" applyBorder="1" applyAlignment="1">
      <alignment horizontal="right"/>
    </xf>
    <xf numFmtId="0" fontId="51" fillId="0" borderId="0" xfId="0" applyFont="1" applyFill="1"/>
    <xf numFmtId="43" fontId="65" fillId="0" borderId="0" xfId="1" applyFont="1" applyFill="1"/>
    <xf numFmtId="165" fontId="60" fillId="0" borderId="0" xfId="1" applyNumberFormat="1" applyFont="1" applyFill="1" applyAlignment="1">
      <alignment horizontal="right"/>
    </xf>
    <xf numFmtId="7" fontId="58" fillId="0" borderId="0" xfId="1" applyNumberFormat="1" applyFont="1" applyFill="1" applyAlignment="1">
      <alignment horizontal="right"/>
    </xf>
    <xf numFmtId="0" fontId="65" fillId="0" borderId="0" xfId="0" applyFont="1" applyFill="1"/>
    <xf numFmtId="164" fontId="58" fillId="0" borderId="5" xfId="1" applyNumberFormat="1" applyFont="1" applyFill="1" applyBorder="1" applyAlignment="1">
      <alignment horizontal="right"/>
    </xf>
    <xf numFmtId="164" fontId="59" fillId="0" borderId="5" xfId="1" applyNumberFormat="1" applyFont="1" applyFill="1" applyBorder="1" applyAlignment="1">
      <alignment horizontal="right"/>
    </xf>
    <xf numFmtId="164" fontId="65" fillId="0" borderId="0" xfId="1" applyNumberFormat="1" applyFont="1" applyFill="1" applyAlignment="1">
      <alignment horizontal="right"/>
    </xf>
    <xf numFmtId="166" fontId="58" fillId="0" borderId="0" xfId="2" applyNumberFormat="1" applyFont="1" applyFill="1" applyAlignment="1">
      <alignment horizontal="left"/>
    </xf>
    <xf numFmtId="165" fontId="58" fillId="0" borderId="0" xfId="1" quotePrefix="1" applyNumberFormat="1" applyFont="1" applyFill="1" applyAlignment="1">
      <alignment horizontal="right"/>
    </xf>
    <xf numFmtId="166" fontId="58" fillId="0" borderId="0" xfId="2" applyNumberFormat="1" applyFont="1" applyFill="1" applyAlignment="1">
      <alignment horizontal="right"/>
    </xf>
    <xf numFmtId="167" fontId="58" fillId="0" borderId="0" xfId="1" applyNumberFormat="1" applyFont="1" applyFill="1" applyAlignment="1">
      <alignment horizontal="right"/>
    </xf>
    <xf numFmtId="164" fontId="59" fillId="0" borderId="30" xfId="1" applyNumberFormat="1" applyFont="1" applyFill="1" applyBorder="1" applyAlignment="1">
      <alignment horizontal="right"/>
    </xf>
    <xf numFmtId="43" fontId="66" fillId="0" borderId="34" xfId="1" applyFont="1" applyFill="1" applyBorder="1" applyAlignment="1">
      <alignment horizontal="right"/>
    </xf>
    <xf numFmtId="43" fontId="66" fillId="0" borderId="36" xfId="1" applyNumberFormat="1" applyFont="1" applyFill="1" applyBorder="1" applyAlignment="1">
      <alignment horizontal="right"/>
    </xf>
    <xf numFmtId="166" fontId="65" fillId="0" borderId="0" xfId="2" applyNumberFormat="1" applyFont="1" applyFill="1" applyAlignment="1">
      <alignment horizontal="right"/>
    </xf>
    <xf numFmtId="164" fontId="60" fillId="0" borderId="5" xfId="1" applyNumberFormat="1" applyFont="1" applyFill="1" applyBorder="1" applyAlignment="1">
      <alignment horizontal="right"/>
    </xf>
    <xf numFmtId="165" fontId="59" fillId="0" borderId="0" xfId="1" applyNumberFormat="1" applyFont="1" applyFill="1" applyAlignment="1">
      <alignment horizontal="right"/>
    </xf>
    <xf numFmtId="165" fontId="59" fillId="0" borderId="31" xfId="1" applyNumberFormat="1" applyFont="1" applyFill="1" applyBorder="1" applyAlignment="1">
      <alignment horizontal="right"/>
    </xf>
    <xf numFmtId="9" fontId="58" fillId="0" borderId="0" xfId="2" applyFont="1" applyFill="1" applyAlignment="1">
      <alignment horizontal="right"/>
    </xf>
    <xf numFmtId="167" fontId="65" fillId="0" borderId="0" xfId="1" applyNumberFormat="1" applyFont="1" applyFill="1" applyAlignment="1">
      <alignment horizontal="right"/>
    </xf>
    <xf numFmtId="164" fontId="58" fillId="0" borderId="0" xfId="2" applyNumberFormat="1" applyFont="1" applyFill="1" applyAlignment="1">
      <alignment horizontal="right"/>
    </xf>
    <xf numFmtId="164" fontId="60" fillId="0" borderId="0" xfId="2" applyNumberFormat="1" applyFont="1" applyFill="1" applyAlignment="1">
      <alignment horizontal="right"/>
    </xf>
    <xf numFmtId="9" fontId="58" fillId="0" borderId="30" xfId="2" applyFont="1" applyFill="1" applyBorder="1" applyAlignment="1">
      <alignment horizontal="right"/>
    </xf>
    <xf numFmtId="165" fontId="65" fillId="0" borderId="0" xfId="1" applyNumberFormat="1" applyFont="1" applyFill="1" applyAlignment="1">
      <alignment horizontal="right"/>
    </xf>
    <xf numFmtId="165" fontId="58" fillId="0" borderId="5" xfId="1" quotePrefix="1" applyNumberFormat="1" applyFont="1" applyFill="1" applyBorder="1" applyAlignment="1">
      <alignment horizontal="right"/>
    </xf>
    <xf numFmtId="10" fontId="62" fillId="0" borderId="0" xfId="2" applyNumberFormat="1" applyFont="1" applyAlignment="1">
      <alignment horizontal="right"/>
    </xf>
    <xf numFmtId="0" fontId="58" fillId="0" borderId="3" xfId="0" applyFont="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58" fillId="10" borderId="3" xfId="0" applyFont="1" applyFill="1" applyBorder="1" applyAlignment="1">
      <alignment horizontal="left"/>
    </xf>
    <xf numFmtId="0" fontId="58" fillId="10" borderId="4" xfId="0" applyFont="1" applyFill="1" applyBorder="1" applyAlignment="1">
      <alignment horizontal="left"/>
    </xf>
    <xf numFmtId="0" fontId="59" fillId="0" borderId="3" xfId="0" applyFont="1" applyBorder="1" applyAlignment="1">
      <alignment horizontal="left" indent="3"/>
    </xf>
    <xf numFmtId="0" fontId="58" fillId="0" borderId="3" xfId="0" applyFont="1" applyBorder="1" applyAlignment="1">
      <alignment horizontal="left"/>
    </xf>
    <xf numFmtId="0" fontId="58" fillId="0" borderId="4" xfId="0" applyFont="1" applyBorder="1" applyAlignment="1">
      <alignment horizontal="left"/>
    </xf>
    <xf numFmtId="0" fontId="58" fillId="0" borderId="3" xfId="0" applyFont="1" applyBorder="1" applyAlignment="1">
      <alignment horizontal="left" indent="4"/>
    </xf>
    <xf numFmtId="0" fontId="65" fillId="0" borderId="25" xfId="0" applyFont="1" applyBorder="1" applyAlignment="1">
      <alignment horizontal="left" indent="5"/>
    </xf>
    <xf numFmtId="0" fontId="66" fillId="0" borderId="12" xfId="0" applyFont="1" applyBorder="1" applyAlignment="1">
      <alignment horizontal="left" indent="6"/>
    </xf>
    <xf numFmtId="43" fontId="59" fillId="0" borderId="5" xfId="1" applyFont="1" applyFill="1" applyBorder="1" applyAlignment="1">
      <alignment horizontal="right"/>
    </xf>
    <xf numFmtId="164" fontId="50" fillId="0" borderId="5" xfId="1" applyNumberFormat="1" applyFont="1" applyFill="1" applyBorder="1" applyAlignment="1">
      <alignment horizontal="right"/>
    </xf>
    <xf numFmtId="164" fontId="2" fillId="2" borderId="2" xfId="1" quotePrefix="1" applyNumberFormat="1" applyFont="1" applyFill="1" applyBorder="1" applyAlignment="1">
      <alignment horizontal="right"/>
    </xf>
    <xf numFmtId="164" fontId="2" fillId="2" borderId="33" xfId="1" quotePrefix="1" applyNumberFormat="1" applyFont="1" applyFill="1" applyBorder="1" applyAlignment="1">
      <alignment horizontal="right"/>
    </xf>
    <xf numFmtId="165" fontId="58" fillId="0" borderId="31" xfId="1" applyNumberFormat="1" applyFont="1" applyFill="1" applyBorder="1" applyAlignment="1">
      <alignment horizontal="right"/>
    </xf>
    <xf numFmtId="165" fontId="4" fillId="10" borderId="0" xfId="1" applyNumberFormat="1" applyFont="1" applyFill="1" applyAlignment="1">
      <alignment horizontal="right"/>
    </xf>
    <xf numFmtId="165" fontId="4" fillId="0" borderId="31" xfId="1" applyNumberFormat="1" applyFont="1" applyFill="1" applyBorder="1" applyAlignment="1">
      <alignment horizontal="right"/>
    </xf>
    <xf numFmtId="165" fontId="4" fillId="0" borderId="0" xfId="1" applyNumberFormat="1" applyFont="1" applyAlignment="1">
      <alignment horizontal="left"/>
    </xf>
    <xf numFmtId="9" fontId="58" fillId="0" borderId="8" xfId="2" quotePrefix="1" applyFont="1" applyFill="1" applyBorder="1" applyAlignment="1">
      <alignment horizontal="right"/>
    </xf>
    <xf numFmtId="9" fontId="58" fillId="0" borderId="0" xfId="2" quotePrefix="1" applyFont="1" applyFill="1" applyAlignment="1">
      <alignment horizontal="right"/>
    </xf>
    <xf numFmtId="166" fontId="58" fillId="0" borderId="0" xfId="2" quotePrefix="1" applyNumberFormat="1" applyFont="1" applyFill="1" applyAlignment="1">
      <alignment horizontal="right"/>
    </xf>
    <xf numFmtId="166" fontId="58" fillId="0" borderId="5" xfId="2" quotePrefix="1" applyNumberFormat="1" applyFont="1" applyFill="1" applyBorder="1" applyAlignment="1">
      <alignment horizontal="right"/>
    </xf>
    <xf numFmtId="0" fontId="58" fillId="0" borderId="0" xfId="0" applyFont="1" applyFill="1"/>
    <xf numFmtId="164" fontId="58" fillId="0" borderId="0" xfId="1" quotePrefix="1" applyNumberFormat="1" applyFont="1" applyFill="1" applyAlignment="1">
      <alignment horizontal="right"/>
    </xf>
    <xf numFmtId="164" fontId="58" fillId="0" borderId="5" xfId="1" quotePrefix="1" applyNumberFormat="1" applyFont="1" applyFill="1" applyBorder="1" applyAlignment="1">
      <alignment horizontal="right"/>
    </xf>
    <xf numFmtId="43" fontId="58" fillId="0" borderId="5" xfId="1" quotePrefix="1" applyFont="1" applyFill="1" applyBorder="1" applyAlignment="1">
      <alignment horizontal="right"/>
    </xf>
    <xf numFmtId="9" fontId="58" fillId="0" borderId="5" xfId="2" applyFont="1" applyFill="1" applyBorder="1" applyAlignment="1">
      <alignment horizontal="right"/>
    </xf>
    <xf numFmtId="166" fontId="58" fillId="0" borderId="7" xfId="2" applyNumberFormat="1" applyFont="1" applyFill="1" applyBorder="1" applyAlignment="1">
      <alignment horizontal="right"/>
    </xf>
    <xf numFmtId="166" fontId="58" fillId="0" borderId="8" xfId="2" quotePrefix="1" applyNumberFormat="1" applyFont="1" applyFill="1" applyBorder="1" applyAlignment="1">
      <alignment horizontal="right"/>
    </xf>
    <xf numFmtId="166" fontId="58" fillId="0" borderId="7" xfId="2" quotePrefix="1" applyNumberFormat="1" applyFont="1" applyFill="1" applyBorder="1" applyAlignment="1">
      <alignment horizontal="right"/>
    </xf>
    <xf numFmtId="0" fontId="58" fillId="0" borderId="3" xfId="0" applyFont="1" applyFill="1" applyBorder="1" applyAlignment="1">
      <alignment horizontal="left"/>
    </xf>
    <xf numFmtId="0" fontId="53" fillId="0" borderId="4" xfId="0" applyFont="1" applyFill="1" applyBorder="1" applyAlignment="1">
      <alignment horizontal="left"/>
    </xf>
    <xf numFmtId="43" fontId="62" fillId="0" borderId="0" xfId="1" applyFont="1" applyFill="1" applyAlignment="1">
      <alignment horizontal="right"/>
    </xf>
    <xf numFmtId="9" fontId="62" fillId="0" borderId="0" xfId="2" applyFont="1" applyFill="1" applyAlignment="1">
      <alignment horizontal="right"/>
    </xf>
    <xf numFmtId="9" fontId="4" fillId="0" borderId="0" xfId="2" applyFont="1" applyFill="1" applyAlignment="1">
      <alignment horizontal="right"/>
    </xf>
    <xf numFmtId="165" fontId="62" fillId="0" borderId="0" xfId="2" applyNumberFormat="1" applyFont="1" applyFill="1" applyAlignment="1">
      <alignment horizontal="right"/>
    </xf>
    <xf numFmtId="165" fontId="65" fillId="0" borderId="5" xfId="1" quotePrefix="1" applyNumberFormat="1" applyFont="1" applyFill="1" applyBorder="1" applyAlignment="1">
      <alignment horizontal="right"/>
    </xf>
    <xf numFmtId="165" fontId="63" fillId="0" borderId="5" xfId="1" quotePrefix="1" applyNumberFormat="1" applyFont="1" applyFill="1" applyBorder="1" applyAlignment="1">
      <alignment horizontal="right"/>
    </xf>
    <xf numFmtId="164" fontId="59" fillId="0" borderId="29" xfId="1" quotePrefix="1" applyNumberFormat="1" applyFont="1" applyFill="1" applyBorder="1" applyAlignment="1">
      <alignment horizontal="right"/>
    </xf>
    <xf numFmtId="164" fontId="58" fillId="0" borderId="32" xfId="1" applyNumberFormat="1" applyFont="1" applyFill="1" applyBorder="1" applyAlignment="1">
      <alignment horizontal="right"/>
    </xf>
    <xf numFmtId="165" fontId="4" fillId="0" borderId="5" xfId="1" quotePrefix="1" applyNumberFormat="1" applyFont="1" applyFill="1" applyBorder="1" applyAlignment="1">
      <alignment horizontal="right"/>
    </xf>
    <xf numFmtId="164" fontId="60" fillId="0" borderId="5" xfId="2" applyNumberFormat="1" applyFont="1" applyFill="1" applyBorder="1" applyAlignment="1">
      <alignment horizontal="right"/>
    </xf>
    <xf numFmtId="164" fontId="59" fillId="0" borderId="5" xfId="1" quotePrefix="1" applyNumberFormat="1" applyFont="1" applyFill="1" applyBorder="1" applyAlignment="1">
      <alignment horizontal="right"/>
    </xf>
    <xf numFmtId="166" fontId="59" fillId="0" borderId="5" xfId="2" quotePrefix="1" applyNumberFormat="1" applyFont="1" applyFill="1" applyBorder="1" applyAlignment="1">
      <alignment horizontal="right"/>
    </xf>
    <xf numFmtId="9" fontId="59" fillId="0" borderId="5" xfId="2" applyFont="1" applyFill="1" applyBorder="1" applyAlignment="1">
      <alignment horizontal="right"/>
    </xf>
    <xf numFmtId="43" fontId="65" fillId="0" borderId="5" xfId="1" quotePrefix="1" applyFont="1" applyFill="1" applyBorder="1" applyAlignment="1">
      <alignment horizontal="right"/>
    </xf>
    <xf numFmtId="0" fontId="58" fillId="0" borderId="3" xfId="0" applyFont="1" applyFill="1" applyBorder="1" applyAlignment="1">
      <alignment horizontal="left" indent="2"/>
    </xf>
    <xf numFmtId="0" fontId="4" fillId="0" borderId="4" xfId="0" applyFont="1" applyFill="1" applyBorder="1"/>
    <xf numFmtId="0" fontId="59" fillId="0" borderId="0" xfId="0" applyFont="1" applyFill="1"/>
    <xf numFmtId="0" fontId="59" fillId="0" borderId="3" xfId="0" applyFont="1" applyFill="1" applyBorder="1" applyAlignment="1">
      <alignment horizontal="left" indent="4"/>
    </xf>
    <xf numFmtId="0" fontId="59" fillId="0" borderId="4" xfId="0" applyFont="1" applyFill="1" applyBorder="1"/>
    <xf numFmtId="0" fontId="59" fillId="0" borderId="3" xfId="0" applyFont="1" applyFill="1" applyBorder="1" applyAlignment="1">
      <alignment horizontal="left" indent="5"/>
    </xf>
    <xf numFmtId="0" fontId="51" fillId="0" borderId="4" xfId="0" applyFont="1" applyFill="1" applyBorder="1"/>
    <xf numFmtId="0" fontId="67" fillId="0" borderId="0" xfId="0" applyFont="1" applyFill="1"/>
    <xf numFmtId="166" fontId="58" fillId="0" borderId="5" xfId="2" applyNumberFormat="1" applyFont="1" applyFill="1" applyBorder="1" applyAlignment="1">
      <alignment horizontal="right"/>
    </xf>
    <xf numFmtId="43" fontId="60" fillId="0" borderId="0" xfId="1" applyNumberFormat="1" applyFont="1" applyFill="1" applyAlignment="1">
      <alignment horizontal="right"/>
    </xf>
    <xf numFmtId="164" fontId="69" fillId="0" borderId="32" xfId="1" applyNumberFormat="1" applyFont="1" applyFill="1" applyBorder="1" applyAlignment="1">
      <alignment horizontal="right"/>
    </xf>
    <xf numFmtId="164" fontId="66" fillId="0" borderId="29" xfId="1" applyNumberFormat="1" applyFont="1" applyFill="1" applyBorder="1" applyAlignment="1">
      <alignment horizontal="right"/>
    </xf>
    <xf numFmtId="164" fontId="70" fillId="0" borderId="32" xfId="1" applyNumberFormat="1" applyFont="1" applyFill="1" applyBorder="1" applyAlignment="1">
      <alignment horizontal="right"/>
    </xf>
    <xf numFmtId="43" fontId="59" fillId="0" borderId="8" xfId="1" applyFont="1" applyFill="1" applyBorder="1" applyAlignment="1">
      <alignment horizontal="right"/>
    </xf>
    <xf numFmtId="166" fontId="62" fillId="0" borderId="0" xfId="2" applyNumberFormat="1" applyFont="1" applyFill="1" applyAlignment="1">
      <alignment horizontal="right"/>
    </xf>
    <xf numFmtId="164" fontId="58" fillId="0" borderId="0" xfId="1" applyNumberFormat="1" applyFont="1" applyBorder="1" applyAlignment="1">
      <alignment horizontal="right"/>
    </xf>
    <xf numFmtId="164" fontId="58" fillId="0" borderId="30" xfId="1" applyNumberFormat="1" applyFont="1" applyBorder="1" applyAlignment="1">
      <alignment horizontal="right"/>
    </xf>
    <xf numFmtId="164" fontId="58" fillId="0" borderId="29" xfId="1" applyNumberFormat="1" applyFont="1" applyBorder="1" applyAlignment="1">
      <alignment horizontal="right"/>
    </xf>
    <xf numFmtId="164" fontId="58" fillId="0" borderId="0" xfId="1" applyNumberFormat="1" applyFont="1" applyFill="1" applyBorder="1" applyAlignment="1">
      <alignment horizontal="right"/>
    </xf>
    <xf numFmtId="7" fontId="58" fillId="0" borderId="25" xfId="1" applyNumberFormat="1" applyFont="1" applyBorder="1" applyAlignment="1">
      <alignment horizontal="right"/>
    </xf>
    <xf numFmtId="7" fontId="58" fillId="0" borderId="31" xfId="1" applyNumberFormat="1" applyFont="1" applyFill="1" applyBorder="1" applyAlignment="1">
      <alignment horizontal="right"/>
    </xf>
    <xf numFmtId="165" fontId="58" fillId="0" borderId="3" xfId="1" applyNumberFormat="1" applyFont="1" applyBorder="1" applyAlignment="1">
      <alignment horizontal="right"/>
    </xf>
    <xf numFmtId="165" fontId="58" fillId="0" borderId="0" xfId="1" applyNumberFormat="1" applyFont="1" applyFill="1" applyBorder="1" applyAlignment="1">
      <alignment horizontal="right"/>
    </xf>
    <xf numFmtId="164" fontId="58" fillId="0" borderId="12" xfId="1" applyNumberFormat="1" applyFont="1" applyBorder="1" applyAlignment="1">
      <alignment horizontal="right"/>
    </xf>
    <xf numFmtId="0" fontId="58" fillId="0" borderId="3" xfId="0" applyFont="1" applyBorder="1" applyAlignment="1">
      <alignment horizontal="left"/>
    </xf>
    <xf numFmtId="0" fontId="58" fillId="0" borderId="4" xfId="0" applyFont="1" applyBorder="1" applyAlignment="1">
      <alignment horizontal="left"/>
    </xf>
    <xf numFmtId="167" fontId="65" fillId="0" borderId="5" xfId="1" quotePrefix="1" applyNumberFormat="1" applyFont="1" applyBorder="1" applyAlignment="1">
      <alignment horizontal="right"/>
    </xf>
    <xf numFmtId="167" fontId="65" fillId="0" borderId="5" xfId="1" quotePrefix="1" applyNumberFormat="1" applyFont="1" applyFill="1" applyBorder="1" applyAlignment="1">
      <alignment horizontal="right"/>
    </xf>
    <xf numFmtId="9" fontId="64" fillId="0" borderId="5" xfId="2" applyFont="1" applyFill="1" applyBorder="1" applyAlignment="1">
      <alignment horizontal="right"/>
    </xf>
    <xf numFmtId="226" fontId="59" fillId="0" borderId="5" xfId="2" applyNumberFormat="1" applyFont="1" applyFill="1" applyBorder="1" applyAlignment="1">
      <alignment horizontal="right"/>
    </xf>
    <xf numFmtId="9" fontId="4" fillId="0" borderId="0" xfId="2" applyFont="1" applyAlignment="1">
      <alignment horizontal="left"/>
    </xf>
    <xf numFmtId="0" fontId="58" fillId="10" borderId="3" xfId="0" applyFont="1" applyFill="1" applyBorder="1" applyAlignment="1">
      <alignment horizontal="left"/>
    </xf>
    <xf numFmtId="0" fontId="58" fillId="10" borderId="4" xfId="0" applyFont="1" applyFill="1" applyBorder="1" applyAlignment="1">
      <alignment horizontal="left"/>
    </xf>
    <xf numFmtId="0" fontId="58" fillId="0" borderId="10" xfId="0" applyFont="1" applyFill="1" applyBorder="1" applyAlignment="1">
      <alignment horizontal="left" indent="1"/>
    </xf>
    <xf numFmtId="165" fontId="4" fillId="10" borderId="31" xfId="1" applyNumberFormat="1" applyFont="1" applyFill="1" applyBorder="1" applyAlignment="1">
      <alignment horizontal="left"/>
    </xf>
    <xf numFmtId="165" fontId="58" fillId="0" borderId="31" xfId="1" applyNumberFormat="1" applyFont="1" applyBorder="1" applyAlignment="1">
      <alignment horizontal="right"/>
    </xf>
    <xf numFmtId="166" fontId="4" fillId="0" borderId="0" xfId="1" applyNumberFormat="1" applyFont="1"/>
    <xf numFmtId="165" fontId="60" fillId="0" borderId="5" xfId="1" applyNumberFormat="1" applyFont="1" applyFill="1" applyBorder="1" applyAlignment="1">
      <alignment horizontal="right"/>
    </xf>
    <xf numFmtId="165" fontId="59" fillId="0" borderId="5" xfId="1" applyNumberFormat="1" applyFont="1" applyFill="1" applyBorder="1" applyAlignment="1">
      <alignment horizontal="right"/>
    </xf>
    <xf numFmtId="165" fontId="51" fillId="0" borderId="9" xfId="1" applyNumberFormat="1" applyFont="1" applyFill="1" applyBorder="1" applyAlignment="1">
      <alignment horizontal="right"/>
    </xf>
    <xf numFmtId="9" fontId="64" fillId="0" borderId="0" xfId="2" applyFont="1" applyFill="1" applyAlignment="1">
      <alignment horizontal="right"/>
    </xf>
    <xf numFmtId="9" fontId="59" fillId="0" borderId="0" xfId="2" applyFont="1" applyFill="1" applyAlignment="1">
      <alignment horizontal="right"/>
    </xf>
    <xf numFmtId="9" fontId="59" fillId="0" borderId="0" xfId="2" applyNumberFormat="1" applyFont="1" applyFill="1" applyAlignment="1">
      <alignment horizontal="right"/>
    </xf>
    <xf numFmtId="164" fontId="51" fillId="0" borderId="29" xfId="1" quotePrefix="1" applyNumberFormat="1" applyFont="1" applyFill="1" applyBorder="1" applyAlignment="1">
      <alignment horizontal="right"/>
    </xf>
    <xf numFmtId="165" fontId="51" fillId="0" borderId="5" xfId="1" quotePrefix="1" applyNumberFormat="1" applyFont="1" applyFill="1" applyBorder="1" applyAlignment="1">
      <alignment horizontal="right"/>
    </xf>
    <xf numFmtId="165" fontId="4" fillId="0" borderId="29" xfId="1" quotePrefix="1" applyNumberFormat="1" applyFont="1" applyFill="1" applyBorder="1" applyAlignment="1">
      <alignment horizontal="right"/>
    </xf>
    <xf numFmtId="164" fontId="59" fillId="0" borderId="0" xfId="2" applyNumberFormat="1" applyFont="1" applyFill="1" applyAlignment="1">
      <alignment horizontal="right"/>
    </xf>
    <xf numFmtId="166" fontId="59" fillId="0" borderId="0" xfId="2" applyNumberFormat="1" applyFont="1" applyFill="1" applyAlignment="1">
      <alignment horizontal="right"/>
    </xf>
    <xf numFmtId="225" fontId="4" fillId="0" borderId="5" xfId="1" quotePrefix="1" applyNumberFormat="1" applyFont="1" applyFill="1" applyBorder="1" applyAlignment="1">
      <alignment horizontal="right"/>
    </xf>
    <xf numFmtId="43" fontId="58" fillId="0" borderId="5" xfId="1" applyNumberFormat="1" applyFont="1" applyFill="1" applyBorder="1" applyAlignment="1">
      <alignment horizontal="right"/>
    </xf>
    <xf numFmtId="43" fontId="60" fillId="0" borderId="5" xfId="1" applyNumberFormat="1" applyFont="1" applyFill="1" applyBorder="1" applyAlignment="1">
      <alignment horizontal="right"/>
    </xf>
    <xf numFmtId="0" fontId="58" fillId="10" borderId="0" xfId="0" applyFont="1" applyFill="1" applyBorder="1" applyAlignment="1">
      <alignment horizontal="left"/>
    </xf>
    <xf numFmtId="164" fontId="51" fillId="0" borderId="5"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5" fontId="51" fillId="0" borderId="32" xfId="1" quotePrefix="1" applyNumberFormat="1" applyFont="1" applyFill="1" applyBorder="1" applyAlignment="1">
      <alignment horizontal="right"/>
    </xf>
    <xf numFmtId="164" fontId="4" fillId="0" borderId="5" xfId="1" quotePrefix="1" applyNumberFormat="1" applyFont="1" applyFill="1" applyBorder="1" applyAlignment="1">
      <alignment horizontal="right"/>
    </xf>
    <xf numFmtId="9" fontId="4" fillId="0" borderId="5" xfId="2" quotePrefix="1" applyFont="1" applyFill="1" applyBorder="1" applyAlignment="1">
      <alignment horizontal="right"/>
    </xf>
    <xf numFmtId="9" fontId="4" fillId="0" borderId="5" xfId="2" applyFont="1" applyFill="1" applyBorder="1" applyAlignment="1">
      <alignment horizontal="right"/>
    </xf>
    <xf numFmtId="7" fontId="4" fillId="0" borderId="5" xfId="1" applyNumberFormat="1" applyFont="1" applyFill="1" applyBorder="1" applyAlignment="1">
      <alignment horizontal="right"/>
    </xf>
    <xf numFmtId="164" fontId="58" fillId="0" borderId="31" xfId="1" applyNumberFormat="1" applyFont="1" applyFill="1" applyBorder="1" applyAlignment="1">
      <alignment horizontal="right"/>
    </xf>
    <xf numFmtId="164" fontId="58" fillId="0" borderId="30" xfId="1" applyNumberFormat="1" applyFont="1" applyFill="1" applyBorder="1" applyAlignment="1">
      <alignment horizontal="right"/>
    </xf>
    <xf numFmtId="164" fontId="58" fillId="0" borderId="29" xfId="1" applyNumberFormat="1" applyFont="1" applyFill="1" applyBorder="1" applyAlignment="1">
      <alignment horizontal="right"/>
    </xf>
    <xf numFmtId="165" fontId="58" fillId="0" borderId="8" xfId="1" applyNumberFormat="1" applyFont="1" applyFill="1" applyBorder="1" applyAlignment="1">
      <alignment horizontal="right"/>
    </xf>
    <xf numFmtId="165" fontId="59" fillId="0" borderId="7" xfId="1" applyNumberFormat="1" applyFont="1" applyFill="1" applyBorder="1" applyAlignment="1">
      <alignment horizontal="right"/>
    </xf>
    <xf numFmtId="165" fontId="59" fillId="0" borderId="8" xfId="1" applyNumberFormat="1" applyFont="1" applyFill="1" applyBorder="1" applyAlignment="1">
      <alignment horizontal="right"/>
    </xf>
    <xf numFmtId="165" fontId="4" fillId="0" borderId="0" xfId="1" applyNumberFormat="1" applyFont="1" applyFill="1" applyAlignment="1">
      <alignment horizontal="right"/>
    </xf>
    <xf numFmtId="165" fontId="4" fillId="0" borderId="5" xfId="1" applyNumberFormat="1" applyFont="1" applyFill="1" applyBorder="1" applyAlignment="1">
      <alignment horizontal="right"/>
    </xf>
    <xf numFmtId="165" fontId="58" fillId="0" borderId="32" xfId="1" applyNumberFormat="1" applyFont="1" applyFill="1" applyBorder="1" applyAlignment="1">
      <alignment horizontal="right"/>
    </xf>
    <xf numFmtId="164" fontId="52" fillId="0" borderId="0" xfId="1" quotePrefix="1" applyNumberFormat="1" applyFont="1" applyFill="1" applyAlignment="1">
      <alignment horizontal="right"/>
    </xf>
    <xf numFmtId="164" fontId="52" fillId="0" borderId="5" xfId="1" quotePrefix="1" applyNumberFormat="1" applyFont="1" applyFill="1" applyBorder="1" applyAlignment="1">
      <alignment horizontal="right"/>
    </xf>
    <xf numFmtId="9" fontId="58" fillId="0" borderId="5" xfId="2" quotePrefix="1" applyFont="1" applyFill="1" applyBorder="1" applyAlignment="1">
      <alignment horizontal="right"/>
    </xf>
    <xf numFmtId="9" fontId="51" fillId="0" borderId="2" xfId="2" quotePrefix="1" applyFont="1" applyFill="1" applyBorder="1" applyAlignment="1">
      <alignment horizontal="right"/>
    </xf>
    <xf numFmtId="164" fontId="52" fillId="0" borderId="2" xfId="1" quotePrefix="1" applyNumberFormat="1" applyFont="1" applyFill="1" applyBorder="1" applyAlignment="1">
      <alignment horizontal="right"/>
    </xf>
    <xf numFmtId="165" fontId="1" fillId="0" borderId="0" xfId="1" applyNumberFormat="1" applyFont="1" applyFill="1" applyAlignment="1">
      <alignment horizontal="right"/>
    </xf>
    <xf numFmtId="165" fontId="72" fillId="9" borderId="0" xfId="1" applyNumberFormat="1" applyFont="1" applyFill="1" applyAlignment="1">
      <alignment horizontal="right"/>
    </xf>
    <xf numFmtId="165" fontId="1" fillId="9" borderId="0" xfId="1" applyNumberFormat="1" applyFont="1" applyFill="1" applyAlignment="1">
      <alignment horizontal="right"/>
    </xf>
    <xf numFmtId="166" fontId="59" fillId="9" borderId="0" xfId="2" applyNumberFormat="1" applyFont="1" applyFill="1" applyAlignment="1">
      <alignment horizontal="right"/>
    </xf>
    <xf numFmtId="9" fontId="59" fillId="9" borderId="0" xfId="2" applyFont="1" applyFill="1" applyAlignment="1">
      <alignment horizontal="right"/>
    </xf>
    <xf numFmtId="164" fontId="51" fillId="0" borderId="3" xfId="1" quotePrefix="1" applyNumberFormat="1" applyFont="1" applyFill="1" applyBorder="1" applyAlignment="1">
      <alignment horizontal="right"/>
    </xf>
    <xf numFmtId="167" fontId="65" fillId="0" borderId="38" xfId="1" applyNumberFormat="1" applyFont="1" applyBorder="1" applyAlignment="1">
      <alignment horizontal="right"/>
    </xf>
    <xf numFmtId="167" fontId="65" fillId="0" borderId="30" xfId="1" applyNumberFormat="1" applyFont="1" applyBorder="1" applyAlignment="1">
      <alignment horizontal="right"/>
    </xf>
    <xf numFmtId="167" fontId="65" fillId="0" borderId="13" xfId="1" applyNumberFormat="1" applyFont="1" applyBorder="1" applyAlignment="1">
      <alignment horizontal="right"/>
    </xf>
    <xf numFmtId="165" fontId="58" fillId="9" borderId="0" xfId="1" applyNumberFormat="1" applyFont="1" applyFill="1" applyAlignment="1">
      <alignment horizontal="right"/>
    </xf>
    <xf numFmtId="167" fontId="58" fillId="9" borderId="0" xfId="1" applyNumberFormat="1" applyFont="1" applyFill="1" applyAlignment="1">
      <alignment horizontal="right"/>
    </xf>
    <xf numFmtId="9" fontId="58" fillId="9" borderId="30" xfId="2" applyFont="1" applyFill="1" applyBorder="1" applyAlignment="1">
      <alignment horizontal="right"/>
    </xf>
    <xf numFmtId="9" fontId="58" fillId="9" borderId="0" xfId="2" applyFont="1" applyFill="1" applyBorder="1" applyAlignment="1">
      <alignment horizontal="right"/>
    </xf>
    <xf numFmtId="9" fontId="58" fillId="9" borderId="4" xfId="2" applyFont="1" applyFill="1" applyBorder="1" applyAlignment="1">
      <alignment horizontal="right"/>
    </xf>
    <xf numFmtId="165" fontId="58" fillId="0" borderId="3" xfId="1" applyNumberFormat="1" applyFont="1" applyFill="1" applyBorder="1" applyAlignment="1">
      <alignment horizontal="right"/>
    </xf>
    <xf numFmtId="165" fontId="58" fillId="0" borderId="4" xfId="1" applyNumberFormat="1" applyFont="1" applyFill="1" applyBorder="1" applyAlignment="1">
      <alignment horizontal="right"/>
    </xf>
    <xf numFmtId="165" fontId="58" fillId="0" borderId="2" xfId="1" applyNumberFormat="1" applyFont="1" applyFill="1" applyBorder="1" applyAlignment="1">
      <alignment horizontal="right"/>
    </xf>
    <xf numFmtId="165" fontId="58" fillId="0" borderId="11" xfId="1" applyNumberFormat="1" applyFont="1" applyFill="1" applyBorder="1" applyAlignment="1">
      <alignment horizontal="right"/>
    </xf>
    <xf numFmtId="164" fontId="59" fillId="0" borderId="7" xfId="1" applyNumberFormat="1" applyFont="1" applyFill="1" applyBorder="1" applyAlignment="1">
      <alignment horizontal="right"/>
    </xf>
    <xf numFmtId="164" fontId="59" fillId="0" borderId="10" xfId="1" applyNumberFormat="1" applyFont="1" applyFill="1" applyBorder="1" applyAlignment="1">
      <alignment horizontal="right"/>
    </xf>
    <xf numFmtId="165" fontId="58" fillId="0" borderId="1" xfId="1" applyNumberFormat="1" applyFont="1" applyFill="1" applyBorder="1" applyAlignment="1">
      <alignment horizontal="right"/>
    </xf>
    <xf numFmtId="164" fontId="59" fillId="0" borderId="6" xfId="1" applyNumberFormat="1" applyFont="1" applyFill="1" applyBorder="1" applyAlignment="1">
      <alignment horizontal="right"/>
    </xf>
    <xf numFmtId="166" fontId="65" fillId="9" borderId="0" xfId="2" applyNumberFormat="1" applyFont="1" applyFill="1" applyAlignment="1">
      <alignment horizontal="right"/>
    </xf>
    <xf numFmtId="164" fontId="59" fillId="0" borderId="5" xfId="2" applyNumberFormat="1" applyFont="1" applyFill="1" applyBorder="1" applyAlignment="1">
      <alignment horizontal="right"/>
    </xf>
    <xf numFmtId="166" fontId="59" fillId="0" borderId="5" xfId="2" applyNumberFormat="1" applyFont="1" applyFill="1" applyBorder="1" applyAlignment="1">
      <alignment horizontal="right"/>
    </xf>
    <xf numFmtId="165" fontId="65" fillId="0" borderId="5" xfId="1" applyNumberFormat="1" applyFont="1" applyFill="1" applyBorder="1" applyAlignment="1">
      <alignment horizontal="right"/>
    </xf>
    <xf numFmtId="165" fontId="1" fillId="11" borderId="0" xfId="1" applyNumberFormat="1" applyFont="1" applyFill="1" applyAlignment="1">
      <alignment horizontal="right"/>
    </xf>
    <xf numFmtId="9" fontId="58" fillId="9" borderId="0" xfId="2" applyFont="1" applyFill="1" applyAlignment="1">
      <alignment horizontal="right"/>
    </xf>
    <xf numFmtId="166" fontId="58" fillId="9" borderId="0" xfId="2" applyNumberFormat="1" applyFont="1" applyFill="1" applyAlignment="1">
      <alignment horizontal="right"/>
    </xf>
    <xf numFmtId="7" fontId="58" fillId="9" borderId="0" xfId="1" applyNumberFormat="1" applyFont="1" applyFill="1" applyAlignment="1">
      <alignment horizontal="right"/>
    </xf>
    <xf numFmtId="164" fontId="58" fillId="0" borderId="39" xfId="1" applyNumberFormat="1" applyFont="1" applyFill="1" applyBorder="1" applyAlignment="1">
      <alignment horizontal="right"/>
    </xf>
    <xf numFmtId="43" fontId="58" fillId="9" borderId="7" xfId="1" applyFont="1" applyFill="1" applyBorder="1" applyAlignment="1">
      <alignment horizontal="right"/>
    </xf>
    <xf numFmtId="9" fontId="58" fillId="9" borderId="7" xfId="2" applyFont="1" applyFill="1" applyBorder="1" applyAlignment="1">
      <alignment horizontal="right"/>
    </xf>
    <xf numFmtId="165" fontId="58" fillId="0" borderId="40" xfId="1" applyNumberFormat="1" applyFont="1" applyFill="1" applyBorder="1" applyAlignment="1">
      <alignment horizontal="right"/>
    </xf>
    <xf numFmtId="164" fontId="58" fillId="9" borderId="0" xfId="1" quotePrefix="1" applyNumberFormat="1" applyFont="1" applyFill="1" applyAlignment="1">
      <alignment horizontal="right"/>
    </xf>
    <xf numFmtId="166" fontId="58" fillId="9" borderId="7" xfId="2" applyNumberFormat="1" applyFont="1" applyFill="1" applyBorder="1" applyAlignment="1">
      <alignment horizontal="right"/>
    </xf>
    <xf numFmtId="9" fontId="58" fillId="9" borderId="0" xfId="2" quotePrefix="1" applyFont="1" applyFill="1" applyAlignment="1">
      <alignment horizontal="right"/>
    </xf>
    <xf numFmtId="166" fontId="58" fillId="9" borderId="0" xfId="2" quotePrefix="1" applyNumberFormat="1" applyFont="1" applyFill="1" applyAlignment="1">
      <alignment horizontal="right"/>
    </xf>
    <xf numFmtId="0" fontId="58" fillId="9" borderId="0" xfId="1" applyNumberFormat="1" applyFont="1" applyFill="1" applyAlignment="1">
      <alignment horizontal="right"/>
    </xf>
    <xf numFmtId="165" fontId="58" fillId="9" borderId="31" xfId="1" applyNumberFormat="1" applyFont="1" applyFill="1" applyBorder="1" applyAlignment="1">
      <alignment horizontal="right"/>
    </xf>
    <xf numFmtId="0" fontId="58" fillId="0" borderId="3" xfId="0" applyFont="1" applyBorder="1" applyAlignment="1">
      <alignment horizontal="left" indent="1"/>
    </xf>
    <xf numFmtId="166" fontId="58" fillId="11" borderId="0" xfId="2" applyNumberFormat="1" applyFont="1" applyFill="1" applyAlignment="1">
      <alignment horizontal="right"/>
    </xf>
    <xf numFmtId="0" fontId="56" fillId="2" borderId="1" xfId="0" applyFont="1" applyFill="1" applyBorder="1" applyAlignment="1">
      <alignment horizontal="left"/>
    </xf>
    <xf numFmtId="0" fontId="59" fillId="0" borderId="3" xfId="0" applyFont="1" applyBorder="1" applyAlignment="1">
      <alignment horizontal="left"/>
    </xf>
    <xf numFmtId="164" fontId="1" fillId="9" borderId="0" xfId="1" applyNumberFormat="1" applyFont="1" applyFill="1" applyAlignment="1">
      <alignment horizontal="right"/>
    </xf>
    <xf numFmtId="165" fontId="58" fillId="0" borderId="41" xfId="1" applyNumberFormat="1" applyFont="1" applyFill="1" applyBorder="1" applyAlignment="1">
      <alignment horizontal="right"/>
    </xf>
    <xf numFmtId="164" fontId="59" fillId="0" borderId="39" xfId="1" applyNumberFormat="1" applyFont="1" applyFill="1" applyBorder="1" applyAlignment="1">
      <alignment horizontal="right"/>
    </xf>
    <xf numFmtId="165" fontId="58" fillId="9" borderId="5" xfId="1" applyNumberFormat="1" applyFont="1" applyFill="1" applyBorder="1" applyAlignment="1">
      <alignment horizontal="right"/>
    </xf>
    <xf numFmtId="164" fontId="59" fillId="0" borderId="8" xfId="1" applyNumberFormat="1" applyFont="1" applyFill="1" applyBorder="1" applyAlignment="1">
      <alignment horizontal="right"/>
    </xf>
    <xf numFmtId="166" fontId="59" fillId="0" borderId="5" xfId="2" quotePrefix="1" applyNumberFormat="1" applyFont="1" applyBorder="1" applyAlignment="1">
      <alignment horizontal="right"/>
    </xf>
    <xf numFmtId="9" fontId="58" fillId="0" borderId="5" xfId="2" applyFont="1" applyBorder="1" applyAlignment="1">
      <alignment horizontal="right"/>
    </xf>
    <xf numFmtId="9" fontId="64" fillId="0" borderId="5" xfId="2" applyFont="1" applyBorder="1" applyAlignment="1">
      <alignment horizontal="right"/>
    </xf>
    <xf numFmtId="9" fontId="59" fillId="0" borderId="5" xfId="2" applyFont="1" applyBorder="1" applyAlignment="1">
      <alignment horizontal="right"/>
    </xf>
    <xf numFmtId="164" fontId="51" fillId="0" borderId="29" xfId="1" quotePrefix="1" applyNumberFormat="1" applyFont="1" applyBorder="1" applyAlignment="1">
      <alignment horizontal="right"/>
    </xf>
    <xf numFmtId="164" fontId="59" fillId="0" borderId="29" xfId="1" quotePrefix="1" applyNumberFormat="1" applyFont="1" applyBorder="1" applyAlignment="1">
      <alignment horizontal="right"/>
    </xf>
    <xf numFmtId="165" fontId="63" fillId="0" borderId="5" xfId="1" quotePrefix="1" applyNumberFormat="1" applyFont="1" applyBorder="1" applyAlignment="1">
      <alignment horizontal="right"/>
    </xf>
    <xf numFmtId="166" fontId="58" fillId="0" borderId="5" xfId="2" quotePrefix="1" applyNumberFormat="1" applyFont="1" applyBorder="1" applyAlignment="1">
      <alignment horizontal="right"/>
    </xf>
    <xf numFmtId="165" fontId="58" fillId="11" borderId="0" xfId="1" applyNumberFormat="1" applyFont="1" applyFill="1" applyAlignment="1">
      <alignment horizontal="right"/>
    </xf>
    <xf numFmtId="165" fontId="58" fillId="11" borderId="5" xfId="1" applyNumberFormat="1" applyFont="1" applyFill="1" applyBorder="1" applyAlignment="1">
      <alignment horizontal="right"/>
    </xf>
    <xf numFmtId="166" fontId="1" fillId="0" borderId="29" xfId="2" quotePrefix="1" applyNumberFormat="1" applyFont="1" applyFill="1" applyBorder="1" applyAlignment="1">
      <alignment horizontal="right"/>
    </xf>
    <xf numFmtId="0" fontId="56" fillId="2" borderId="2" xfId="0" applyFont="1" applyFill="1" applyBorder="1" applyAlignment="1">
      <alignment horizontal="left"/>
    </xf>
    <xf numFmtId="228" fontId="58" fillId="0" borderId="4" xfId="2" applyNumberFormat="1" applyFont="1" applyFill="1" applyBorder="1" applyAlignment="1">
      <alignment horizontal="right"/>
    </xf>
    <xf numFmtId="228" fontId="58" fillId="0" borderId="4" xfId="1" applyNumberFormat="1" applyFont="1" applyFill="1" applyBorder="1" applyAlignment="1">
      <alignment horizontal="right"/>
    </xf>
    <xf numFmtId="228" fontId="58" fillId="9" borderId="4" xfId="1" applyNumberFormat="1" applyFont="1" applyFill="1" applyBorder="1" applyAlignment="1">
      <alignment horizontal="right"/>
    </xf>
    <xf numFmtId="43" fontId="60" fillId="0" borderId="4" xfId="1" quotePrefix="1" applyFont="1" applyBorder="1" applyAlignment="1">
      <alignment horizontal="right"/>
    </xf>
    <xf numFmtId="0" fontId="59" fillId="0" borderId="6" xfId="0" applyFont="1" applyBorder="1"/>
    <xf numFmtId="229" fontId="59" fillId="0" borderId="10" xfId="1" applyNumberFormat="1" applyFont="1" applyBorder="1" applyAlignment="1">
      <alignment horizontal="right"/>
    </xf>
    <xf numFmtId="0" fontId="73" fillId="0" borderId="0" xfId="0" applyFont="1" applyAlignment="1">
      <alignment horizontal="right"/>
    </xf>
    <xf numFmtId="165" fontId="74" fillId="0" borderId="0" xfId="1" applyNumberFormat="1" applyFont="1" applyAlignment="1">
      <alignment horizontal="right"/>
    </xf>
    <xf numFmtId="0" fontId="75" fillId="0" borderId="3" xfId="0" applyFont="1" applyBorder="1"/>
    <xf numFmtId="164" fontId="4" fillId="0" borderId="4" xfId="1" applyNumberFormat="1" applyFont="1" applyBorder="1" applyAlignment="1">
      <alignment horizontal="right"/>
    </xf>
    <xf numFmtId="0" fontId="76" fillId="0" borderId="3" xfId="0" applyFont="1" applyBorder="1"/>
    <xf numFmtId="5" fontId="76" fillId="0" borderId="4" xfId="1" applyNumberFormat="1" applyFont="1" applyBorder="1" applyAlignment="1">
      <alignment horizontal="right"/>
    </xf>
    <xf numFmtId="165" fontId="77" fillId="0" borderId="4" xfId="1" applyNumberFormat="1" applyFont="1" applyBorder="1" applyAlignment="1">
      <alignment horizontal="right"/>
    </xf>
    <xf numFmtId="0" fontId="78" fillId="0" borderId="12" xfId="0" applyFont="1" applyBorder="1" applyAlignment="1">
      <alignment horizontal="left" indent="1"/>
    </xf>
    <xf numFmtId="165" fontId="78" fillId="0" borderId="13" xfId="1" applyNumberFormat="1" applyFont="1" applyBorder="1" applyAlignment="1">
      <alignment horizontal="right"/>
    </xf>
    <xf numFmtId="43" fontId="76" fillId="9" borderId="4" xfId="1" applyFont="1" applyFill="1" applyBorder="1" applyAlignment="1">
      <alignment horizontal="right"/>
    </xf>
    <xf numFmtId="43" fontId="76" fillId="0" borderId="4" xfId="1" applyFont="1" applyBorder="1" applyAlignment="1">
      <alignment horizontal="right"/>
    </xf>
    <xf numFmtId="166" fontId="76" fillId="9" borderId="4" xfId="1" applyNumberFormat="1" applyFont="1" applyFill="1" applyBorder="1" applyAlignment="1">
      <alignment horizontal="right"/>
    </xf>
    <xf numFmtId="0" fontId="78" fillId="0" borderId="3" xfId="0" applyFont="1" applyBorder="1" applyAlignment="1">
      <alignment horizontal="left" indent="1"/>
    </xf>
    <xf numFmtId="166" fontId="78" fillId="0" borderId="4" xfId="2" applyNumberFormat="1" applyFont="1" applyBorder="1" applyAlignment="1">
      <alignment horizontal="right"/>
    </xf>
    <xf numFmtId="10" fontId="76" fillId="9" borderId="4" xfId="2" applyNumberFormat="1" applyFont="1" applyFill="1" applyBorder="1" applyAlignment="1">
      <alignment horizontal="right"/>
    </xf>
    <xf numFmtId="166" fontId="78" fillId="0" borderId="13" xfId="2" applyNumberFormat="1" applyFont="1" applyBorder="1" applyAlignment="1">
      <alignment horizontal="right"/>
    </xf>
    <xf numFmtId="166" fontId="58" fillId="0" borderId="4" xfId="2" applyNumberFormat="1" applyFont="1" applyBorder="1" applyAlignment="1">
      <alignment horizontal="right"/>
    </xf>
    <xf numFmtId="0" fontId="59" fillId="0" borderId="12" xfId="0" applyFont="1" applyBorder="1" applyAlignment="1">
      <alignment horizontal="left" indent="1"/>
    </xf>
    <xf numFmtId="166" fontId="59" fillId="0" borderId="13" xfId="2" applyNumberFormat="1" applyFont="1" applyBorder="1" applyAlignment="1">
      <alignment horizontal="right"/>
    </xf>
    <xf numFmtId="166" fontId="58" fillId="9" borderId="4" xfId="2" applyNumberFormat="1" applyFont="1" applyFill="1" applyBorder="1" applyAlignment="1">
      <alignment horizontal="right"/>
    </xf>
    <xf numFmtId="0" fontId="61" fillId="0" borderId="3" xfId="0" applyFont="1" applyBorder="1"/>
    <xf numFmtId="165" fontId="58" fillId="0" borderId="4" xfId="1" applyNumberFormat="1" applyFont="1" applyBorder="1" applyAlignment="1">
      <alignment horizontal="right"/>
    </xf>
    <xf numFmtId="43" fontId="60" fillId="0" borderId="4" xfId="1" applyFont="1" applyBorder="1" applyAlignment="1">
      <alignment horizontal="right"/>
    </xf>
    <xf numFmtId="5" fontId="59" fillId="0" borderId="10" xfId="1" applyNumberFormat="1" applyFont="1" applyBorder="1" applyAlignment="1">
      <alignment horizontal="right"/>
    </xf>
    <xf numFmtId="0" fontId="4" fillId="0" borderId="0" xfId="0" applyFont="1" applyAlignment="1">
      <alignment vertical="top" wrapText="1"/>
    </xf>
    <xf numFmtId="0" fontId="58" fillId="0" borderId="1" xfId="0" applyFont="1" applyBorder="1"/>
    <xf numFmtId="10" fontId="58" fillId="9" borderId="11" xfId="1" applyNumberFormat="1" applyFont="1" applyFill="1" applyBorder="1" applyAlignment="1">
      <alignment horizontal="right"/>
    </xf>
    <xf numFmtId="10" fontId="58" fillId="9" borderId="4" xfId="2" applyNumberFormat="1" applyFont="1" applyFill="1" applyBorder="1" applyAlignment="1">
      <alignment horizontal="right"/>
    </xf>
    <xf numFmtId="5" fontId="58" fillId="0" borderId="4" xfId="1" applyNumberFormat="1" applyFont="1" applyBorder="1" applyAlignment="1">
      <alignment horizontal="right"/>
    </xf>
    <xf numFmtId="0" fontId="58" fillId="0" borderId="6" xfId="0" applyFont="1" applyBorder="1"/>
    <xf numFmtId="6" fontId="58" fillId="0" borderId="10" xfId="0" applyNumberFormat="1" applyFont="1" applyBorder="1"/>
    <xf numFmtId="0" fontId="59" fillId="12" borderId="3" xfId="0" applyFont="1" applyFill="1" applyBorder="1" applyAlignment="1">
      <alignment horizontal="left" indent="2"/>
    </xf>
    <xf numFmtId="166" fontId="83" fillId="9" borderId="0" xfId="2" applyNumberFormat="1" applyFont="1" applyFill="1" applyAlignment="1">
      <alignment horizontal="right"/>
    </xf>
    <xf numFmtId="9" fontId="83" fillId="9" borderId="0" xfId="2" applyFont="1" applyFill="1" applyAlignment="1">
      <alignment horizontal="right"/>
    </xf>
    <xf numFmtId="9" fontId="83" fillId="0" borderId="5" xfId="2" applyFont="1" applyFill="1" applyBorder="1" applyAlignment="1">
      <alignment horizontal="right"/>
    </xf>
    <xf numFmtId="0" fontId="58" fillId="12" borderId="12" xfId="0" applyFont="1" applyFill="1" applyBorder="1" applyAlignment="1">
      <alignment horizontal="left" indent="2"/>
    </xf>
    <xf numFmtId="0" fontId="58" fillId="12" borderId="6" xfId="0" applyFont="1" applyFill="1" applyBorder="1" applyAlignment="1">
      <alignment horizontal="left" indent="2"/>
    </xf>
    <xf numFmtId="9" fontId="84" fillId="9" borderId="30" xfId="2" applyFont="1" applyFill="1" applyBorder="1" applyAlignment="1">
      <alignment horizontal="right"/>
    </xf>
    <xf numFmtId="43" fontId="65" fillId="12" borderId="3" xfId="1" applyFont="1" applyFill="1" applyBorder="1" applyAlignment="1">
      <alignment horizontal="left" indent="4"/>
    </xf>
    <xf numFmtId="0" fontId="59" fillId="11" borderId="3" xfId="0" applyFont="1" applyFill="1" applyBorder="1" applyAlignment="1">
      <alignment horizontal="left" indent="2"/>
    </xf>
    <xf numFmtId="0" fontId="58" fillId="12" borderId="3" xfId="0" applyFont="1" applyFill="1" applyBorder="1" applyAlignment="1">
      <alignment horizontal="left" indent="1"/>
    </xf>
    <xf numFmtId="0" fontId="76" fillId="12" borderId="3" xfId="0" applyFont="1" applyFill="1" applyBorder="1"/>
    <xf numFmtId="2" fontId="1" fillId="0" borderId="0" xfId="1" applyNumberFormat="1" applyFont="1"/>
    <xf numFmtId="166" fontId="1" fillId="0" borderId="0" xfId="1" applyNumberFormat="1" applyFont="1"/>
    <xf numFmtId="0" fontId="58" fillId="0" borderId="0" xfId="0" applyFont="1" applyAlignment="1">
      <alignment horizontal="right"/>
    </xf>
    <xf numFmtId="0" fontId="59" fillId="0" borderId="1" xfId="0" applyFont="1" applyBorder="1" applyAlignment="1">
      <alignment horizontal="left"/>
    </xf>
    <xf numFmtId="5" fontId="59" fillId="0" borderId="11" xfId="1" applyNumberFormat="1" applyFont="1" applyBorder="1" applyAlignment="1">
      <alignment horizontal="right"/>
    </xf>
    <xf numFmtId="5" fontId="61" fillId="0" borderId="4" xfId="1" applyNumberFormat="1" applyFont="1" applyBorder="1" applyAlignment="1">
      <alignment horizontal="right"/>
    </xf>
    <xf numFmtId="5" fontId="59" fillId="0" borderId="4" xfId="1" applyNumberFormat="1" applyFont="1" applyBorder="1" applyAlignment="1">
      <alignment horizontal="right"/>
    </xf>
    <xf numFmtId="0" fontId="59" fillId="0" borderId="23" xfId="0" applyFont="1" applyBorder="1" applyAlignment="1">
      <alignment horizontal="left"/>
    </xf>
    <xf numFmtId="5" fontId="59" fillId="0" borderId="24" xfId="1" applyNumberFormat="1" applyFont="1" applyBorder="1" applyAlignment="1">
      <alignment horizontal="right"/>
    </xf>
    <xf numFmtId="227" fontId="1" fillId="9" borderId="0" xfId="1" applyNumberFormat="1" applyFont="1" applyFill="1" applyAlignment="1">
      <alignment horizontal="right"/>
    </xf>
    <xf numFmtId="43" fontId="84" fillId="9" borderId="7" xfId="1" applyFont="1" applyFill="1" applyBorder="1" applyAlignment="1">
      <alignment horizontal="right"/>
    </xf>
    <xf numFmtId="0" fontId="56" fillId="2" borderId="1" xfId="0" applyFont="1" applyFill="1" applyBorder="1" applyAlignment="1">
      <alignment horizontal="left"/>
    </xf>
    <xf numFmtId="0" fontId="56" fillId="2" borderId="2" xfId="0" applyFont="1" applyFill="1" applyBorder="1" applyAlignment="1">
      <alignment horizontal="left"/>
    </xf>
    <xf numFmtId="0" fontId="61" fillId="0" borderId="25" xfId="0" applyFont="1" applyBorder="1" applyAlignment="1">
      <alignment horizontal="left"/>
    </xf>
    <xf numFmtId="0" fontId="61" fillId="0" borderId="26" xfId="0" applyFont="1" applyBorder="1" applyAlignment="1">
      <alignment horizontal="left"/>
    </xf>
    <xf numFmtId="0" fontId="58" fillId="0" borderId="3" xfId="0" applyFont="1" applyBorder="1" applyAlignment="1">
      <alignment horizontal="left"/>
    </xf>
    <xf numFmtId="0" fontId="58" fillId="0" borderId="4" xfId="0" applyFont="1" applyBorder="1" applyAlignment="1">
      <alignment horizontal="left"/>
    </xf>
    <xf numFmtId="0" fontId="57" fillId="0" borderId="4" xfId="0" applyFont="1" applyBorder="1" applyAlignment="1">
      <alignment horizontal="center" wrapText="1"/>
    </xf>
    <xf numFmtId="0" fontId="56" fillId="2" borderId="3" xfId="0" applyFont="1" applyFill="1" applyBorder="1" applyAlignment="1">
      <alignment horizontal="left"/>
    </xf>
    <xf numFmtId="0" fontId="56" fillId="2" borderId="4" xfId="0" applyFont="1" applyFill="1" applyBorder="1" applyAlignment="1">
      <alignment horizontal="left"/>
    </xf>
    <xf numFmtId="0" fontId="61" fillId="10" borderId="25" xfId="0" applyFont="1" applyFill="1" applyBorder="1" applyAlignment="1">
      <alignment horizontal="left"/>
    </xf>
    <xf numFmtId="0" fontId="61" fillId="10" borderId="26" xfId="0" applyFont="1" applyFill="1" applyBorder="1" applyAlignment="1">
      <alignment horizontal="left"/>
    </xf>
    <xf numFmtId="0" fontId="59" fillId="0" borderId="3" xfId="0" applyFont="1" applyBorder="1" applyAlignment="1">
      <alignment horizontal="left" indent="1"/>
    </xf>
    <xf numFmtId="0" fontId="59" fillId="0" borderId="4" xfId="0" applyFont="1" applyBorder="1" applyAlignment="1">
      <alignment horizontal="left" indent="1"/>
    </xf>
    <xf numFmtId="0" fontId="61" fillId="0" borderId="3" xfId="0" applyFont="1" applyBorder="1" applyAlignment="1">
      <alignment horizontal="left"/>
    </xf>
    <xf numFmtId="0" fontId="61" fillId="0" borderId="4" xfId="0" applyFont="1" applyBorder="1" applyAlignment="1">
      <alignment horizontal="left"/>
    </xf>
    <xf numFmtId="0" fontId="57" fillId="2" borderId="3" xfId="0" applyFont="1" applyFill="1" applyBorder="1" applyAlignment="1">
      <alignment horizontal="left"/>
    </xf>
    <xf numFmtId="0" fontId="57" fillId="2" borderId="4" xfId="0" applyFont="1" applyFill="1" applyBorder="1" applyAlignment="1">
      <alignment horizontal="left"/>
    </xf>
    <xf numFmtId="0" fontId="59" fillId="0" borderId="6" xfId="0" applyFont="1" applyBorder="1" applyAlignment="1">
      <alignment horizontal="left" indent="2"/>
    </xf>
    <xf numFmtId="0" fontId="59" fillId="0" borderId="10" xfId="0" applyFont="1" applyBorder="1" applyAlignment="1">
      <alignment horizontal="left" indent="2"/>
    </xf>
    <xf numFmtId="0" fontId="56" fillId="2" borderId="11" xfId="0" applyFont="1" applyFill="1" applyBorder="1" applyAlignment="1">
      <alignment horizontal="left"/>
    </xf>
    <xf numFmtId="0" fontId="58" fillId="10" borderId="3" xfId="0" applyFont="1" applyFill="1" applyBorder="1" applyAlignment="1">
      <alignment horizontal="left"/>
    </xf>
    <xf numFmtId="0" fontId="58" fillId="10" borderId="4" xfId="0" applyFont="1" applyFill="1" applyBorder="1" applyAlignment="1">
      <alignment horizontal="left"/>
    </xf>
    <xf numFmtId="0" fontId="59" fillId="0" borderId="3" xfId="0" applyFont="1" applyBorder="1" applyAlignment="1">
      <alignment horizontal="left" indent="2"/>
    </xf>
    <xf numFmtId="0" fontId="59" fillId="0" borderId="4" xfId="0" applyFont="1" applyBorder="1" applyAlignment="1">
      <alignment horizontal="left" indent="2"/>
    </xf>
    <xf numFmtId="0" fontId="58" fillId="0" borderId="27" xfId="0" applyFont="1" applyBorder="1" applyAlignment="1">
      <alignment horizontal="left" vertical="top" wrapText="1"/>
    </xf>
    <xf numFmtId="0" fontId="58" fillId="0" borderId="28" xfId="0" applyFont="1" applyBorder="1" applyAlignment="1">
      <alignment horizontal="left" vertical="top" wrapText="1"/>
    </xf>
    <xf numFmtId="0" fontId="59" fillId="10" borderId="3" xfId="0" applyFont="1" applyFill="1" applyBorder="1" applyAlignment="1">
      <alignment horizontal="left" indent="1"/>
    </xf>
    <xf numFmtId="0" fontId="59" fillId="10" borderId="4" xfId="0" applyFont="1" applyFill="1" applyBorder="1" applyAlignment="1">
      <alignment horizontal="left" indent="1"/>
    </xf>
    <xf numFmtId="0" fontId="58" fillId="0" borderId="3" xfId="0" applyFont="1" applyFill="1" applyBorder="1" applyAlignment="1">
      <alignment horizontal="left" indent="5"/>
    </xf>
    <xf numFmtId="0" fontId="58" fillId="0" borderId="4" xfId="0" applyFont="1" applyFill="1" applyBorder="1" applyAlignment="1">
      <alignment horizontal="left" indent="5"/>
    </xf>
    <xf numFmtId="0" fontId="58" fillId="0" borderId="3" xfId="0" applyFont="1" applyBorder="1" applyAlignment="1">
      <alignment horizontal="left" indent="1"/>
    </xf>
    <xf numFmtId="0" fontId="58" fillId="0" borderId="4" xfId="0" applyFont="1" applyBorder="1" applyAlignment="1">
      <alignment horizontal="left" indent="1"/>
    </xf>
    <xf numFmtId="0" fontId="58" fillId="0" borderId="3" xfId="3" applyFont="1" applyFill="1" applyBorder="1" applyAlignment="1">
      <alignment horizontal="left" vertical="top"/>
    </xf>
    <xf numFmtId="0" fontId="58" fillId="0" borderId="4" xfId="3" applyFont="1" applyFill="1" applyBorder="1" applyAlignment="1">
      <alignment horizontal="left" vertical="top"/>
    </xf>
    <xf numFmtId="0" fontId="4" fillId="0" borderId="2" xfId="0" applyFont="1" applyBorder="1" applyAlignment="1">
      <alignment horizontal="left"/>
    </xf>
    <xf numFmtId="0" fontId="58" fillId="10" borderId="12" xfId="0" applyFont="1" applyFill="1" applyBorder="1" applyAlignment="1">
      <alignment horizontal="left"/>
    </xf>
    <xf numFmtId="0" fontId="58" fillId="10" borderId="13" xfId="0" applyFont="1" applyFill="1" applyBorder="1" applyAlignment="1">
      <alignment horizontal="left"/>
    </xf>
    <xf numFmtId="0" fontId="58" fillId="10" borderId="25" xfId="0" applyFont="1" applyFill="1" applyBorder="1" applyAlignment="1">
      <alignment horizontal="left"/>
    </xf>
    <xf numFmtId="0" fontId="58" fillId="10" borderId="26" xfId="0" applyFont="1" applyFill="1" applyBorder="1" applyAlignment="1">
      <alignment horizontal="left"/>
    </xf>
    <xf numFmtId="0" fontId="58" fillId="0" borderId="6" xfId="0" applyFont="1" applyBorder="1" applyAlignment="1">
      <alignment horizontal="left"/>
    </xf>
    <xf numFmtId="0" fontId="58" fillId="0" borderId="10" xfId="0" applyFont="1" applyBorder="1" applyAlignment="1">
      <alignment horizontal="left"/>
    </xf>
    <xf numFmtId="0" fontId="59" fillId="0" borderId="3" xfId="0" applyFont="1" applyBorder="1" applyAlignment="1">
      <alignment horizontal="left"/>
    </xf>
    <xf numFmtId="0" fontId="59" fillId="0" borderId="4" xfId="0" applyFont="1" applyBorder="1" applyAlignment="1">
      <alignment horizontal="left"/>
    </xf>
    <xf numFmtId="0" fontId="58" fillId="11" borderId="3" xfId="0" applyFont="1" applyFill="1" applyBorder="1" applyAlignment="1">
      <alignment horizontal="left"/>
    </xf>
    <xf numFmtId="0" fontId="58" fillId="11" borderId="4" xfId="0" applyFont="1" applyFill="1" applyBorder="1" applyAlignment="1">
      <alignment horizontal="left"/>
    </xf>
    <xf numFmtId="0" fontId="58" fillId="9" borderId="1" xfId="0" applyFont="1" applyFill="1" applyBorder="1" applyAlignment="1">
      <alignment horizontal="left"/>
    </xf>
    <xf numFmtId="0" fontId="58" fillId="9" borderId="11" xfId="0" applyFont="1" applyFill="1" applyBorder="1" applyAlignment="1">
      <alignment horizontal="left"/>
    </xf>
    <xf numFmtId="0" fontId="0" fillId="0" borderId="25" xfId="0" applyBorder="1" applyAlignment="1">
      <alignment horizontal="left"/>
    </xf>
    <xf numFmtId="0" fontId="1" fillId="0" borderId="26" xfId="0" applyFont="1" applyBorder="1" applyAlignment="1">
      <alignment horizontal="left"/>
    </xf>
    <xf numFmtId="0" fontId="0" fillId="0" borderId="3" xfId="0" applyBorder="1" applyAlignment="1">
      <alignment horizontal="left"/>
    </xf>
    <xf numFmtId="0" fontId="1" fillId="0" borderId="4" xfId="0" applyFont="1" applyBorder="1" applyAlignment="1">
      <alignment horizontal="left"/>
    </xf>
    <xf numFmtId="0" fontId="58" fillId="13" borderId="3" xfId="0" applyFont="1" applyFill="1" applyBorder="1" applyAlignment="1">
      <alignment horizontal="left"/>
    </xf>
    <xf numFmtId="0" fontId="58" fillId="13" borderId="4" xfId="0" applyFont="1" applyFill="1" applyBorder="1" applyAlignment="1">
      <alignment horizontal="left"/>
    </xf>
    <xf numFmtId="0" fontId="58" fillId="14" borderId="6" xfId="0" applyFont="1" applyFill="1" applyBorder="1" applyAlignment="1">
      <alignment horizontal="left"/>
    </xf>
    <xf numFmtId="0" fontId="58" fillId="14" borderId="10" xfId="0" applyFont="1" applyFill="1" applyBorder="1" applyAlignment="1">
      <alignment horizontal="left"/>
    </xf>
    <xf numFmtId="0" fontId="59" fillId="0" borderId="3" xfId="0" applyFont="1" applyBorder="1" applyAlignment="1">
      <alignment horizontal="left" indent="3"/>
    </xf>
    <xf numFmtId="0" fontId="59" fillId="0" borderId="4" xfId="0" applyFont="1" applyBorder="1" applyAlignment="1">
      <alignment horizontal="left" indent="3"/>
    </xf>
    <xf numFmtId="0" fontId="59" fillId="0" borderId="3" xfId="0" applyFont="1" applyFill="1" applyBorder="1" applyAlignment="1">
      <alignment horizontal="left" indent="1"/>
    </xf>
    <xf numFmtId="0" fontId="59" fillId="0" borderId="4" xfId="0" applyFont="1" applyFill="1" applyBorder="1" applyAlignment="1">
      <alignment horizontal="left" indent="1"/>
    </xf>
    <xf numFmtId="0" fontId="58" fillId="0" borderId="3" xfId="0" applyFont="1" applyBorder="1" applyAlignment="1">
      <alignment horizontal="left" indent="4"/>
    </xf>
    <xf numFmtId="0" fontId="58" fillId="0" borderId="4" xfId="0" applyFont="1" applyBorder="1" applyAlignment="1">
      <alignment horizontal="left" indent="4"/>
    </xf>
    <xf numFmtId="0" fontId="58" fillId="0" borderId="3" xfId="0" applyFont="1" applyFill="1" applyBorder="1" applyAlignment="1">
      <alignment horizontal="left"/>
    </xf>
    <xf numFmtId="0" fontId="58" fillId="0" borderId="4" xfId="0" applyFont="1" applyFill="1" applyBorder="1" applyAlignment="1">
      <alignment horizontal="left"/>
    </xf>
    <xf numFmtId="0" fontId="58" fillId="0" borderId="3" xfId="0" applyFont="1" applyFill="1" applyBorder="1" applyAlignment="1">
      <alignment horizontal="left" indent="2"/>
    </xf>
    <xf numFmtId="0" fontId="58" fillId="0" borderId="4" xfId="0" applyFont="1" applyFill="1" applyBorder="1" applyAlignment="1">
      <alignment horizontal="left" indent="2"/>
    </xf>
    <xf numFmtId="0" fontId="59" fillId="0" borderId="12" xfId="0" applyFont="1" applyBorder="1" applyAlignment="1">
      <alignment horizontal="left"/>
    </xf>
    <xf numFmtId="0" fontId="59" fillId="0" borderId="13" xfId="0" applyFont="1" applyBorder="1" applyAlignment="1">
      <alignment horizontal="left"/>
    </xf>
    <xf numFmtId="0" fontId="59" fillId="0" borderId="12" xfId="0" applyFont="1" applyBorder="1" applyAlignment="1">
      <alignment horizontal="left" indent="2"/>
    </xf>
    <xf numFmtId="0" fontId="59" fillId="0" borderId="13" xfId="0" applyFont="1" applyBorder="1" applyAlignment="1">
      <alignment horizontal="left" indent="2"/>
    </xf>
    <xf numFmtId="0" fontId="0" fillId="0" borderId="12" xfId="0" applyBorder="1" applyAlignment="1">
      <alignment horizontal="left"/>
    </xf>
    <xf numFmtId="0" fontId="1" fillId="0" borderId="13" xfId="0" applyFont="1" applyBorder="1" applyAlignment="1">
      <alignment horizontal="left"/>
    </xf>
    <xf numFmtId="0" fontId="59" fillId="10" borderId="3" xfId="0" applyFont="1" applyFill="1" applyBorder="1" applyAlignment="1">
      <alignment horizontal="left" indent="2"/>
    </xf>
    <xf numFmtId="0" fontId="59" fillId="10" borderId="4" xfId="0" applyFont="1" applyFill="1" applyBorder="1" applyAlignment="1">
      <alignment horizontal="left" indent="2"/>
    </xf>
  </cellXfs>
  <cellStyles count="331">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0" xr:uid="{401671C4-C6A2-4732-BC1D-7DED4CDB8213}"/>
    <cellStyle name="Normal 141" xfId="329"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236802</xdr:colOff>
      <xdr:row>181</xdr:row>
      <xdr:rowOff>0</xdr:rowOff>
    </xdr:from>
    <xdr:to>
      <xdr:col>3</xdr:col>
      <xdr:colOff>0</xdr:colOff>
      <xdr:row>181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238</xdr:row>
      <xdr:rowOff>0</xdr:rowOff>
    </xdr:from>
    <xdr:to>
      <xdr:col>3</xdr:col>
      <xdr:colOff>0</xdr:colOff>
      <xdr:row>238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285</xdr:row>
      <xdr:rowOff>0</xdr:rowOff>
    </xdr:from>
    <xdr:to>
      <xdr:col>3</xdr:col>
      <xdr:colOff>0</xdr:colOff>
      <xdr:row>285</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45</xdr:row>
      <xdr:rowOff>0</xdr:rowOff>
    </xdr:from>
    <xdr:to>
      <xdr:col>3</xdr:col>
      <xdr:colOff>0</xdr:colOff>
      <xdr:row>45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222</xdr:row>
      <xdr:rowOff>0</xdr:rowOff>
    </xdr:from>
    <xdr:to>
      <xdr:col>3</xdr:col>
      <xdr:colOff>0</xdr:colOff>
      <xdr:row>222</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D333"/>
  <sheetViews>
    <sheetView showGridLines="0" tabSelected="1" topLeftCell="A11" zoomScale="111" zoomScaleNormal="64" workbookViewId="0">
      <pane xSplit="3" ySplit="2" topLeftCell="I13" activePane="bottomRight" state="frozen"/>
      <selection activeCell="A11" sqref="A11"/>
      <selection pane="topRight" activeCell="D11" sqref="D11"/>
      <selection pane="bottomLeft" activeCell="A13" sqref="A13"/>
      <selection pane="bottomRight" activeCell="B11" sqref="B11:C11"/>
    </sheetView>
  </sheetViews>
  <sheetFormatPr defaultColWidth="8.85546875" defaultRowHeight="15" outlineLevelRow="1" outlineLevelCol="1" x14ac:dyDescent="0.25"/>
  <cols>
    <col min="1" max="1" width="2.140625" style="2" customWidth="1"/>
    <col min="2" max="2" width="31.28515625" style="2" customWidth="1"/>
    <col min="3" max="3" width="25.28515625" style="2" customWidth="1"/>
    <col min="4" max="5" width="11.42578125" style="1" customWidth="1" outlineLevel="1"/>
    <col min="6" max="7" width="11.42578125" style="3" customWidth="1" outlineLevel="1"/>
    <col min="8" max="8" width="11.42578125" style="3" customWidth="1"/>
    <col min="9" max="10" width="11.42578125" style="1" customWidth="1" outlineLevel="1"/>
    <col min="11" max="12" width="11.42578125" style="3" customWidth="1" outlineLevel="1"/>
    <col min="13" max="13" width="11.42578125" style="3" customWidth="1"/>
    <col min="14" max="15" width="11.42578125" style="1" customWidth="1" outlineLevel="1"/>
    <col min="16" max="17" width="11.42578125" style="3" customWidth="1" outlineLevel="1"/>
    <col min="18" max="18" width="11.42578125" style="3" customWidth="1"/>
    <col min="19" max="20" width="11.42578125" style="1" customWidth="1" outlineLevel="1"/>
    <col min="21" max="22" width="11.42578125" style="3" customWidth="1" outlineLevel="1"/>
    <col min="23" max="23" width="11.42578125" style="3" customWidth="1"/>
    <col min="24" max="25" width="11.42578125" style="1" customWidth="1" outlineLevel="1"/>
    <col min="26" max="27" width="11.42578125" style="3" customWidth="1" outlineLevel="1"/>
    <col min="28" max="28" width="11.42578125" style="3" customWidth="1"/>
    <col min="29" max="30" width="11.42578125" style="1" customWidth="1" outlineLevel="1"/>
    <col min="31" max="32" width="11.42578125" style="3" customWidth="1" outlineLevel="1"/>
    <col min="33" max="33" width="11.42578125" style="3" customWidth="1"/>
    <col min="34" max="35" width="11.42578125" style="1" customWidth="1" outlineLevel="1"/>
    <col min="36" max="37" width="11.42578125" style="3" customWidth="1" outlineLevel="1"/>
    <col min="38" max="38" width="11.42578125" style="3" customWidth="1"/>
    <col min="39" max="16384" width="8.85546875" style="2"/>
  </cols>
  <sheetData>
    <row r="1" spans="1:56" ht="9" customHeight="1" x14ac:dyDescent="0.25">
      <c r="B1" s="165" t="s">
        <v>37</v>
      </c>
    </row>
    <row r="2" spans="1:56" ht="45" customHeight="1" x14ac:dyDescent="0.25">
      <c r="B2" s="472" t="s">
        <v>329</v>
      </c>
      <c r="C2" s="473"/>
      <c r="K2" s="439" t="s">
        <v>330</v>
      </c>
      <c r="L2" s="25">
        <v>3614.6689724019225</v>
      </c>
      <c r="M2" s="26">
        <v>3614.5689724019248</v>
      </c>
      <c r="N2" s="25">
        <v>3718.5629557462753</v>
      </c>
      <c r="O2" s="25">
        <v>2875.6839087908816</v>
      </c>
      <c r="P2" s="25">
        <v>2341.6821757436555</v>
      </c>
      <c r="Q2" s="25">
        <v>2262.038652491301</v>
      </c>
      <c r="R2" s="26">
        <v>2262.0386524913038</v>
      </c>
      <c r="S2" s="25">
        <v>2634.7667475951985</v>
      </c>
      <c r="T2" s="25">
        <v>2205.1479076892347</v>
      </c>
      <c r="U2" s="25">
        <v>2070.909344778137</v>
      </c>
      <c r="V2" s="25">
        <v>2113.4232838120706</v>
      </c>
      <c r="W2" s="26">
        <v>2113.4232838120688</v>
      </c>
      <c r="X2" s="25">
        <v>2657.4458461299009</v>
      </c>
      <c r="Y2" s="25">
        <v>2257.6246220900371</v>
      </c>
      <c r="Z2" s="25">
        <v>2260.8403657818121</v>
      </c>
      <c r="AA2" s="25">
        <v>2392.9830408281646</v>
      </c>
      <c r="AB2" s="26">
        <v>2392.9830408281687</v>
      </c>
      <c r="AC2" s="25">
        <v>2884.9322465364485</v>
      </c>
      <c r="AD2" s="25">
        <v>2374.1360151229551</v>
      </c>
      <c r="AE2" s="25">
        <v>2282.483060162735</v>
      </c>
      <c r="AF2" s="25">
        <v>2336.9484559271114</v>
      </c>
      <c r="AG2" s="26">
        <v>2336.9484559271114</v>
      </c>
      <c r="AH2" s="25">
        <v>2572.9883752225369</v>
      </c>
      <c r="AI2" s="25">
        <v>1734.5719421543447</v>
      </c>
      <c r="AJ2" s="25">
        <v>1356.1354360102152</v>
      </c>
      <c r="AK2" s="25">
        <v>1122.2390540630793</v>
      </c>
      <c r="AL2" s="26">
        <v>1122.2390540630768</v>
      </c>
    </row>
    <row r="3" spans="1:56" ht="17.25" x14ac:dyDescent="0.4">
      <c r="B3" s="493" t="s">
        <v>331</v>
      </c>
      <c r="C3" s="494"/>
      <c r="K3" s="439" t="s">
        <v>332</v>
      </c>
      <c r="L3" s="28">
        <f>L276</f>
        <v>3642.2349029516436</v>
      </c>
      <c r="M3" s="29">
        <f t="shared" ref="M3:AL3" si="0">M276</f>
        <v>3642.1349029516432</v>
      </c>
      <c r="N3" s="28">
        <f t="shared" si="0"/>
        <v>3721.9044219008838</v>
      </c>
      <c r="O3" s="28">
        <f t="shared" si="0"/>
        <v>3254.9252515436383</v>
      </c>
      <c r="P3" s="28">
        <f t="shared" si="0"/>
        <v>2737.2318269669236</v>
      </c>
      <c r="Q3" s="28">
        <f t="shared" si="0"/>
        <v>2527.0503317762723</v>
      </c>
      <c r="R3" s="29">
        <f t="shared" si="0"/>
        <v>2527.0503317762759</v>
      </c>
      <c r="S3" s="28">
        <f t="shared" si="0"/>
        <v>2531.4765208481335</v>
      </c>
      <c r="T3" s="28">
        <f t="shared" si="0"/>
        <v>2209.4709467961602</v>
      </c>
      <c r="U3" s="28">
        <f t="shared" si="0"/>
        <v>1904.4899761008239</v>
      </c>
      <c r="V3" s="28">
        <f t="shared" si="0"/>
        <v>2258.7015237034184</v>
      </c>
      <c r="W3" s="29">
        <f t="shared" si="0"/>
        <v>2258.7015237034184</v>
      </c>
      <c r="X3" s="28">
        <f t="shared" si="0"/>
        <v>2553.8850702624468</v>
      </c>
      <c r="Y3" s="28">
        <f t="shared" si="0"/>
        <v>1945.4249915722141</v>
      </c>
      <c r="Z3" s="28">
        <f t="shared" si="0"/>
        <v>1562.2179279735185</v>
      </c>
      <c r="AA3" s="28">
        <f t="shared" si="0"/>
        <v>1362.068283605741</v>
      </c>
      <c r="AB3" s="29">
        <f t="shared" si="0"/>
        <v>1362.068283605744</v>
      </c>
      <c r="AC3" s="28">
        <f t="shared" si="0"/>
        <v>1581.1698555048047</v>
      </c>
      <c r="AD3" s="28">
        <f t="shared" si="0"/>
        <v>1085.0740206764642</v>
      </c>
      <c r="AE3" s="28">
        <f t="shared" si="0"/>
        <v>736.10665532065218</v>
      </c>
      <c r="AF3" s="28">
        <f t="shared" si="0"/>
        <v>1054.6152208389069</v>
      </c>
      <c r="AG3" s="29">
        <f t="shared" si="0"/>
        <v>1054.6152208389112</v>
      </c>
      <c r="AH3" s="28">
        <f t="shared" si="0"/>
        <v>1361.5500332586385</v>
      </c>
      <c r="AI3" s="28">
        <f t="shared" si="0"/>
        <v>885.59320387476123</v>
      </c>
      <c r="AJ3" s="28">
        <f t="shared" si="0"/>
        <v>564.51804876754295</v>
      </c>
      <c r="AK3" s="28">
        <f t="shared" si="0"/>
        <v>904.18912402318801</v>
      </c>
      <c r="AL3" s="29">
        <f t="shared" si="0"/>
        <v>904.1891240231862</v>
      </c>
    </row>
    <row r="4" spans="1:56" x14ac:dyDescent="0.25">
      <c r="B4" s="499" t="s">
        <v>333</v>
      </c>
      <c r="C4" s="500"/>
      <c r="K4" s="439" t="s">
        <v>334</v>
      </c>
      <c r="L4" s="25">
        <f>L3-L2</f>
        <v>27.565930549721088</v>
      </c>
      <c r="M4" s="26">
        <f t="shared" ref="M4:AL4" si="1">M3-M2</f>
        <v>27.56593054971836</v>
      </c>
      <c r="N4" s="25">
        <f t="shared" si="1"/>
        <v>3.3414661546084972</v>
      </c>
      <c r="O4" s="25">
        <f t="shared" si="1"/>
        <v>379.24134275275674</v>
      </c>
      <c r="P4" s="25">
        <f t="shared" si="1"/>
        <v>395.54965122326803</v>
      </c>
      <c r="Q4" s="25">
        <f t="shared" si="1"/>
        <v>265.01167928497125</v>
      </c>
      <c r="R4" s="26">
        <f t="shared" si="1"/>
        <v>265.01167928497216</v>
      </c>
      <c r="S4" s="25">
        <f t="shared" si="1"/>
        <v>-103.29022674706493</v>
      </c>
      <c r="T4" s="25">
        <f t="shared" si="1"/>
        <v>4.3230391069255347</v>
      </c>
      <c r="U4" s="25">
        <f t="shared" si="1"/>
        <v>-166.41936867731306</v>
      </c>
      <c r="V4" s="25">
        <f t="shared" si="1"/>
        <v>145.27823989134777</v>
      </c>
      <c r="W4" s="26">
        <f t="shared" si="1"/>
        <v>145.27823989134959</v>
      </c>
      <c r="X4" s="25">
        <f t="shared" si="1"/>
        <v>-103.56077586745414</v>
      </c>
      <c r="Y4" s="25">
        <f t="shared" si="1"/>
        <v>-312.19963051782292</v>
      </c>
      <c r="Z4" s="25">
        <f t="shared" si="1"/>
        <v>-698.62243780829363</v>
      </c>
      <c r="AA4" s="25">
        <f t="shared" si="1"/>
        <v>-1030.9147572224235</v>
      </c>
      <c r="AB4" s="26">
        <f t="shared" si="1"/>
        <v>-1030.9147572224247</v>
      </c>
      <c r="AC4" s="25">
        <f t="shared" si="1"/>
        <v>-1303.7623910316438</v>
      </c>
      <c r="AD4" s="25">
        <f t="shared" si="1"/>
        <v>-1289.0619944464909</v>
      </c>
      <c r="AE4" s="25">
        <f t="shared" si="1"/>
        <v>-1546.3764048420828</v>
      </c>
      <c r="AF4" s="25">
        <f t="shared" si="1"/>
        <v>-1282.3332350882044</v>
      </c>
      <c r="AG4" s="26">
        <f t="shared" si="1"/>
        <v>-1282.3332350882001</v>
      </c>
      <c r="AH4" s="25">
        <f t="shared" si="1"/>
        <v>-1211.4383419638984</v>
      </c>
      <c r="AI4" s="25">
        <f t="shared" si="1"/>
        <v>-848.97873827958347</v>
      </c>
      <c r="AJ4" s="25">
        <f t="shared" si="1"/>
        <v>-791.61738724267229</v>
      </c>
      <c r="AK4" s="25">
        <f t="shared" si="1"/>
        <v>-218.04993003989125</v>
      </c>
      <c r="AL4" s="26">
        <f t="shared" si="1"/>
        <v>-218.04993003989057</v>
      </c>
      <c r="BD4" s="165" t="s">
        <v>37</v>
      </c>
    </row>
    <row r="5" spans="1:56" x14ac:dyDescent="0.25">
      <c r="B5" s="501" t="s">
        <v>335</v>
      </c>
      <c r="C5" s="502"/>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56" ht="14.45" customHeight="1" x14ac:dyDescent="0.25">
      <c r="B6" s="440" t="s">
        <v>295</v>
      </c>
      <c r="C6" s="441">
        <f>C299</f>
        <v>87.900178887790958</v>
      </c>
      <c r="D6" s="4"/>
      <c r="E6" s="85"/>
      <c r="F6" s="84"/>
      <c r="G6" s="4"/>
      <c r="H6" s="85"/>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56" ht="14.45" customHeight="1" x14ac:dyDescent="0.25">
      <c r="B7" s="371" t="s">
        <v>321</v>
      </c>
      <c r="C7" s="442">
        <f>C326</f>
        <v>78.904374270958954</v>
      </c>
      <c r="D7" s="35"/>
      <c r="E7" s="85"/>
      <c r="F7" s="84"/>
      <c r="G7" s="35"/>
      <c r="H7" s="85"/>
      <c r="I7" s="35"/>
      <c r="J7" s="35"/>
      <c r="K7" s="35"/>
      <c r="L7" s="35"/>
      <c r="M7" s="35"/>
      <c r="N7" s="35"/>
      <c r="O7" s="35"/>
      <c r="P7" s="35"/>
      <c r="Q7" s="35"/>
      <c r="R7" s="35"/>
      <c r="S7" s="35"/>
      <c r="T7" s="35"/>
      <c r="U7" s="35"/>
      <c r="V7" s="35"/>
      <c r="W7" s="35"/>
      <c r="X7" s="35"/>
      <c r="Y7" s="35"/>
      <c r="Z7" s="35"/>
      <c r="AA7" s="35"/>
      <c r="AB7" s="45"/>
      <c r="AC7" s="35"/>
      <c r="AD7" s="35"/>
      <c r="AE7" s="35"/>
      <c r="AF7" s="35"/>
      <c r="AG7" s="45"/>
      <c r="AH7" s="35"/>
      <c r="AI7" s="35"/>
      <c r="AJ7" s="35"/>
      <c r="AK7" s="35"/>
      <c r="AL7" s="45"/>
    </row>
    <row r="8" spans="1:56" ht="14.45" customHeight="1" x14ac:dyDescent="0.25">
      <c r="B8" s="371" t="s">
        <v>336</v>
      </c>
      <c r="C8" s="443">
        <f>(0.5*C6)+(0.5*C7)</f>
        <v>83.402276579374956</v>
      </c>
      <c r="D8" s="25"/>
      <c r="E8" s="85"/>
      <c r="F8" s="86"/>
      <c r="G8" s="86"/>
      <c r="H8" s="25"/>
      <c r="I8" s="86"/>
      <c r="J8" s="86"/>
      <c r="K8" s="45"/>
      <c r="L8" s="25"/>
      <c r="M8" s="25"/>
      <c r="N8" s="25"/>
      <c r="O8" s="25"/>
      <c r="P8" s="25"/>
      <c r="Q8" s="45"/>
      <c r="R8" s="25"/>
      <c r="S8" s="25"/>
      <c r="T8" s="25"/>
      <c r="U8" s="25"/>
      <c r="V8" s="25"/>
      <c r="W8" s="25"/>
      <c r="X8" s="25"/>
      <c r="Y8" s="25"/>
      <c r="Z8" s="25"/>
      <c r="AA8" s="25"/>
      <c r="AB8" s="83"/>
      <c r="AC8" s="25"/>
      <c r="AD8" s="25"/>
      <c r="AE8" s="25"/>
      <c r="AF8" s="25"/>
      <c r="AG8" s="83"/>
      <c r="AH8" s="25"/>
      <c r="AI8" s="25"/>
      <c r="AJ8" s="25"/>
      <c r="AK8" s="25"/>
      <c r="AL8" s="83"/>
    </row>
    <row r="9" spans="1:56" ht="14.45" customHeight="1" x14ac:dyDescent="0.25">
      <c r="B9" s="444" t="s">
        <v>337</v>
      </c>
      <c r="C9" s="445" t="str">
        <f>TEXT(C333,"$0")&amp;" to "&amp;TEXT(C332,"$0")</f>
        <v>$69 to $95</v>
      </c>
      <c r="D9" s="96"/>
      <c r="E9" s="190"/>
      <c r="F9" s="87"/>
      <c r="G9" s="87"/>
      <c r="H9" s="35"/>
      <c r="I9" s="87"/>
      <c r="J9" s="87"/>
      <c r="K9" s="35"/>
      <c r="L9" s="87"/>
      <c r="M9" s="45"/>
      <c r="N9" s="45"/>
      <c r="O9" s="45"/>
      <c r="P9" s="45"/>
      <c r="Q9" s="87"/>
      <c r="R9" s="189"/>
      <c r="S9" s="45"/>
      <c r="T9" s="45"/>
      <c r="U9" s="45"/>
      <c r="V9" s="87"/>
      <c r="W9" s="45"/>
      <c r="X9" s="45"/>
      <c r="Y9" s="45"/>
      <c r="Z9" s="45"/>
      <c r="AA9" s="45"/>
      <c r="AB9" s="191"/>
      <c r="AC9" s="45"/>
      <c r="AD9" s="45"/>
      <c r="AE9" s="45"/>
      <c r="AF9" s="45"/>
      <c r="AG9" s="191"/>
      <c r="AH9" s="45"/>
      <c r="AI9" s="45"/>
      <c r="AJ9" s="45"/>
      <c r="AK9" s="45"/>
      <c r="AL9" s="191"/>
    </row>
    <row r="10" spans="1:56" ht="15" customHeight="1" x14ac:dyDescent="0.25">
      <c r="B10" s="165" t="s">
        <v>37</v>
      </c>
      <c r="D10" s="93"/>
      <c r="E10" s="291"/>
      <c r="F10" s="291"/>
      <c r="G10" s="7"/>
      <c r="H10" s="291"/>
      <c r="I10" s="291"/>
      <c r="J10" s="291"/>
      <c r="K10" s="291"/>
      <c r="L10" s="291"/>
      <c r="M10" s="438" t="s">
        <v>327</v>
      </c>
      <c r="N10" s="437">
        <f>N27+N20</f>
        <v>1422.1910655918964</v>
      </c>
      <c r="O10" s="437">
        <f t="shared" ref="O10:V10" si="2">O27+O20</f>
        <v>1419.8752706507266</v>
      </c>
      <c r="P10" s="437">
        <f t="shared" si="2"/>
        <v>1530.9422408943205</v>
      </c>
      <c r="Q10" s="437">
        <f t="shared" si="2"/>
        <v>1538.9883784372321</v>
      </c>
      <c r="R10" s="437">
        <f>SUM(N10:Q10)</f>
        <v>5911.9969555741754</v>
      </c>
      <c r="S10" s="437">
        <f>S27+S20</f>
        <v>1395.9507692189384</v>
      </c>
      <c r="T10" s="437">
        <f t="shared" si="2"/>
        <v>1513.8661298445247</v>
      </c>
      <c r="U10" s="437">
        <f t="shared" si="2"/>
        <v>1649.9577184251457</v>
      </c>
      <c r="V10" s="437">
        <f t="shared" si="2"/>
        <v>1750.9011478340997</v>
      </c>
      <c r="W10" s="437">
        <f>SUM(S10:V10)</f>
        <v>6310.6757653227087</v>
      </c>
      <c r="X10" s="437">
        <f>X27+X20</f>
        <v>1811.4834992850649</v>
      </c>
      <c r="Y10" s="437">
        <f t="shared" ref="Y10:AA10" si="3">Y27+Y20</f>
        <v>1580.6488640637851</v>
      </c>
      <c r="Z10" s="437">
        <f t="shared" si="3"/>
        <v>1726.8484904114023</v>
      </c>
      <c r="AA10" s="437">
        <f t="shared" si="3"/>
        <v>1827.3980534726445</v>
      </c>
      <c r="AB10" s="437">
        <f>SUM(X10:AA10)</f>
        <v>6946.3789072328964</v>
      </c>
      <c r="AC10" s="437">
        <f>AC27+AC20</f>
        <v>1904.3200290218447</v>
      </c>
      <c r="AD10" s="437">
        <f t="shared" ref="AD10:AF10" si="4">AD27+AD20</f>
        <v>1661.7092941316541</v>
      </c>
      <c r="AE10" s="437">
        <f t="shared" si="4"/>
        <v>1838.4271107985446</v>
      </c>
      <c r="AF10" s="437">
        <f t="shared" si="4"/>
        <v>1932.7530677655641</v>
      </c>
      <c r="AG10" s="437">
        <f>SUM(AC10:AF10)</f>
        <v>7337.209501717608</v>
      </c>
      <c r="AH10" s="437">
        <f>AH27+AH20</f>
        <v>2016.2405469852235</v>
      </c>
      <c r="AI10" s="437">
        <f t="shared" ref="AI10:AK10" si="5">AI27+AI20</f>
        <v>1747.0360566045306</v>
      </c>
      <c r="AJ10" s="437">
        <f t="shared" si="5"/>
        <v>1945.7176862655069</v>
      </c>
      <c r="AK10" s="437">
        <f t="shared" si="5"/>
        <v>2050.3103507211044</v>
      </c>
      <c r="AL10" s="437">
        <f>SUM(AH10:AK10)</f>
        <v>7759.3046405763653</v>
      </c>
    </row>
    <row r="11" spans="1:56" ht="15.75" x14ac:dyDescent="0.25">
      <c r="A11" s="454"/>
      <c r="B11" s="448" t="s">
        <v>69</v>
      </c>
      <c r="C11" s="467"/>
      <c r="D11" s="22" t="s">
        <v>59</v>
      </c>
      <c r="E11" s="22" t="s">
        <v>212</v>
      </c>
      <c r="F11" s="22" t="s">
        <v>214</v>
      </c>
      <c r="G11" s="22" t="s">
        <v>73</v>
      </c>
      <c r="H11" s="76" t="s">
        <v>73</v>
      </c>
      <c r="I11" s="22" t="s">
        <v>74</v>
      </c>
      <c r="J11" s="22" t="s">
        <v>75</v>
      </c>
      <c r="K11" s="22" t="s">
        <v>76</v>
      </c>
      <c r="L11" s="24" t="s">
        <v>77</v>
      </c>
      <c r="M11" s="78" t="s">
        <v>77</v>
      </c>
      <c r="N11" s="24" t="s">
        <v>78</v>
      </c>
      <c r="O11" s="24" t="s">
        <v>79</v>
      </c>
      <c r="P11" s="24" t="s">
        <v>80</v>
      </c>
      <c r="Q11" s="24" t="s">
        <v>81</v>
      </c>
      <c r="R11" s="78" t="s">
        <v>81</v>
      </c>
      <c r="S11" s="24" t="s">
        <v>82</v>
      </c>
      <c r="T11" s="24" t="s">
        <v>83</v>
      </c>
      <c r="U11" s="24" t="s">
        <v>84</v>
      </c>
      <c r="V11" s="24" t="s">
        <v>85</v>
      </c>
      <c r="W11" s="78" t="s">
        <v>85</v>
      </c>
      <c r="X11" s="24" t="s">
        <v>86</v>
      </c>
      <c r="Y11" s="24" t="s">
        <v>87</v>
      </c>
      <c r="Z11" s="24" t="s">
        <v>88</v>
      </c>
      <c r="AA11" s="24" t="s">
        <v>89</v>
      </c>
      <c r="AB11" s="78" t="s">
        <v>89</v>
      </c>
      <c r="AC11" s="24" t="s">
        <v>216</v>
      </c>
      <c r="AD11" s="24" t="s">
        <v>217</v>
      </c>
      <c r="AE11" s="24" t="s">
        <v>218</v>
      </c>
      <c r="AF11" s="24" t="s">
        <v>219</v>
      </c>
      <c r="AG11" s="78" t="s">
        <v>219</v>
      </c>
      <c r="AH11" s="24" t="s">
        <v>249</v>
      </c>
      <c r="AI11" s="24" t="s">
        <v>250</v>
      </c>
      <c r="AJ11" s="24" t="s">
        <v>251</v>
      </c>
      <c r="AK11" s="24" t="s">
        <v>252</v>
      </c>
      <c r="AL11" s="78" t="s">
        <v>252</v>
      </c>
    </row>
    <row r="12" spans="1:56" ht="15" customHeight="1" x14ac:dyDescent="0.4">
      <c r="A12" s="454"/>
      <c r="B12" s="463" t="s">
        <v>3</v>
      </c>
      <c r="C12" s="464"/>
      <c r="D12" s="23" t="s">
        <v>72</v>
      </c>
      <c r="E12" s="23" t="s">
        <v>211</v>
      </c>
      <c r="F12" s="23" t="s">
        <v>215</v>
      </c>
      <c r="G12" s="23" t="s">
        <v>225</v>
      </c>
      <c r="H12" s="77" t="s">
        <v>226</v>
      </c>
      <c r="I12" s="23" t="s">
        <v>227</v>
      </c>
      <c r="J12" s="23" t="s">
        <v>228</v>
      </c>
      <c r="K12" s="23" t="s">
        <v>229</v>
      </c>
      <c r="L12" s="21" t="s">
        <v>90</v>
      </c>
      <c r="M12" s="79" t="s">
        <v>91</v>
      </c>
      <c r="N12" s="21" t="s">
        <v>92</v>
      </c>
      <c r="O12" s="21" t="s">
        <v>93</v>
      </c>
      <c r="P12" s="21" t="s">
        <v>94</v>
      </c>
      <c r="Q12" s="21" t="s">
        <v>95</v>
      </c>
      <c r="R12" s="79" t="s">
        <v>96</v>
      </c>
      <c r="S12" s="21" t="s">
        <v>97</v>
      </c>
      <c r="T12" s="21" t="s">
        <v>98</v>
      </c>
      <c r="U12" s="21" t="s">
        <v>99</v>
      </c>
      <c r="V12" s="21" t="s">
        <v>100</v>
      </c>
      <c r="W12" s="79" t="s">
        <v>101</v>
      </c>
      <c r="X12" s="21" t="s">
        <v>102</v>
      </c>
      <c r="Y12" s="21" t="s">
        <v>103</v>
      </c>
      <c r="Z12" s="21" t="s">
        <v>104</v>
      </c>
      <c r="AA12" s="21" t="s">
        <v>105</v>
      </c>
      <c r="AB12" s="79" t="s">
        <v>106</v>
      </c>
      <c r="AC12" s="21" t="s">
        <v>220</v>
      </c>
      <c r="AD12" s="21" t="s">
        <v>221</v>
      </c>
      <c r="AE12" s="21" t="s">
        <v>222</v>
      </c>
      <c r="AF12" s="21" t="s">
        <v>223</v>
      </c>
      <c r="AG12" s="79" t="s">
        <v>224</v>
      </c>
      <c r="AH12" s="21" t="s">
        <v>253</v>
      </c>
      <c r="AI12" s="21" t="s">
        <v>254</v>
      </c>
      <c r="AJ12" s="21" t="s">
        <v>255</v>
      </c>
      <c r="AK12" s="21" t="s">
        <v>256</v>
      </c>
      <c r="AL12" s="79" t="s">
        <v>257</v>
      </c>
    </row>
    <row r="13" spans="1:56" outlineLevel="1" x14ac:dyDescent="0.25">
      <c r="A13" s="166"/>
      <c r="B13" s="509" t="s">
        <v>231</v>
      </c>
      <c r="C13" s="510"/>
      <c r="D13" s="173">
        <v>5370.3</v>
      </c>
      <c r="E13" s="173">
        <v>5159</v>
      </c>
      <c r="F13" s="173">
        <v>5535</v>
      </c>
      <c r="G13" s="173">
        <f>H13-F13-E13-D13</f>
        <v>5480.1000000000013</v>
      </c>
      <c r="H13" s="186">
        <v>21544.400000000001</v>
      </c>
      <c r="I13" s="173">
        <v>5780.7</v>
      </c>
      <c r="J13" s="173">
        <v>4766</v>
      </c>
      <c r="K13" s="173">
        <v>3444.4</v>
      </c>
      <c r="L13" s="173">
        <f>+L56+L89</f>
        <v>4942.1456516006092</v>
      </c>
      <c r="M13" s="186">
        <f>SUM(I13:L13)</f>
        <v>18933.24565160061</v>
      </c>
      <c r="N13" s="173">
        <f>+N56+N89</f>
        <v>5697.8102983742419</v>
      </c>
      <c r="O13" s="173">
        <f>+O56+O89</f>
        <v>5419.7943665942175</v>
      </c>
      <c r="P13" s="173">
        <f>+P56+P89</f>
        <v>5713.9621278305003</v>
      </c>
      <c r="Q13" s="173">
        <f>+Q56+Q89</f>
        <v>5909.6953116665727</v>
      </c>
      <c r="R13" s="186">
        <f>SUM(N13:Q13)</f>
        <v>22741.262104465532</v>
      </c>
      <c r="S13" s="173">
        <f>+S56+S89</f>
        <v>6451.7906706447384</v>
      </c>
      <c r="T13" s="173">
        <f>+T56+T89</f>
        <v>5665.3998925117485</v>
      </c>
      <c r="U13" s="173">
        <f>+U56+U89</f>
        <v>6050.254024404886</v>
      </c>
      <c r="V13" s="173">
        <f>+V56+V89</f>
        <v>6279.6397167346258</v>
      </c>
      <c r="W13" s="186">
        <f>SUM(S13:V13)</f>
        <v>24447.084304296</v>
      </c>
      <c r="X13" s="173">
        <f>+X56+X89</f>
        <v>6768.4874150942996</v>
      </c>
      <c r="Y13" s="173">
        <f>+Y56+Y89</f>
        <v>5923.3851669078831</v>
      </c>
      <c r="Z13" s="173">
        <f>+Z56+Z89</f>
        <v>6380.4584063712655</v>
      </c>
      <c r="AA13" s="173">
        <f>+AA56+AA89</f>
        <v>6569.7670237607617</v>
      </c>
      <c r="AB13" s="186">
        <f>SUM(X13:AA13)</f>
        <v>25642.098012134207</v>
      </c>
      <c r="AC13" s="173">
        <f>+AC56+AC89</f>
        <v>7188.0250286511246</v>
      </c>
      <c r="AD13" s="173">
        <f>+AD56+AD89</f>
        <v>6234.0169167439553</v>
      </c>
      <c r="AE13" s="173">
        <f>+AE56+AE89</f>
        <v>6770.829722261702</v>
      </c>
      <c r="AF13" s="173">
        <f>+AF56+AF89</f>
        <v>6923.2231536563404</v>
      </c>
      <c r="AG13" s="186">
        <f>SUM(AC13:AF13)</f>
        <v>27116.094821313123</v>
      </c>
      <c r="AH13" s="173">
        <f>+AH56+AH89</f>
        <v>7599.8979723087214</v>
      </c>
      <c r="AI13" s="173">
        <f>+AI56+AI89</f>
        <v>6529.2357804491003</v>
      </c>
      <c r="AJ13" s="173">
        <f>+AJ56+AJ89</f>
        <v>7156.5627675260703</v>
      </c>
      <c r="AK13" s="173">
        <f>+AK56+AK89</f>
        <v>7324.613076492109</v>
      </c>
      <c r="AL13" s="186">
        <f>SUM(AH13:AK13)</f>
        <v>28610.309596776002</v>
      </c>
    </row>
    <row r="14" spans="1:56" outlineLevel="1" x14ac:dyDescent="0.25">
      <c r="A14" s="166"/>
      <c r="B14" s="509" t="s">
        <v>232</v>
      </c>
      <c r="C14" s="510"/>
      <c r="D14" s="173">
        <v>737.1</v>
      </c>
      <c r="E14" s="173">
        <v>678.2</v>
      </c>
      <c r="F14" s="173">
        <v>725</v>
      </c>
      <c r="G14" s="173">
        <f t="shared" ref="G14:G24" si="6">H14-F14-E14-D14</f>
        <v>734.69999999999993</v>
      </c>
      <c r="H14" s="186">
        <v>2875</v>
      </c>
      <c r="I14" s="173">
        <v>792</v>
      </c>
      <c r="J14" s="173">
        <v>689.8</v>
      </c>
      <c r="K14" s="173">
        <v>300.5</v>
      </c>
      <c r="L14" s="173">
        <f>+L63+L96</f>
        <v>648.22749999999996</v>
      </c>
      <c r="M14" s="186">
        <f>SUM(I14:L14)</f>
        <v>2430.5275000000001</v>
      </c>
      <c r="N14" s="173">
        <f t="shared" ref="N14:AK14" si="7">+N63+N96</f>
        <v>793.23237500000005</v>
      </c>
      <c r="O14" s="173">
        <f t="shared" si="7"/>
        <v>768.4665</v>
      </c>
      <c r="P14" s="173">
        <f t="shared" si="7"/>
        <v>802.27986718750003</v>
      </c>
      <c r="Q14" s="173">
        <f>+Q63+Q96</f>
        <v>774.77076562499997</v>
      </c>
      <c r="R14" s="186">
        <f>SUM(N14:Q14)</f>
        <v>3138.7495078124998</v>
      </c>
      <c r="S14" s="173">
        <f t="shared" si="7"/>
        <v>834.60557446289067</v>
      </c>
      <c r="T14" s="173">
        <f t="shared" si="7"/>
        <v>809.23088355468747</v>
      </c>
      <c r="U14" s="173">
        <f t="shared" si="7"/>
        <v>844.21218992980948</v>
      </c>
      <c r="V14" s="173">
        <f t="shared" si="7"/>
        <v>815.63755142944342</v>
      </c>
      <c r="W14" s="186">
        <f>SUM(S14:V14)</f>
        <v>3303.6861993768307</v>
      </c>
      <c r="X14" s="173">
        <f t="shared" si="7"/>
        <v>877.63569917301879</v>
      </c>
      <c r="Y14" s="173">
        <f t="shared" si="7"/>
        <v>851.42787699575501</v>
      </c>
      <c r="Z14" s="173">
        <f t="shared" si="7"/>
        <v>887.52872436060989</v>
      </c>
      <c r="AA14" s="173">
        <f t="shared" si="7"/>
        <v>857.9343903490045</v>
      </c>
      <c r="AB14" s="186">
        <f>SUM(X14:AA14)</f>
        <v>3474.5266908783879</v>
      </c>
      <c r="AC14" s="173">
        <f t="shared" si="7"/>
        <v>923.21810450203634</v>
      </c>
      <c r="AD14" s="173">
        <f t="shared" si="7"/>
        <v>898.95254441959446</v>
      </c>
      <c r="AE14" s="173">
        <f t="shared" si="7"/>
        <v>936.55932519586304</v>
      </c>
      <c r="AF14" s="173">
        <f t="shared" si="7"/>
        <v>907.56683075788396</v>
      </c>
      <c r="AG14" s="186">
        <f>SUM(AC14:AF14)</f>
        <v>3666.2968048753778</v>
      </c>
      <c r="AH14" s="173">
        <f t="shared" si="7"/>
        <v>977.97388681975144</v>
      </c>
      <c r="AI14" s="173">
        <f t="shared" si="7"/>
        <v>952.07587532424157</v>
      </c>
      <c r="AJ14" s="173">
        <f t="shared" si="7"/>
        <v>991.58341282864058</v>
      </c>
      <c r="AK14" s="173">
        <f t="shared" si="7"/>
        <v>960.86184502439437</v>
      </c>
      <c r="AL14" s="186">
        <f>SUM(AH14:AK14)</f>
        <v>3882.4950199970281</v>
      </c>
    </row>
    <row r="15" spans="1:56" ht="17.25" outlineLevel="1" x14ac:dyDescent="0.4">
      <c r="A15" s="166"/>
      <c r="B15" s="509" t="s">
        <v>233</v>
      </c>
      <c r="C15" s="510"/>
      <c r="D15" s="172">
        <v>525.29999999999995</v>
      </c>
      <c r="E15" s="172">
        <v>468.7</v>
      </c>
      <c r="F15" s="172">
        <v>563</v>
      </c>
      <c r="G15" s="172">
        <f t="shared" si="6"/>
        <v>532.19999999999982</v>
      </c>
      <c r="H15" s="197">
        <v>2089.1999999999998</v>
      </c>
      <c r="I15" s="172">
        <v>524.4</v>
      </c>
      <c r="J15" s="172">
        <v>539.9</v>
      </c>
      <c r="K15" s="172">
        <v>477.2</v>
      </c>
      <c r="L15" s="172">
        <f>+L64+L97+L115+L129</f>
        <v>470.36200000000002</v>
      </c>
      <c r="M15" s="197">
        <f>SUM(I15:L15)</f>
        <v>2011.8620000000001</v>
      </c>
      <c r="N15" s="172">
        <f t="shared" ref="N15:AK15" si="8">+N64+N97+N115+N129</f>
        <v>604.54</v>
      </c>
      <c r="O15" s="172">
        <f t="shared" si="8"/>
        <v>593.81900000000007</v>
      </c>
      <c r="P15" s="172">
        <f t="shared" si="8"/>
        <v>512.673</v>
      </c>
      <c r="Q15" s="172">
        <f t="shared" si="8"/>
        <v>500.73135000000002</v>
      </c>
      <c r="R15" s="197">
        <f>SUM(N15:Q15)</f>
        <v>2211.7633500000002</v>
      </c>
      <c r="S15" s="172">
        <f t="shared" si="8"/>
        <v>638.02200000000005</v>
      </c>
      <c r="T15" s="172">
        <f t="shared" si="8"/>
        <v>626.58995000000016</v>
      </c>
      <c r="U15" s="172">
        <f t="shared" si="8"/>
        <v>541.87665000000004</v>
      </c>
      <c r="V15" s="172">
        <f t="shared" si="8"/>
        <v>530.33541750000006</v>
      </c>
      <c r="W15" s="197">
        <f>SUM(S15:V15)</f>
        <v>2336.8240175000001</v>
      </c>
      <c r="X15" s="172">
        <f t="shared" si="8"/>
        <v>670.94028750000007</v>
      </c>
      <c r="Y15" s="172">
        <f t="shared" si="8"/>
        <v>658.88194750000002</v>
      </c>
      <c r="Z15" s="172">
        <f t="shared" si="8"/>
        <v>570.08610750000014</v>
      </c>
      <c r="AA15" s="172">
        <f t="shared" si="8"/>
        <v>558.27953212500006</v>
      </c>
      <c r="AB15" s="197">
        <f>SUM(X15:AA15)</f>
        <v>2458.1878746250004</v>
      </c>
      <c r="AC15" s="172">
        <f t="shared" si="8"/>
        <v>705.60620812500008</v>
      </c>
      <c r="AD15" s="172">
        <f t="shared" si="8"/>
        <v>692.88479487500024</v>
      </c>
      <c r="AE15" s="172">
        <f t="shared" si="8"/>
        <v>599.8176003750001</v>
      </c>
      <c r="AF15" s="172">
        <f t="shared" si="8"/>
        <v>587.76358685625007</v>
      </c>
      <c r="AG15" s="197">
        <f>SUM(AC15:AF15)</f>
        <v>2586.0721902312507</v>
      </c>
      <c r="AH15" s="172">
        <f t="shared" si="8"/>
        <v>742.11731540625021</v>
      </c>
      <c r="AI15" s="172">
        <f t="shared" si="8"/>
        <v>728.6936596187503</v>
      </c>
      <c r="AJ15" s="172">
        <f t="shared" si="8"/>
        <v>631.15838664375008</v>
      </c>
      <c r="AK15" s="172">
        <f t="shared" si="8"/>
        <v>618.87885213656261</v>
      </c>
      <c r="AL15" s="197">
        <f>SUM(AH15:AK15)</f>
        <v>2720.8482138053132</v>
      </c>
    </row>
    <row r="16" spans="1:56" s="13" customFormat="1" ht="15.95" customHeight="1" x14ac:dyDescent="0.25">
      <c r="A16" s="181"/>
      <c r="B16" s="505" t="s">
        <v>234</v>
      </c>
      <c r="C16" s="506"/>
      <c r="D16" s="171">
        <f t="shared" ref="D16:AL16" si="9">SUM(D13:D15)</f>
        <v>6632.7000000000007</v>
      </c>
      <c r="E16" s="171">
        <f t="shared" si="9"/>
        <v>6305.9</v>
      </c>
      <c r="F16" s="171">
        <f t="shared" si="9"/>
        <v>6823</v>
      </c>
      <c r="G16" s="171">
        <f t="shared" si="9"/>
        <v>6747.0000000000009</v>
      </c>
      <c r="H16" s="187">
        <f t="shared" si="9"/>
        <v>26508.600000000002</v>
      </c>
      <c r="I16" s="171">
        <f t="shared" si="9"/>
        <v>7097.0999999999995</v>
      </c>
      <c r="J16" s="171">
        <f t="shared" si="9"/>
        <v>5995.7</v>
      </c>
      <c r="K16" s="171">
        <f t="shared" si="9"/>
        <v>4222.1000000000004</v>
      </c>
      <c r="L16" s="171">
        <f t="shared" si="9"/>
        <v>6060.7351516006092</v>
      </c>
      <c r="M16" s="171">
        <f t="shared" si="9"/>
        <v>23375.635151600611</v>
      </c>
      <c r="N16" s="171">
        <f t="shared" si="9"/>
        <v>7095.5826733742424</v>
      </c>
      <c r="O16" s="171">
        <f t="shared" si="9"/>
        <v>6782.0798665942175</v>
      </c>
      <c r="P16" s="171">
        <f t="shared" si="9"/>
        <v>7028.9149950179999</v>
      </c>
      <c r="Q16" s="171">
        <f t="shared" si="9"/>
        <v>7185.1974272915722</v>
      </c>
      <c r="R16" s="171">
        <f t="shared" si="9"/>
        <v>28091.774962278032</v>
      </c>
      <c r="S16" s="171">
        <f t="shared" si="9"/>
        <v>7924.4182451076294</v>
      </c>
      <c r="T16" s="171">
        <f t="shared" si="9"/>
        <v>7101.2207260664363</v>
      </c>
      <c r="U16" s="171">
        <f t="shared" si="9"/>
        <v>7436.3428643346961</v>
      </c>
      <c r="V16" s="171">
        <f t="shared" si="9"/>
        <v>7625.6126856640694</v>
      </c>
      <c r="W16" s="171">
        <f t="shared" si="9"/>
        <v>30087.594521172829</v>
      </c>
      <c r="X16" s="171">
        <f t="shared" si="9"/>
        <v>8317.0634017673183</v>
      </c>
      <c r="Y16" s="171">
        <f t="shared" si="9"/>
        <v>7433.6949914036377</v>
      </c>
      <c r="Z16" s="171">
        <f t="shared" si="9"/>
        <v>7838.0732382318756</v>
      </c>
      <c r="AA16" s="171">
        <f t="shared" si="9"/>
        <v>7985.9809462347657</v>
      </c>
      <c r="AB16" s="171">
        <f t="shared" si="9"/>
        <v>31574.812577637596</v>
      </c>
      <c r="AC16" s="171">
        <f t="shared" si="9"/>
        <v>8816.8493412781609</v>
      </c>
      <c r="AD16" s="171">
        <f t="shared" si="9"/>
        <v>7825.8542560385495</v>
      </c>
      <c r="AE16" s="171">
        <f t="shared" si="9"/>
        <v>8307.2066478325651</v>
      </c>
      <c r="AF16" s="171">
        <f t="shared" si="9"/>
        <v>8418.553571270475</v>
      </c>
      <c r="AG16" s="171">
        <f t="shared" si="9"/>
        <v>33368.463816419753</v>
      </c>
      <c r="AH16" s="171">
        <f t="shared" si="9"/>
        <v>9319.9891745347231</v>
      </c>
      <c r="AI16" s="171">
        <f t="shared" si="9"/>
        <v>8210.0053153920926</v>
      </c>
      <c r="AJ16" s="171">
        <f t="shared" si="9"/>
        <v>8779.3045669984604</v>
      </c>
      <c r="AK16" s="171">
        <f t="shared" si="9"/>
        <v>8904.3537736530652</v>
      </c>
      <c r="AL16" s="171">
        <f t="shared" si="9"/>
        <v>35213.652830578343</v>
      </c>
    </row>
    <row r="17" spans="1:38" ht="18" customHeight="1" outlineLevel="1" x14ac:dyDescent="0.25">
      <c r="A17" s="166"/>
      <c r="B17" s="511" t="s">
        <v>230</v>
      </c>
      <c r="C17" s="512"/>
      <c r="D17" s="173">
        <v>2175.8000000000002</v>
      </c>
      <c r="E17" s="173">
        <v>2012</v>
      </c>
      <c r="F17" s="173">
        <v>2199.6</v>
      </c>
      <c r="G17" s="173">
        <f t="shared" si="6"/>
        <v>2139.4999999999991</v>
      </c>
      <c r="H17" s="186">
        <v>8526.9</v>
      </c>
      <c r="I17" s="173">
        <v>2236.4</v>
      </c>
      <c r="J17" s="173">
        <v>1997.7</v>
      </c>
      <c r="K17" s="173">
        <v>1484</v>
      </c>
      <c r="L17" s="173">
        <f>+L69+L102+L117+L131</f>
        <v>1685.0100219998621</v>
      </c>
      <c r="M17" s="186">
        <f t="shared" ref="M17:M27" si="10">SUM(I17:L17)</f>
        <v>7403.1100219998625</v>
      </c>
      <c r="N17" s="173">
        <f>+N69+N102+N117+N131</f>
        <v>1876.0482038375064</v>
      </c>
      <c r="O17" s="173">
        <f>+O69+O102+O117+O131</f>
        <v>1761.0689885507757</v>
      </c>
      <c r="P17" s="173">
        <f>+P69+P102+P117+P131</f>
        <v>1781.7698731284993</v>
      </c>
      <c r="Q17" s="173">
        <f>+Q69+Q102+Q117+Q131</f>
        <v>1796.2700820770917</v>
      </c>
      <c r="R17" s="186">
        <f t="shared" ref="R17:R22" si="11">SUM(N17:Q17)</f>
        <v>7215.1571475938727</v>
      </c>
      <c r="S17" s="173">
        <f>+S69+S102+S117+S131</f>
        <v>2044.475175515051</v>
      </c>
      <c r="T17" s="173">
        <f>+T69+T102+T117+T131</f>
        <v>1844.0588657287144</v>
      </c>
      <c r="U17" s="173">
        <f>+U69+U102+U117+U131</f>
        <v>1883.9424368842726</v>
      </c>
      <c r="V17" s="173">
        <f>+V69+V102+V117+V131</f>
        <v>1903.5915661556908</v>
      </c>
      <c r="W17" s="186">
        <f t="shared" ref="W17:W22" si="12">SUM(S17:V17)</f>
        <v>7676.0680442837293</v>
      </c>
      <c r="X17" s="173">
        <f>+X69+X102+X117+X131</f>
        <v>2146.9585452775104</v>
      </c>
      <c r="Y17" s="173">
        <f>+Y69+Y102+Y117+Y131</f>
        <v>1934.6373726421155</v>
      </c>
      <c r="Z17" s="173">
        <f>+Z69+Z102+Z117+Z131</f>
        <v>1988.001302726806</v>
      </c>
      <c r="AA17" s="173">
        <f>+AA69+AA102+AA117+AA131</f>
        <v>1997.867355405592</v>
      </c>
      <c r="AB17" s="186">
        <f t="shared" ref="AB17:AB22" si="13">SUM(X17:AA17)</f>
        <v>8067.4645760520243</v>
      </c>
      <c r="AC17" s="173">
        <f>+AC69+AC102+AC117+AC131</f>
        <v>2280.7270119602108</v>
      </c>
      <c r="AD17" s="173">
        <f>+AD69+AD102+AD117+AD131</f>
        <v>2039.6890474328693</v>
      </c>
      <c r="AE17" s="173">
        <f>+AE69+AE102+AE117+AE131</f>
        <v>2105.1735002577998</v>
      </c>
      <c r="AF17" s="173">
        <f>+AF69+AF102+AF117+AF131</f>
        <v>2106.3798392338958</v>
      </c>
      <c r="AG17" s="186">
        <f t="shared" ref="AG17:AG22" si="14">SUM(AC17:AF17)</f>
        <v>8531.9693988847757</v>
      </c>
      <c r="AH17" s="173">
        <f>+AH69+AH102+AH117+AH131</f>
        <v>2412.2129303913421</v>
      </c>
      <c r="AI17" s="173">
        <f>+AI69+AI102+AI117+AI131</f>
        <v>2142.6824360776136</v>
      </c>
      <c r="AJ17" s="173">
        <f>+AJ69+AJ102+AJ117+AJ131</f>
        <v>2226.3145022072222</v>
      </c>
      <c r="AK17" s="173">
        <f>+AK69+AK102+AK117+AK131</f>
        <v>2228.9912359169348</v>
      </c>
      <c r="AL17" s="186">
        <f t="shared" ref="AL17:AL22" si="15">SUM(AH17:AK17)</f>
        <v>9010.201104593114</v>
      </c>
    </row>
    <row r="18" spans="1:38" ht="18.95" customHeight="1" outlineLevel="1" x14ac:dyDescent="0.25">
      <c r="A18" s="166"/>
      <c r="B18" s="255" t="s">
        <v>107</v>
      </c>
      <c r="C18" s="256"/>
      <c r="D18" s="173">
        <v>2586.8000000000002</v>
      </c>
      <c r="E18" s="173">
        <v>2554.1</v>
      </c>
      <c r="F18" s="173">
        <v>2643.2</v>
      </c>
      <c r="G18" s="173">
        <f t="shared" si="6"/>
        <v>2709.5000000000009</v>
      </c>
      <c r="H18" s="186">
        <v>10493.6</v>
      </c>
      <c r="I18" s="173">
        <v>2821.5</v>
      </c>
      <c r="J18" s="173">
        <v>2721.4</v>
      </c>
      <c r="K18" s="173">
        <v>2537.8000000000002</v>
      </c>
      <c r="L18" s="173">
        <f>+L70+L103</f>
        <v>2994.8894560362505</v>
      </c>
      <c r="M18" s="186">
        <f t="shared" si="10"/>
        <v>11075.58945603625</v>
      </c>
      <c r="N18" s="173">
        <f>+N70+N103</f>
        <v>3232.2040619561772</v>
      </c>
      <c r="O18" s="173">
        <f>+O70+O103</f>
        <v>3070.0039243996521</v>
      </c>
      <c r="P18" s="173">
        <f>+P70+P103</f>
        <v>3167.998190483414</v>
      </c>
      <c r="Q18" s="173">
        <f>+Q70+Q103</f>
        <v>3211.6775214547183</v>
      </c>
      <c r="R18" s="186">
        <f t="shared" si="11"/>
        <v>12681.883698293961</v>
      </c>
      <c r="S18" s="173">
        <f>+S70+S103</f>
        <v>3561.9429174999732</v>
      </c>
      <c r="T18" s="173">
        <f>+T70+T103</f>
        <v>3198.4261922694777</v>
      </c>
      <c r="U18" s="173">
        <f>+U70+U103</f>
        <v>3346.7107932414219</v>
      </c>
      <c r="V18" s="173">
        <f>+V70+V103</f>
        <v>3404.962981230201</v>
      </c>
      <c r="W18" s="186">
        <f t="shared" si="12"/>
        <v>13512.042884241073</v>
      </c>
      <c r="X18" s="173">
        <f>+X70+X103</f>
        <v>3725.5042830656471</v>
      </c>
      <c r="Y18" s="173">
        <f>+Y70+Y103</f>
        <v>3346.8223724982904</v>
      </c>
      <c r="Z18" s="173">
        <f>+Z70+Z103</f>
        <v>3529.6714733736071</v>
      </c>
      <c r="AA18" s="173">
        <f>+AA70+AA103</f>
        <v>3564.5898276353582</v>
      </c>
      <c r="AB18" s="186">
        <f t="shared" si="13"/>
        <v>14166.587956572903</v>
      </c>
      <c r="AC18" s="173">
        <f>+AC70+AC103</f>
        <v>3966.8066808259446</v>
      </c>
      <c r="AD18" s="173">
        <f>+AD70+AD103</f>
        <v>3529.3426850032438</v>
      </c>
      <c r="AE18" s="173">
        <f>+AE70+AE103</f>
        <v>3742.2576872643726</v>
      </c>
      <c r="AF18" s="173">
        <f>+AF70+AF103</f>
        <v>3755.7127177148209</v>
      </c>
      <c r="AG18" s="186">
        <f t="shared" si="14"/>
        <v>14994.119770808382</v>
      </c>
      <c r="AH18" s="173">
        <f>+AH70+AH103</f>
        <v>4191.102501169581</v>
      </c>
      <c r="AI18" s="173">
        <f>+AI70+AI103</f>
        <v>3697.3030309416404</v>
      </c>
      <c r="AJ18" s="173">
        <f>+AJ70+AJ103</f>
        <v>3952.9515149410645</v>
      </c>
      <c r="AK18" s="173">
        <f>+AK70+AK103</f>
        <v>3969.083807693888</v>
      </c>
      <c r="AL18" s="186">
        <f t="shared" si="15"/>
        <v>15810.440854746175</v>
      </c>
    </row>
    <row r="19" spans="1:38" outlineLevel="1" x14ac:dyDescent="0.25">
      <c r="A19" s="166"/>
      <c r="B19" s="255" t="s">
        <v>108</v>
      </c>
      <c r="C19" s="256"/>
      <c r="D19" s="173">
        <v>97.6</v>
      </c>
      <c r="E19" s="173">
        <v>87.1</v>
      </c>
      <c r="F19" s="173">
        <v>94.4</v>
      </c>
      <c r="G19" s="173">
        <f t="shared" si="6"/>
        <v>91.900000000000034</v>
      </c>
      <c r="H19" s="186">
        <v>371</v>
      </c>
      <c r="I19" s="173">
        <v>101.8</v>
      </c>
      <c r="J19" s="173">
        <v>95</v>
      </c>
      <c r="K19" s="173">
        <v>133.6</v>
      </c>
      <c r="L19" s="173">
        <f>+L71+L104+L118+L132</f>
        <v>145.42355199692861</v>
      </c>
      <c r="M19" s="186">
        <f t="shared" si="10"/>
        <v>475.82355199692859</v>
      </c>
      <c r="N19" s="173">
        <f t="shared" ref="N19:Q22" si="16">+N71+N104+N118+N132</f>
        <v>165.87126217342112</v>
      </c>
      <c r="O19" s="173">
        <f t="shared" si="16"/>
        <v>153.40229681027239</v>
      </c>
      <c r="P19" s="173">
        <f t="shared" si="16"/>
        <v>153.1141291231084</v>
      </c>
      <c r="Q19" s="173">
        <f t="shared" si="16"/>
        <v>153.72827149676783</v>
      </c>
      <c r="R19" s="186">
        <f t="shared" si="11"/>
        <v>626.11595960356976</v>
      </c>
      <c r="S19" s="173">
        <f>+S71+S104+S117+S132</f>
        <v>492.26749496048882</v>
      </c>
      <c r="T19" s="173">
        <f t="shared" ref="T19:V22" si="17">+T71+T104+T118+T132</f>
        <v>161.34305895529621</v>
      </c>
      <c r="U19" s="173">
        <f t="shared" si="17"/>
        <v>162.1815405002051</v>
      </c>
      <c r="V19" s="173">
        <f t="shared" si="17"/>
        <v>162.87443517909543</v>
      </c>
      <c r="W19" s="186">
        <f t="shared" si="12"/>
        <v>978.66652959508542</v>
      </c>
      <c r="X19" s="173">
        <f t="shared" ref="X19:AA22" si="18">+X71+X104+X118+X132</f>
        <v>188.93699765704903</v>
      </c>
      <c r="Y19" s="173">
        <f t="shared" si="18"/>
        <v>169.70858448804037</v>
      </c>
      <c r="Z19" s="173">
        <f t="shared" si="18"/>
        <v>171.28657520029202</v>
      </c>
      <c r="AA19" s="173">
        <f t="shared" si="18"/>
        <v>171.42323617387015</v>
      </c>
      <c r="AB19" s="186">
        <f t="shared" si="13"/>
        <v>701.35539351925161</v>
      </c>
      <c r="AC19" s="173">
        <f t="shared" ref="AC19:AF22" si="19">+AC71+AC104+AC118+AC132</f>
        <v>200.3093106948366</v>
      </c>
      <c r="AD19" s="173">
        <f t="shared" si="19"/>
        <v>178.90262252694956</v>
      </c>
      <c r="AE19" s="173">
        <f t="shared" si="19"/>
        <v>181.19096120962695</v>
      </c>
      <c r="AF19" s="173">
        <f t="shared" si="19"/>
        <v>180.89386694625483</v>
      </c>
      <c r="AG19" s="186">
        <f t="shared" si="14"/>
        <v>741.29676137766796</v>
      </c>
      <c r="AH19" s="173">
        <f t="shared" ref="AH19:AK22" si="20">+AH71+AH104+AH118+AH132</f>
        <v>212.18131765134405</v>
      </c>
      <c r="AI19" s="173">
        <f t="shared" si="20"/>
        <v>188.5036622767455</v>
      </c>
      <c r="AJ19" s="173">
        <f t="shared" si="20"/>
        <v>191.94075922748439</v>
      </c>
      <c r="AK19" s="173">
        <f t="shared" si="20"/>
        <v>191.78575578018362</v>
      </c>
      <c r="AL19" s="186">
        <f t="shared" si="15"/>
        <v>784.41149493575756</v>
      </c>
    </row>
    <row r="20" spans="1:38" outlineLevel="1" x14ac:dyDescent="0.25">
      <c r="A20" s="166"/>
      <c r="B20" s="255" t="s">
        <v>109</v>
      </c>
      <c r="C20" s="256"/>
      <c r="D20" s="173">
        <v>333.4</v>
      </c>
      <c r="E20" s="173">
        <v>356.2</v>
      </c>
      <c r="F20" s="173">
        <v>343.1</v>
      </c>
      <c r="G20" s="173">
        <f t="shared" si="6"/>
        <v>344.5999999999998</v>
      </c>
      <c r="H20" s="186">
        <v>1377.3</v>
      </c>
      <c r="I20" s="173">
        <v>351</v>
      </c>
      <c r="J20" s="173">
        <v>356.3</v>
      </c>
      <c r="K20" s="173">
        <v>361</v>
      </c>
      <c r="L20" s="173">
        <f>+L72+L105+L119+L133</f>
        <v>374.38234431425735</v>
      </c>
      <c r="M20" s="186">
        <f t="shared" si="10"/>
        <v>1442.6823443142573</v>
      </c>
      <c r="N20" s="173">
        <f t="shared" si="16"/>
        <v>373.74377044126743</v>
      </c>
      <c r="O20" s="173">
        <f t="shared" si="16"/>
        <v>376.83554621821582</v>
      </c>
      <c r="P20" s="173">
        <f t="shared" si="16"/>
        <v>378.624872473506</v>
      </c>
      <c r="Q20" s="173">
        <f t="shared" si="16"/>
        <v>381.18850946710654</v>
      </c>
      <c r="R20" s="186">
        <f t="shared" si="11"/>
        <v>1510.3926986000959</v>
      </c>
      <c r="S20" s="173">
        <f>+S72+S105+S119+S133</f>
        <v>384.15731555889414</v>
      </c>
      <c r="T20" s="173">
        <f t="shared" si="17"/>
        <v>389.58714280512851</v>
      </c>
      <c r="U20" s="173">
        <f t="shared" si="17"/>
        <v>391.75687276525747</v>
      </c>
      <c r="V20" s="173">
        <f t="shared" si="17"/>
        <v>394.99330329664031</v>
      </c>
      <c r="W20" s="186">
        <f t="shared" si="12"/>
        <v>1560.4946344259204</v>
      </c>
      <c r="X20" s="173">
        <f t="shared" si="18"/>
        <v>398.7125939708983</v>
      </c>
      <c r="Y20" s="173">
        <f t="shared" si="18"/>
        <v>404.67783096362251</v>
      </c>
      <c r="Z20" s="173">
        <f t="shared" si="18"/>
        <v>407.13643926462015</v>
      </c>
      <c r="AA20" s="173">
        <f t="shared" si="18"/>
        <v>410.89167775539426</v>
      </c>
      <c r="AB20" s="186">
        <f t="shared" si="13"/>
        <v>1621.4185419545352</v>
      </c>
      <c r="AC20" s="173">
        <f t="shared" si="19"/>
        <v>414.9513426833978</v>
      </c>
      <c r="AD20" s="173">
        <f t="shared" si="19"/>
        <v>421.73416038163788</v>
      </c>
      <c r="AE20" s="173">
        <f t="shared" si="19"/>
        <v>424.57771399323377</v>
      </c>
      <c r="AF20" s="173">
        <f t="shared" si="19"/>
        <v>428.96965281760907</v>
      </c>
      <c r="AG20" s="186">
        <f t="shared" si="14"/>
        <v>1690.2328698758786</v>
      </c>
      <c r="AH20" s="173">
        <f t="shared" si="20"/>
        <v>433.4977049561366</v>
      </c>
      <c r="AI20" s="173">
        <f t="shared" si="20"/>
        <v>440.9728426288637</v>
      </c>
      <c r="AJ20" s="173">
        <f t="shared" si="20"/>
        <v>444.04298933548807</v>
      </c>
      <c r="AK20" s="173">
        <f t="shared" si="20"/>
        <v>448.96184412149319</v>
      </c>
      <c r="AL20" s="186">
        <f t="shared" si="15"/>
        <v>1767.4753810419816</v>
      </c>
    </row>
    <row r="21" spans="1:38" ht="17.25" customHeight="1" outlineLevel="1" x14ac:dyDescent="0.25">
      <c r="A21" s="166"/>
      <c r="B21" s="255" t="s">
        <v>213</v>
      </c>
      <c r="C21" s="256"/>
      <c r="D21" s="173">
        <v>448</v>
      </c>
      <c r="E21" s="173">
        <v>458.1</v>
      </c>
      <c r="F21" s="173">
        <v>459.7</v>
      </c>
      <c r="G21" s="173">
        <f t="shared" si="6"/>
        <v>458.29999999999984</v>
      </c>
      <c r="H21" s="186">
        <v>1824.1</v>
      </c>
      <c r="I21" s="173">
        <v>434.2</v>
      </c>
      <c r="J21" s="173">
        <v>406.5</v>
      </c>
      <c r="K21" s="173">
        <v>399.9</v>
      </c>
      <c r="L21" s="173">
        <f>+L73+L106+L120+L134</f>
        <v>436.06414859372342</v>
      </c>
      <c r="M21" s="186">
        <f t="shared" si="10"/>
        <v>1676.6641485937234</v>
      </c>
      <c r="N21" s="173">
        <f t="shared" si="16"/>
        <v>453.04650117280812</v>
      </c>
      <c r="O21" s="173">
        <f t="shared" si="16"/>
        <v>427.43679243655004</v>
      </c>
      <c r="P21" s="173">
        <f t="shared" si="16"/>
        <v>440.81336444909579</v>
      </c>
      <c r="Q21" s="173">
        <f t="shared" si="16"/>
        <v>444.71097574544535</v>
      </c>
      <c r="R21" s="186">
        <f t="shared" si="11"/>
        <v>1766.0076338038994</v>
      </c>
      <c r="S21" s="173">
        <f>+S73+S106+S120+S134</f>
        <v>467.55675986586846</v>
      </c>
      <c r="T21" s="173">
        <f t="shared" si="17"/>
        <v>437.01198266404947</v>
      </c>
      <c r="U21" s="173">
        <f t="shared" si="17"/>
        <v>452.72146494136291</v>
      </c>
      <c r="V21" s="173">
        <f t="shared" si="17"/>
        <v>455.74814059295966</v>
      </c>
      <c r="W21" s="186">
        <f t="shared" si="12"/>
        <v>1813.0383480642404</v>
      </c>
      <c r="X21" s="173">
        <f t="shared" si="18"/>
        <v>478.9144160778925</v>
      </c>
      <c r="Y21" s="173">
        <f t="shared" si="18"/>
        <v>446.36800061184192</v>
      </c>
      <c r="Z21" s="173">
        <f t="shared" si="18"/>
        <v>463.81011345494585</v>
      </c>
      <c r="AA21" s="173">
        <f t="shared" si="18"/>
        <v>465.89722562132874</v>
      </c>
      <c r="AB21" s="186">
        <f t="shared" si="13"/>
        <v>1854.989755766009</v>
      </c>
      <c r="AC21" s="173">
        <f t="shared" si="19"/>
        <v>492.66187955107739</v>
      </c>
      <c r="AD21" s="173">
        <f t="shared" si="19"/>
        <v>456.58234788351575</v>
      </c>
      <c r="AE21" s="173">
        <f t="shared" si="19"/>
        <v>475.87857709763631</v>
      </c>
      <c r="AF21" s="173">
        <f t="shared" si="19"/>
        <v>477.38695376152384</v>
      </c>
      <c r="AG21" s="186">
        <f t="shared" si="14"/>
        <v>1902.5097582937533</v>
      </c>
      <c r="AH21" s="173">
        <f t="shared" si="20"/>
        <v>507.19022124206913</v>
      </c>
      <c r="AI21" s="173">
        <f t="shared" si="20"/>
        <v>467.32108436370055</v>
      </c>
      <c r="AJ21" s="173">
        <f t="shared" si="20"/>
        <v>489.27404653675995</v>
      </c>
      <c r="AK21" s="173">
        <f t="shared" si="20"/>
        <v>491.13373692741953</v>
      </c>
      <c r="AL21" s="186">
        <f t="shared" si="15"/>
        <v>1954.919089069949</v>
      </c>
    </row>
    <row r="22" spans="1:38" ht="17.25" customHeight="1" outlineLevel="1" x14ac:dyDescent="0.4">
      <c r="A22" s="166"/>
      <c r="B22" s="255" t="s">
        <v>118</v>
      </c>
      <c r="C22" s="256"/>
      <c r="D22" s="172">
        <v>43.2</v>
      </c>
      <c r="E22" s="172">
        <v>43</v>
      </c>
      <c r="F22" s="172">
        <v>37.700000000000003</v>
      </c>
      <c r="G22" s="172">
        <f t="shared" si="6"/>
        <v>11.900000000000006</v>
      </c>
      <c r="H22" s="197">
        <v>135.80000000000001</v>
      </c>
      <c r="I22" s="172">
        <v>6.3</v>
      </c>
      <c r="J22" s="172">
        <v>-0.7</v>
      </c>
      <c r="K22" s="172">
        <v>78.099999999999994</v>
      </c>
      <c r="L22" s="172">
        <f>+L74+L107+L121+L135</f>
        <v>129.81860868753242</v>
      </c>
      <c r="M22" s="186">
        <f t="shared" si="10"/>
        <v>213.51860868753241</v>
      </c>
      <c r="N22" s="172">
        <f t="shared" si="16"/>
        <v>140.30032864243273</v>
      </c>
      <c r="O22" s="172">
        <f t="shared" si="16"/>
        <v>141.83509374624043</v>
      </c>
      <c r="P22" s="172">
        <f t="shared" si="16"/>
        <v>143.96426725206223</v>
      </c>
      <c r="Q22" s="172">
        <f t="shared" si="16"/>
        <v>142.68798984257194</v>
      </c>
      <c r="R22" s="186">
        <f t="shared" si="11"/>
        <v>568.78767948330733</v>
      </c>
      <c r="S22" s="172">
        <f>+S74+S107+S121+S135</f>
        <v>155.98546679242781</v>
      </c>
      <c r="T22" s="172">
        <f t="shared" si="17"/>
        <v>146.6281937326691</v>
      </c>
      <c r="U22" s="172">
        <f t="shared" si="17"/>
        <v>148.84748809916849</v>
      </c>
      <c r="V22" s="172">
        <f t="shared" si="17"/>
        <v>150.92696080482622</v>
      </c>
      <c r="W22" s="186">
        <f t="shared" si="12"/>
        <v>602.38810942909163</v>
      </c>
      <c r="X22" s="172">
        <f t="shared" si="18"/>
        <v>161.59862693254016</v>
      </c>
      <c r="Y22" s="172">
        <f t="shared" si="18"/>
        <v>152.12769264721871</v>
      </c>
      <c r="Z22" s="172">
        <f t="shared" si="18"/>
        <v>155.6313389874492</v>
      </c>
      <c r="AA22" s="172">
        <f t="shared" si="18"/>
        <v>156.89005484237205</v>
      </c>
      <c r="AB22" s="186">
        <f t="shared" si="13"/>
        <v>626.24771340958011</v>
      </c>
      <c r="AC22" s="172">
        <f t="shared" si="19"/>
        <v>171.2304256608551</v>
      </c>
      <c r="AD22" s="172">
        <f t="shared" si="19"/>
        <v>159.50430992806159</v>
      </c>
      <c r="AE22" s="172">
        <f t="shared" si="19"/>
        <v>164.11105232608111</v>
      </c>
      <c r="AF22" s="172">
        <f t="shared" si="19"/>
        <v>164.23751095300875</v>
      </c>
      <c r="AG22" s="186">
        <f t="shared" si="14"/>
        <v>659.08329886800652</v>
      </c>
      <c r="AH22" s="172">
        <f t="shared" si="20"/>
        <v>179.30791020125494</v>
      </c>
      <c r="AI22" s="172">
        <f t="shared" si="20"/>
        <v>165.64078841830724</v>
      </c>
      <c r="AJ22" s="172">
        <f t="shared" si="20"/>
        <v>171.81885697646888</v>
      </c>
      <c r="AK22" s="172">
        <f t="shared" si="20"/>
        <v>171.95489828686866</v>
      </c>
      <c r="AL22" s="186">
        <f t="shared" si="15"/>
        <v>688.72245388289969</v>
      </c>
    </row>
    <row r="23" spans="1:38" s="31" customFormat="1" ht="17.25" customHeight="1" x14ac:dyDescent="0.4">
      <c r="A23" s="257"/>
      <c r="B23" s="258" t="s">
        <v>34</v>
      </c>
      <c r="C23" s="259"/>
      <c r="D23" s="174">
        <f t="shared" ref="D23:K23" si="21">SUM(D18:D22)+D17</f>
        <v>5684.8</v>
      </c>
      <c r="E23" s="174">
        <f t="shared" si="21"/>
        <v>5510.5</v>
      </c>
      <c r="F23" s="174">
        <f t="shared" si="21"/>
        <v>5777.6999999999989</v>
      </c>
      <c r="G23" s="174">
        <f t="shared" si="21"/>
        <v>5755.7</v>
      </c>
      <c r="H23" s="220">
        <f t="shared" si="21"/>
        <v>22728.699999999997</v>
      </c>
      <c r="I23" s="174">
        <f t="shared" si="21"/>
        <v>5951.2000000000007</v>
      </c>
      <c r="J23" s="174">
        <f t="shared" si="21"/>
        <v>5576.2000000000007</v>
      </c>
      <c r="K23" s="174">
        <f t="shared" si="21"/>
        <v>4994.3999999999996</v>
      </c>
      <c r="L23" s="174">
        <f>SUM(L17:L22)</f>
        <v>5765.588131628554</v>
      </c>
      <c r="M23" s="220">
        <f t="shared" ref="M23:R23" si="22">SUM(M17:M22)</f>
        <v>22287.388131628555</v>
      </c>
      <c r="N23" s="174">
        <f t="shared" si="22"/>
        <v>6241.2141282236134</v>
      </c>
      <c r="O23" s="174">
        <f t="shared" si="22"/>
        <v>5930.5826421617066</v>
      </c>
      <c r="P23" s="174">
        <f t="shared" si="22"/>
        <v>6066.2846969096854</v>
      </c>
      <c r="Q23" s="174">
        <f t="shared" si="22"/>
        <v>6130.2633500837019</v>
      </c>
      <c r="R23" s="220">
        <f t="shared" si="22"/>
        <v>24368.344817378704</v>
      </c>
      <c r="S23" s="174">
        <f t="shared" ref="S23:AL23" si="23">SUM(S17:S22)</f>
        <v>7106.3851301927025</v>
      </c>
      <c r="T23" s="174">
        <f t="shared" si="23"/>
        <v>6177.0554361553359</v>
      </c>
      <c r="U23" s="174">
        <f t="shared" si="23"/>
        <v>6386.1605964316896</v>
      </c>
      <c r="V23" s="174">
        <f t="shared" si="23"/>
        <v>6473.0973872594132</v>
      </c>
      <c r="W23" s="220">
        <f t="shared" si="23"/>
        <v>26142.698550039138</v>
      </c>
      <c r="X23" s="174">
        <f t="shared" si="23"/>
        <v>7100.6254629815376</v>
      </c>
      <c r="Y23" s="174">
        <f t="shared" si="23"/>
        <v>6454.3418538511296</v>
      </c>
      <c r="Z23" s="174">
        <f t="shared" si="23"/>
        <v>6715.5372430077205</v>
      </c>
      <c r="AA23" s="174">
        <f t="shared" si="23"/>
        <v>6767.5593774339159</v>
      </c>
      <c r="AB23" s="220">
        <f t="shared" si="23"/>
        <v>27038.063937274299</v>
      </c>
      <c r="AC23" s="174">
        <f t="shared" si="23"/>
        <v>7526.6866513763225</v>
      </c>
      <c r="AD23" s="174">
        <f t="shared" si="23"/>
        <v>6785.755173156278</v>
      </c>
      <c r="AE23" s="174">
        <f t="shared" si="23"/>
        <v>7093.1894921487501</v>
      </c>
      <c r="AF23" s="174">
        <f t="shared" si="23"/>
        <v>7113.5805414271135</v>
      </c>
      <c r="AG23" s="220">
        <f t="shared" si="23"/>
        <v>28519.211858108461</v>
      </c>
      <c r="AH23" s="174">
        <f t="shared" si="23"/>
        <v>7935.4925856117279</v>
      </c>
      <c r="AI23" s="174">
        <f t="shared" si="23"/>
        <v>7102.4238447068719</v>
      </c>
      <c r="AJ23" s="174">
        <f t="shared" si="23"/>
        <v>7476.3426692244884</v>
      </c>
      <c r="AK23" s="174">
        <f t="shared" si="23"/>
        <v>7501.9112787267877</v>
      </c>
      <c r="AL23" s="220">
        <f t="shared" si="23"/>
        <v>30016.170378269879</v>
      </c>
    </row>
    <row r="24" spans="1:38" s="34" customFormat="1" ht="17.25" customHeight="1" x14ac:dyDescent="0.4">
      <c r="A24" s="231"/>
      <c r="B24" s="476" t="s">
        <v>111</v>
      </c>
      <c r="C24" s="477"/>
      <c r="D24" s="172">
        <v>67.8</v>
      </c>
      <c r="E24" s="172">
        <v>62.3</v>
      </c>
      <c r="F24" s="172">
        <v>76</v>
      </c>
      <c r="G24" s="172">
        <f t="shared" si="6"/>
        <v>91.899999999999991</v>
      </c>
      <c r="H24" s="197">
        <v>298</v>
      </c>
      <c r="I24" s="172">
        <v>73.900000000000006</v>
      </c>
      <c r="J24" s="172">
        <v>67.900000000000006</v>
      </c>
      <c r="K24" s="172">
        <v>68.400000000000006</v>
      </c>
      <c r="L24" s="172">
        <f>+L109+L123</f>
        <v>75.524999999999991</v>
      </c>
      <c r="M24" s="186">
        <f t="shared" si="10"/>
        <v>285.72500000000002</v>
      </c>
      <c r="N24" s="172">
        <f>+N109+N123</f>
        <v>71.431249999999991</v>
      </c>
      <c r="O24" s="172">
        <f>+O109+O123</f>
        <v>70.814062499999991</v>
      </c>
      <c r="P24" s="172">
        <f>+P109+P123</f>
        <v>71.542578124999991</v>
      </c>
      <c r="Q24" s="172">
        <f>+Q109+Q123</f>
        <v>72.328222656250006</v>
      </c>
      <c r="R24" s="186">
        <f>SUM(N24:Q24)</f>
        <v>286.11611328125002</v>
      </c>
      <c r="S24" s="172">
        <f>+S109+S123</f>
        <v>71.529028320312506</v>
      </c>
      <c r="T24" s="172">
        <f>+T109+T123</f>
        <v>71.553472900390616</v>
      </c>
      <c r="U24" s="172">
        <f>+U109+U123</f>
        <v>71.738325500488287</v>
      </c>
      <c r="V24" s="172">
        <f>+V109+V123</f>
        <v>71.787262344360357</v>
      </c>
      <c r="W24" s="186">
        <f>SUM(S24:V24)</f>
        <v>286.60808906555178</v>
      </c>
      <c r="X24" s="172">
        <f>+X109+X123</f>
        <v>71.652022266387931</v>
      </c>
      <c r="Y24" s="172">
        <f>+Y109+Y123</f>
        <v>71.682770752906805</v>
      </c>
      <c r="Z24" s="172">
        <f>+Z109+Z123</f>
        <v>71.715095216035849</v>
      </c>
      <c r="AA24" s="172">
        <f>+AA109+AA123</f>
        <v>71.709287644922739</v>
      </c>
      <c r="AB24" s="186">
        <f>SUM(X24:AA24)</f>
        <v>286.75917588025334</v>
      </c>
      <c r="AC24" s="172">
        <f>+AC109+AC123</f>
        <v>71.689793970063334</v>
      </c>
      <c r="AD24" s="172">
        <f>+AD109+AD123</f>
        <v>71.699236895982182</v>
      </c>
      <c r="AE24" s="172">
        <f>+AE109+AE123</f>
        <v>71.703353431751026</v>
      </c>
      <c r="AF24" s="172">
        <f>+AF109+AF123</f>
        <v>71.70041798567982</v>
      </c>
      <c r="AG24" s="186">
        <f>SUM(AC24:AF24)</f>
        <v>286.79280228347636</v>
      </c>
      <c r="AH24" s="172">
        <f>+AH109+AH123</f>
        <v>71.698200570869091</v>
      </c>
      <c r="AI24" s="172">
        <f>+AI109+AI123</f>
        <v>71.70030222107053</v>
      </c>
      <c r="AJ24" s="172">
        <f>+AJ109+AJ123</f>
        <v>71.700568552342617</v>
      </c>
      <c r="AK24" s="172">
        <f>+AK109+AK123</f>
        <v>71.699872332490514</v>
      </c>
      <c r="AL24" s="186">
        <f>SUM(AH24:AK24)</f>
        <v>286.79894367677275</v>
      </c>
    </row>
    <row r="25" spans="1:38" x14ac:dyDescent="0.25">
      <c r="A25" s="166"/>
      <c r="B25" s="260" t="s">
        <v>43</v>
      </c>
      <c r="C25" s="261"/>
      <c r="D25" s="171">
        <f t="shared" ref="D25:R25" si="24">D16-D23+D24</f>
        <v>1015.7000000000005</v>
      </c>
      <c r="E25" s="171">
        <f t="shared" si="24"/>
        <v>857.69999999999959</v>
      </c>
      <c r="F25" s="171">
        <f t="shared" si="24"/>
        <v>1121.3000000000011</v>
      </c>
      <c r="G25" s="171">
        <f t="shared" si="24"/>
        <v>1083.2000000000012</v>
      </c>
      <c r="H25" s="187">
        <f t="shared" si="24"/>
        <v>4077.9000000000051</v>
      </c>
      <c r="I25" s="171">
        <f t="shared" si="24"/>
        <v>1219.7999999999988</v>
      </c>
      <c r="J25" s="171">
        <f t="shared" si="24"/>
        <v>487.39999999999907</v>
      </c>
      <c r="K25" s="171">
        <f t="shared" si="24"/>
        <v>-703.8999999999993</v>
      </c>
      <c r="L25" s="171">
        <f t="shared" si="24"/>
        <v>370.67201997205518</v>
      </c>
      <c r="M25" s="187">
        <f t="shared" si="24"/>
        <v>1373.9720199720555</v>
      </c>
      <c r="N25" s="171">
        <f t="shared" si="24"/>
        <v>925.79979515062894</v>
      </c>
      <c r="O25" s="171">
        <f t="shared" si="24"/>
        <v>922.31128693251082</v>
      </c>
      <c r="P25" s="171">
        <f t="shared" si="24"/>
        <v>1034.1728762333146</v>
      </c>
      <c r="Q25" s="171">
        <f t="shared" si="24"/>
        <v>1127.2622998641205</v>
      </c>
      <c r="R25" s="187">
        <f t="shared" si="24"/>
        <v>4009.5462581805782</v>
      </c>
      <c r="S25" s="171">
        <f t="shared" ref="S25:AB25" si="25">S16-S23+S24</f>
        <v>889.56214323523943</v>
      </c>
      <c r="T25" s="171">
        <f t="shared" si="25"/>
        <v>995.71876281149105</v>
      </c>
      <c r="U25" s="171">
        <f t="shared" si="25"/>
        <v>1121.9205934034949</v>
      </c>
      <c r="V25" s="171">
        <f t="shared" si="25"/>
        <v>1224.3025607490167</v>
      </c>
      <c r="W25" s="187">
        <f t="shared" si="25"/>
        <v>4231.5040601992423</v>
      </c>
      <c r="X25" s="171">
        <f t="shared" si="25"/>
        <v>1288.0899610521687</v>
      </c>
      <c r="Y25" s="171">
        <f t="shared" si="25"/>
        <v>1051.035908305415</v>
      </c>
      <c r="Z25" s="171">
        <f t="shared" si="25"/>
        <v>1194.2510904401911</v>
      </c>
      <c r="AA25" s="171">
        <f t="shared" si="25"/>
        <v>1290.1308564457727</v>
      </c>
      <c r="AB25" s="187">
        <f t="shared" si="25"/>
        <v>4823.5078162435511</v>
      </c>
      <c r="AC25" s="171">
        <f t="shared" ref="AC25:AL25" si="26">AC16-AC23+AC24</f>
        <v>1361.8524838719018</v>
      </c>
      <c r="AD25" s="171">
        <f t="shared" si="26"/>
        <v>1111.7983197782537</v>
      </c>
      <c r="AE25" s="171">
        <f t="shared" si="26"/>
        <v>1285.7205091155661</v>
      </c>
      <c r="AF25" s="171">
        <f t="shared" si="26"/>
        <v>1376.6734478290414</v>
      </c>
      <c r="AG25" s="187">
        <f t="shared" si="26"/>
        <v>5136.0447605947684</v>
      </c>
      <c r="AH25" s="171">
        <f t="shared" si="26"/>
        <v>1456.1947894938644</v>
      </c>
      <c r="AI25" s="171">
        <f t="shared" si="26"/>
        <v>1179.2817729062913</v>
      </c>
      <c r="AJ25" s="171">
        <f t="shared" si="26"/>
        <v>1374.6624663263146</v>
      </c>
      <c r="AK25" s="171">
        <f t="shared" si="26"/>
        <v>1474.142367258768</v>
      </c>
      <c r="AL25" s="187">
        <f t="shared" si="26"/>
        <v>5484.2813959852374</v>
      </c>
    </row>
    <row r="26" spans="1:38" ht="17.25" x14ac:dyDescent="0.4">
      <c r="A26" s="166"/>
      <c r="B26" s="217" t="s">
        <v>162</v>
      </c>
      <c r="C26" s="142"/>
      <c r="D26" s="175">
        <f t="shared" ref="D26:K26" si="27">+D176</f>
        <v>138</v>
      </c>
      <c r="E26" s="175">
        <f t="shared" si="27"/>
        <v>141.4</v>
      </c>
      <c r="F26" s="175">
        <f t="shared" si="27"/>
        <v>125.30000000000001</v>
      </c>
      <c r="G26" s="175">
        <f t="shared" si="27"/>
        <v>77.399999999999991</v>
      </c>
      <c r="H26" s="265">
        <f>SUM(D26:G26)</f>
        <v>482.09999999999997</v>
      </c>
      <c r="I26" s="175">
        <f t="shared" si="27"/>
        <v>71.599999999999994</v>
      </c>
      <c r="J26" s="175">
        <f t="shared" si="27"/>
        <v>66.8</v>
      </c>
      <c r="K26" s="175">
        <f t="shared" si="27"/>
        <v>173.67999999999998</v>
      </c>
      <c r="L26" s="175">
        <f>+L176</f>
        <v>187</v>
      </c>
      <c r="M26" s="186">
        <f t="shared" si="10"/>
        <v>499.07999999999993</v>
      </c>
      <c r="N26" s="175">
        <f>+N176</f>
        <v>122.64749999999998</v>
      </c>
      <c r="O26" s="175">
        <f>+O176</f>
        <v>120.72843750000001</v>
      </c>
      <c r="P26" s="175">
        <f>+P176</f>
        <v>118.14449218750001</v>
      </c>
      <c r="Q26" s="175">
        <f>+Q176</f>
        <v>30.537569106005165</v>
      </c>
      <c r="R26" s="186">
        <f>SUM(N26:Q26)</f>
        <v>392.05799879350513</v>
      </c>
      <c r="S26" s="175">
        <f>+S176</f>
        <v>122.23131042480469</v>
      </c>
      <c r="T26" s="175">
        <f>+T176</f>
        <v>128.56022422790528</v>
      </c>
      <c r="U26" s="175">
        <f>+U176</f>
        <v>136.28025225639342</v>
      </c>
      <c r="V26" s="175">
        <f>+V176</f>
        <v>131.60528378844262</v>
      </c>
      <c r="W26" s="186">
        <f>SUM(S26:V26)</f>
        <v>518.67707069754601</v>
      </c>
      <c r="X26" s="175">
        <f>+X176</f>
        <v>124.68094426199795</v>
      </c>
      <c r="Y26" s="175">
        <f>+Y176</f>
        <v>124.93512479474769</v>
      </c>
      <c r="Z26" s="175">
        <f>+Z176</f>
        <v>125.46096070659115</v>
      </c>
      <c r="AA26" s="175">
        <f>+AA176</f>
        <v>126.37551927147754</v>
      </c>
      <c r="AB26" s="186">
        <f>SUM(X26:AA26)</f>
        <v>501.4525490348143</v>
      </c>
      <c r="AC26" s="175">
        <f>+AC176</f>
        <v>127.51620246654505</v>
      </c>
      <c r="AD26" s="175">
        <f>+AD176</f>
        <v>128.17681397176261</v>
      </c>
      <c r="AE26" s="175">
        <f>+AE176</f>
        <v>128.12888768974477</v>
      </c>
      <c r="AF26" s="175">
        <f>+AF176</f>
        <v>127.10996711891366</v>
      </c>
      <c r="AG26" s="186">
        <f>SUM(AC26:AF26)</f>
        <v>510.93187124696612</v>
      </c>
      <c r="AH26" s="175">
        <f>+AH176</f>
        <v>126.54805253522254</v>
      </c>
      <c r="AI26" s="175">
        <f>+AI176</f>
        <v>126.78144106937562</v>
      </c>
      <c r="AJ26" s="175">
        <f>+AJ176</f>
        <v>127.01223060370411</v>
      </c>
      <c r="AK26" s="175">
        <f>+AK176</f>
        <v>127.20613934084324</v>
      </c>
      <c r="AL26" s="186">
        <f>SUM(AH26:AK26)</f>
        <v>507.54786354914552</v>
      </c>
    </row>
    <row r="27" spans="1:38" x14ac:dyDescent="0.25">
      <c r="A27" s="166"/>
      <c r="B27" s="218" t="s">
        <v>163</v>
      </c>
      <c r="C27" s="136"/>
      <c r="D27" s="176">
        <f t="shared" ref="D27:K27" si="28">+D25+D26</f>
        <v>1153.7000000000005</v>
      </c>
      <c r="E27" s="176">
        <f t="shared" si="28"/>
        <v>999.09999999999957</v>
      </c>
      <c r="F27" s="176">
        <f t="shared" si="28"/>
        <v>1246.600000000001</v>
      </c>
      <c r="G27" s="176">
        <f t="shared" si="28"/>
        <v>1160.6000000000013</v>
      </c>
      <c r="H27" s="266">
        <f>+H25+H26</f>
        <v>4560.0000000000055</v>
      </c>
      <c r="I27" s="176">
        <f t="shared" si="28"/>
        <v>1291.3999999999987</v>
      </c>
      <c r="J27" s="176">
        <f t="shared" si="28"/>
        <v>554.19999999999902</v>
      </c>
      <c r="K27" s="176">
        <f t="shared" si="28"/>
        <v>-530.21999999999935</v>
      </c>
      <c r="L27" s="176">
        <f>+L25+L26</f>
        <v>557.67201997205518</v>
      </c>
      <c r="M27" s="186">
        <f t="shared" si="10"/>
        <v>1873.0520199720536</v>
      </c>
      <c r="N27" s="176">
        <f>+N25+N26</f>
        <v>1048.4472951506289</v>
      </c>
      <c r="O27" s="176">
        <f>+O25+O26</f>
        <v>1043.0397244325109</v>
      </c>
      <c r="P27" s="176">
        <f>+P25+P26</f>
        <v>1152.3173684208145</v>
      </c>
      <c r="Q27" s="176">
        <f>+Q25+Q26</f>
        <v>1157.7998689701255</v>
      </c>
      <c r="R27" s="186">
        <f>SUM(N27:Q27)</f>
        <v>4401.6042569740803</v>
      </c>
      <c r="S27" s="176">
        <f>+S25+S26</f>
        <v>1011.7934536600442</v>
      </c>
      <c r="T27" s="176">
        <f>+T25+T26</f>
        <v>1124.2789870393963</v>
      </c>
      <c r="U27" s="176">
        <f>+U25+U26</f>
        <v>1258.2008456598883</v>
      </c>
      <c r="V27" s="176">
        <f>+V25+V26</f>
        <v>1355.9078445374594</v>
      </c>
      <c r="W27" s="186">
        <f>SUM(S27:V27)</f>
        <v>4750.1811308967881</v>
      </c>
      <c r="X27" s="176">
        <f>+X25+X26</f>
        <v>1412.7709053141666</v>
      </c>
      <c r="Y27" s="176">
        <f>+Y25+Y26</f>
        <v>1175.9710331001627</v>
      </c>
      <c r="Z27" s="176">
        <f>+Z25+Z26</f>
        <v>1319.7120511467822</v>
      </c>
      <c r="AA27" s="176">
        <f>+AA25+AA26</f>
        <v>1416.5063757172502</v>
      </c>
      <c r="AB27" s="186">
        <f>SUM(X27:AA27)</f>
        <v>5324.9603652783617</v>
      </c>
      <c r="AC27" s="176">
        <f>+AC25+AC26</f>
        <v>1489.3686863384469</v>
      </c>
      <c r="AD27" s="176">
        <f>+AD25+AD26</f>
        <v>1239.9751337500163</v>
      </c>
      <c r="AE27" s="176">
        <f>+AE25+AE26</f>
        <v>1413.8493968053108</v>
      </c>
      <c r="AF27" s="176">
        <f>+AF25+AF26</f>
        <v>1503.783414947955</v>
      </c>
      <c r="AG27" s="186">
        <f>SUM(AC27:AF27)</f>
        <v>5646.9766318417287</v>
      </c>
      <c r="AH27" s="176">
        <f>+AH25+AH26</f>
        <v>1582.7428420290869</v>
      </c>
      <c r="AI27" s="176">
        <f>+AI25+AI26</f>
        <v>1306.0632139756669</v>
      </c>
      <c r="AJ27" s="176">
        <f>+AJ25+AJ26</f>
        <v>1501.6746969300189</v>
      </c>
      <c r="AK27" s="176">
        <f>+AK25+AK26</f>
        <v>1601.3485065996113</v>
      </c>
      <c r="AL27" s="186">
        <f>SUM(AH27:AK27)</f>
        <v>5991.8292595343837</v>
      </c>
    </row>
    <row r="28" spans="1:38" x14ac:dyDescent="0.25">
      <c r="A28" s="166"/>
      <c r="B28" s="69" t="s">
        <v>153</v>
      </c>
      <c r="C28" s="27"/>
      <c r="D28" s="173">
        <v>0</v>
      </c>
      <c r="E28" s="173">
        <v>21</v>
      </c>
      <c r="F28" s="173">
        <v>601.79999999999995</v>
      </c>
      <c r="G28" s="173">
        <f>H28-F28-E28-D28</f>
        <v>0</v>
      </c>
      <c r="H28" s="186">
        <v>622.79999999999995</v>
      </c>
      <c r="I28" s="173">
        <v>0</v>
      </c>
      <c r="J28" s="173">
        <v>0</v>
      </c>
      <c r="K28" s="173">
        <v>0</v>
      </c>
      <c r="L28" s="173">
        <v>0</v>
      </c>
      <c r="M28" s="186">
        <v>0</v>
      </c>
      <c r="N28" s="173">
        <v>0</v>
      </c>
      <c r="O28" s="173">
        <v>0</v>
      </c>
      <c r="P28" s="173">
        <v>0</v>
      </c>
      <c r="Q28" s="173">
        <v>0</v>
      </c>
      <c r="R28" s="186">
        <v>0</v>
      </c>
      <c r="S28" s="173">
        <v>0</v>
      </c>
      <c r="T28" s="173">
        <v>0</v>
      </c>
      <c r="U28" s="173">
        <v>0</v>
      </c>
      <c r="V28" s="173">
        <v>0</v>
      </c>
      <c r="W28" s="186">
        <v>0</v>
      </c>
      <c r="X28" s="173">
        <v>0</v>
      </c>
      <c r="Y28" s="173">
        <v>0</v>
      </c>
      <c r="Z28" s="173">
        <v>0</v>
      </c>
      <c r="AA28" s="173">
        <v>0</v>
      </c>
      <c r="AB28" s="186">
        <v>0</v>
      </c>
      <c r="AC28" s="173">
        <v>0</v>
      </c>
      <c r="AD28" s="173">
        <v>0</v>
      </c>
      <c r="AE28" s="173">
        <v>0</v>
      </c>
      <c r="AF28" s="173">
        <v>0</v>
      </c>
      <c r="AG28" s="186">
        <v>0</v>
      </c>
      <c r="AH28" s="173">
        <v>0</v>
      </c>
      <c r="AI28" s="173">
        <v>0</v>
      </c>
      <c r="AJ28" s="173">
        <v>0</v>
      </c>
      <c r="AK28" s="173">
        <v>0</v>
      </c>
      <c r="AL28" s="186">
        <v>0</v>
      </c>
    </row>
    <row r="29" spans="1:38" x14ac:dyDescent="0.25">
      <c r="A29" s="166"/>
      <c r="B29" s="69" t="s">
        <v>112</v>
      </c>
      <c r="C29" s="27"/>
      <c r="D29" s="173">
        <v>24.8</v>
      </c>
      <c r="E29" s="173">
        <v>15.2</v>
      </c>
      <c r="F29" s="170">
        <v>40.200000000000003</v>
      </c>
      <c r="G29" s="173">
        <f>H29-F29-E29-D29</f>
        <v>16.299999999999994</v>
      </c>
      <c r="H29" s="186">
        <v>96.5</v>
      </c>
      <c r="I29" s="173">
        <v>15.9</v>
      </c>
      <c r="J29" s="173">
        <v>2</v>
      </c>
      <c r="K29" s="173">
        <v>12.7</v>
      </c>
      <c r="L29" s="173">
        <f>(K184+K185+K190)*L151</f>
        <v>15.496973713275899</v>
      </c>
      <c r="M29" s="186">
        <f>SUM(I29:L29)</f>
        <v>46.096973713275901</v>
      </c>
      <c r="N29" s="173">
        <f>L29</f>
        <v>15.496973713275899</v>
      </c>
      <c r="O29" s="173">
        <f>N29</f>
        <v>15.496973713275899</v>
      </c>
      <c r="P29" s="173">
        <f>O29</f>
        <v>15.496973713275899</v>
      </c>
      <c r="Q29" s="173">
        <f>P29</f>
        <v>15.496973713275899</v>
      </c>
      <c r="R29" s="186">
        <f>SUM(N29:Q29)</f>
        <v>61.987894853103597</v>
      </c>
      <c r="S29" s="173">
        <f>Q29</f>
        <v>15.496973713275899</v>
      </c>
      <c r="T29" s="173">
        <f>S29</f>
        <v>15.496973713275899</v>
      </c>
      <c r="U29" s="173">
        <f>T29</f>
        <v>15.496973713275899</v>
      </c>
      <c r="V29" s="173">
        <f>U29</f>
        <v>15.496973713275899</v>
      </c>
      <c r="W29" s="186">
        <f>SUM(S29:V29)</f>
        <v>61.987894853103597</v>
      </c>
      <c r="X29" s="173">
        <f>V29</f>
        <v>15.496973713275899</v>
      </c>
      <c r="Y29" s="173">
        <f>X29</f>
        <v>15.496973713275899</v>
      </c>
      <c r="Z29" s="173">
        <f>Y29</f>
        <v>15.496973713275899</v>
      </c>
      <c r="AA29" s="173">
        <f>Z29</f>
        <v>15.496973713275899</v>
      </c>
      <c r="AB29" s="186">
        <f>SUM(X29:AA29)</f>
        <v>61.987894853103597</v>
      </c>
      <c r="AC29" s="173">
        <f>AA29</f>
        <v>15.496973713275899</v>
      </c>
      <c r="AD29" s="173">
        <f>AC29</f>
        <v>15.496973713275899</v>
      </c>
      <c r="AE29" s="173">
        <f>AD29</f>
        <v>15.496973713275899</v>
      </c>
      <c r="AF29" s="173">
        <f>AE29</f>
        <v>15.496973713275899</v>
      </c>
      <c r="AG29" s="186">
        <f>SUM(AC29:AF29)</f>
        <v>61.987894853103597</v>
      </c>
      <c r="AH29" s="173">
        <f>AF29</f>
        <v>15.496973713275899</v>
      </c>
      <c r="AI29" s="173">
        <f>AH29</f>
        <v>15.496973713275899</v>
      </c>
      <c r="AJ29" s="173">
        <f>AI29</f>
        <v>15.496973713275899</v>
      </c>
      <c r="AK29" s="173">
        <f>AJ29</f>
        <v>15.496973713275899</v>
      </c>
      <c r="AL29" s="186">
        <f>SUM(AH29:AK29)</f>
        <v>61.987894853103597</v>
      </c>
    </row>
    <row r="30" spans="1:38" ht="17.25" x14ac:dyDescent="0.4">
      <c r="A30" s="166"/>
      <c r="B30" s="69" t="s">
        <v>113</v>
      </c>
      <c r="C30" s="59"/>
      <c r="D30" s="172">
        <v>-75</v>
      </c>
      <c r="E30" s="172">
        <v>-73.900000000000006</v>
      </c>
      <c r="F30" s="172">
        <v>-86.4</v>
      </c>
      <c r="G30" s="172">
        <f>H30-F30-E30-D30</f>
        <v>-95.699999999999989</v>
      </c>
      <c r="H30" s="197">
        <v>-331</v>
      </c>
      <c r="I30" s="172">
        <v>-91.9</v>
      </c>
      <c r="J30" s="172">
        <v>-99.2</v>
      </c>
      <c r="K30" s="172">
        <v>-120.8</v>
      </c>
      <c r="L30" s="173">
        <f>-(K206+K209)*L152</f>
        <v>-131.82973718590847</v>
      </c>
      <c r="M30" s="197">
        <f>SUM(I30:L30)</f>
        <v>-443.7297371859085</v>
      </c>
      <c r="N30" s="173">
        <f>-(L206+L209)*N152</f>
        <v>-128.40705289672545</v>
      </c>
      <c r="O30" s="173">
        <f>-(N206+N209)*O152</f>
        <v>-124.98436860754241</v>
      </c>
      <c r="P30" s="173">
        <f>-(O206+O209)*P152</f>
        <v>-121.56168431835938</v>
      </c>
      <c r="Q30" s="173">
        <f>-(P206+P209)*Q152</f>
        <v>-118.13900002917634</v>
      </c>
      <c r="R30" s="197">
        <f>SUM(N30:Q30)</f>
        <v>-493.09210585180358</v>
      </c>
      <c r="S30" s="173">
        <f>-(Q206+Q209)*S152</f>
        <v>-114.70770028754914</v>
      </c>
      <c r="T30" s="173">
        <f>-(S206+S209)*T152</f>
        <v>-111.28501599836612</v>
      </c>
      <c r="U30" s="173">
        <f>-(T206+T209)*U152</f>
        <v>-107.86233170918308</v>
      </c>
      <c r="V30" s="173">
        <f>-(U206+U209)*V152</f>
        <v>-104.43964742000006</v>
      </c>
      <c r="W30" s="197">
        <f>SUM(S30:V30)</f>
        <v>-438.29469541509843</v>
      </c>
      <c r="X30" s="173">
        <f>-(V206+V209)*X152</f>
        <v>-106.88330302234584</v>
      </c>
      <c r="Y30" s="173">
        <f>-(X206+X209)*Y152</f>
        <v>-103.4606187331628</v>
      </c>
      <c r="Z30" s="173">
        <f>-(Y206+Y209)*Z152</f>
        <v>-100.03793444397978</v>
      </c>
      <c r="AA30" s="173">
        <f>-(Z206+Z209)*AA152</f>
        <v>-96.615250154796755</v>
      </c>
      <c r="AB30" s="197">
        <f>SUM(X30:AA30)</f>
        <v>-406.99710635428517</v>
      </c>
      <c r="AC30" s="173">
        <f>-(AA206+AA209)*AC152</f>
        <v>-95.142791009793527</v>
      </c>
      <c r="AD30" s="173">
        <f>-(AC206+AC209)*AD152</f>
        <v>-91.720106720610488</v>
      </c>
      <c r="AE30" s="173">
        <f>-(AD206+AD209)*AE152</f>
        <v>-88.297422431427464</v>
      </c>
      <c r="AF30" s="173">
        <f>-(AE206+AE209)*AF152</f>
        <v>-84.874738142244439</v>
      </c>
      <c r="AG30" s="197">
        <f>SUM(AC30:AF30)</f>
        <v>-360.0350583040759</v>
      </c>
      <c r="AH30" s="173">
        <f>-(AF206+AF209)*AH152</f>
        <v>-87.31839374459021</v>
      </c>
      <c r="AI30" s="173">
        <f>-(AH206+AH209)*AI152</f>
        <v>-83.895709455407186</v>
      </c>
      <c r="AJ30" s="173">
        <f>-(AI206+AI209)*AJ152</f>
        <v>-80.473025166224147</v>
      </c>
      <c r="AK30" s="173">
        <f>-(AJ206+AJ209)*AK152</f>
        <v>-77.050340877041123</v>
      </c>
      <c r="AL30" s="197">
        <f>SUM(AH30:AK30)</f>
        <v>-328.73746924326269</v>
      </c>
    </row>
    <row r="31" spans="1:38" x14ac:dyDescent="0.25">
      <c r="A31" s="166"/>
      <c r="B31" s="503" t="s">
        <v>44</v>
      </c>
      <c r="C31" s="504"/>
      <c r="D31" s="171">
        <f t="shared" ref="D31:R31" si="29">D25+D29+D30+D28</f>
        <v>965.50000000000045</v>
      </c>
      <c r="E31" s="171">
        <f t="shared" si="29"/>
        <v>819.99999999999966</v>
      </c>
      <c r="F31" s="171">
        <f t="shared" si="29"/>
        <v>1676.900000000001</v>
      </c>
      <c r="G31" s="171">
        <f t="shared" si="29"/>
        <v>1003.8000000000011</v>
      </c>
      <c r="H31" s="187">
        <f t="shared" si="29"/>
        <v>4466.2000000000053</v>
      </c>
      <c r="I31" s="171">
        <f t="shared" si="29"/>
        <v>1143.7999999999988</v>
      </c>
      <c r="J31" s="171">
        <f t="shared" si="29"/>
        <v>390.19999999999908</v>
      </c>
      <c r="K31" s="171">
        <f t="shared" si="29"/>
        <v>-811.9999999999992</v>
      </c>
      <c r="L31" s="171">
        <f t="shared" si="29"/>
        <v>254.33925649942262</v>
      </c>
      <c r="M31" s="187">
        <f t="shared" si="29"/>
        <v>976.33925649942285</v>
      </c>
      <c r="N31" s="171">
        <f t="shared" si="29"/>
        <v>812.88971596717943</v>
      </c>
      <c r="O31" s="171">
        <f t="shared" si="29"/>
        <v>812.82389203824437</v>
      </c>
      <c r="P31" s="171">
        <f t="shared" si="29"/>
        <v>928.10816562823095</v>
      </c>
      <c r="Q31" s="171">
        <f t="shared" si="29"/>
        <v>1024.62027354822</v>
      </c>
      <c r="R31" s="187">
        <f t="shared" si="29"/>
        <v>3578.4420471818785</v>
      </c>
      <c r="S31" s="171">
        <f t="shared" ref="S31:AL31" si="30">S25+S29+S30+S28</f>
        <v>790.35141666096615</v>
      </c>
      <c r="T31" s="171">
        <f t="shared" si="30"/>
        <v>899.93072052640082</v>
      </c>
      <c r="U31" s="171">
        <f t="shared" si="30"/>
        <v>1029.5552354075876</v>
      </c>
      <c r="V31" s="171">
        <f t="shared" si="30"/>
        <v>1135.3598870422925</v>
      </c>
      <c r="W31" s="187">
        <f t="shared" si="30"/>
        <v>3855.197259637247</v>
      </c>
      <c r="X31" s="171">
        <f t="shared" si="30"/>
        <v>1196.7036317430986</v>
      </c>
      <c r="Y31" s="171">
        <f t="shared" si="30"/>
        <v>963.07226328552792</v>
      </c>
      <c r="Z31" s="171">
        <f t="shared" si="30"/>
        <v>1109.7101297094871</v>
      </c>
      <c r="AA31" s="171">
        <f t="shared" si="30"/>
        <v>1209.0125800042517</v>
      </c>
      <c r="AB31" s="187">
        <f t="shared" si="30"/>
        <v>4478.498604742369</v>
      </c>
      <c r="AC31" s="171">
        <f t="shared" si="30"/>
        <v>1282.2066665753841</v>
      </c>
      <c r="AD31" s="171">
        <f t="shared" si="30"/>
        <v>1035.5751867709191</v>
      </c>
      <c r="AE31" s="171">
        <f t="shared" si="30"/>
        <v>1212.9200603974143</v>
      </c>
      <c r="AF31" s="171">
        <f t="shared" si="30"/>
        <v>1307.2956834000727</v>
      </c>
      <c r="AG31" s="187">
        <f t="shared" si="30"/>
        <v>4837.9975971437952</v>
      </c>
      <c r="AH31" s="171">
        <f t="shared" si="30"/>
        <v>1384.37336946255</v>
      </c>
      <c r="AI31" s="171">
        <f t="shared" si="30"/>
        <v>1110.88303716416</v>
      </c>
      <c r="AJ31" s="171">
        <f t="shared" si="30"/>
        <v>1309.6864148733662</v>
      </c>
      <c r="AK31" s="171">
        <f t="shared" si="30"/>
        <v>1412.5890000950026</v>
      </c>
      <c r="AL31" s="187">
        <f t="shared" si="30"/>
        <v>5217.5318215950774</v>
      </c>
    </row>
    <row r="32" spans="1:38" ht="17.25" x14ac:dyDescent="0.4">
      <c r="A32" s="166"/>
      <c r="B32" s="507" t="s">
        <v>25</v>
      </c>
      <c r="C32" s="508"/>
      <c r="D32" s="172">
        <v>205.1</v>
      </c>
      <c r="E32" s="172">
        <v>161.19999999999999</v>
      </c>
      <c r="F32" s="172">
        <v>303.7</v>
      </c>
      <c r="G32" s="172">
        <f>H32-F32-E32-D32</f>
        <v>201.60000000000011</v>
      </c>
      <c r="H32" s="197">
        <v>871.6</v>
      </c>
      <c r="I32" s="172">
        <v>258.5</v>
      </c>
      <c r="J32" s="172">
        <v>65.400000000000006</v>
      </c>
      <c r="K32" s="172">
        <v>-133.9</v>
      </c>
      <c r="L32" s="172">
        <f>L31*L150</f>
        <v>63.584814124855654</v>
      </c>
      <c r="M32" s="172">
        <f>SUM(I32:L32)</f>
        <v>253.58481412485563</v>
      </c>
      <c r="N32" s="172">
        <f>N31*N150</f>
        <v>203.22242899179486</v>
      </c>
      <c r="O32" s="172">
        <f>O31*O150</f>
        <v>203.20597300956109</v>
      </c>
      <c r="P32" s="172">
        <f>P31*P150</f>
        <v>232.02704140705774</v>
      </c>
      <c r="Q32" s="172">
        <f>Q31*Q150</f>
        <v>256.155068387055</v>
      </c>
      <c r="R32" s="172">
        <f>SUM(N32:Q32)</f>
        <v>894.61051179546871</v>
      </c>
      <c r="S32" s="172">
        <f>S31*S150</f>
        <v>197.58785416524154</v>
      </c>
      <c r="T32" s="172">
        <f>T31*T150</f>
        <v>224.9826801316002</v>
      </c>
      <c r="U32" s="172">
        <f>U31*U150</f>
        <v>257.3888088518969</v>
      </c>
      <c r="V32" s="172">
        <f>V31*V150</f>
        <v>283.83997176057312</v>
      </c>
      <c r="W32" s="172">
        <f>SUM(S32:V32)</f>
        <v>963.79931490931176</v>
      </c>
      <c r="X32" s="172">
        <f>X31*X150</f>
        <v>299.17590793577466</v>
      </c>
      <c r="Y32" s="172">
        <f>Y31*Y150</f>
        <v>240.76806582138198</v>
      </c>
      <c r="Z32" s="172">
        <f>Z31*Z150</f>
        <v>277.42753242737177</v>
      </c>
      <c r="AA32" s="172">
        <f>AA31*AA150</f>
        <v>302.25314500106293</v>
      </c>
      <c r="AB32" s="172">
        <f>SUM(X32:AA32)</f>
        <v>1119.6246511855913</v>
      </c>
      <c r="AC32" s="172">
        <f>AC31*AC150</f>
        <v>320.55166664384603</v>
      </c>
      <c r="AD32" s="172">
        <f>AD31*AD150</f>
        <v>258.89379669272978</v>
      </c>
      <c r="AE32" s="172">
        <f>AE31*AE150</f>
        <v>303.23001509935358</v>
      </c>
      <c r="AF32" s="172">
        <f>AF31*AF150</f>
        <v>326.82392085001817</v>
      </c>
      <c r="AG32" s="172">
        <f>SUM(AC32:AF32)</f>
        <v>1209.4993992859474</v>
      </c>
      <c r="AH32" s="172">
        <f>AH31*AH150</f>
        <v>346.09334236563751</v>
      </c>
      <c r="AI32" s="172">
        <f>AI31*AI150</f>
        <v>277.72075929104</v>
      </c>
      <c r="AJ32" s="172">
        <f>AJ31*AJ150</f>
        <v>327.42160371834154</v>
      </c>
      <c r="AK32" s="172">
        <f>AK31*AK150</f>
        <v>353.14725002375064</v>
      </c>
      <c r="AL32" s="172">
        <f>SUM(AH32:AK32)</f>
        <v>1304.3829553987698</v>
      </c>
    </row>
    <row r="33" spans="1:38" x14ac:dyDescent="0.25">
      <c r="A33" s="231"/>
      <c r="B33" s="503" t="s">
        <v>114</v>
      </c>
      <c r="C33" s="504"/>
      <c r="D33" s="171">
        <f t="shared" ref="D33:R33" si="31">+D31-D32</f>
        <v>760.40000000000043</v>
      </c>
      <c r="E33" s="171">
        <f t="shared" si="31"/>
        <v>658.79999999999973</v>
      </c>
      <c r="F33" s="171">
        <f t="shared" si="31"/>
        <v>1373.200000000001</v>
      </c>
      <c r="G33" s="171">
        <f t="shared" si="31"/>
        <v>802.20000000000095</v>
      </c>
      <c r="H33" s="187">
        <f>+H31-H32</f>
        <v>3594.6000000000054</v>
      </c>
      <c r="I33" s="171">
        <f t="shared" si="31"/>
        <v>885.29999999999882</v>
      </c>
      <c r="J33" s="171">
        <f t="shared" si="31"/>
        <v>324.79999999999905</v>
      </c>
      <c r="K33" s="171">
        <f t="shared" si="31"/>
        <v>-678.09999999999923</v>
      </c>
      <c r="L33" s="171">
        <f t="shared" si="31"/>
        <v>190.75444237456696</v>
      </c>
      <c r="M33" s="187">
        <f t="shared" si="31"/>
        <v>722.75444237456725</v>
      </c>
      <c r="N33" s="171">
        <f t="shared" si="31"/>
        <v>609.66728697538451</v>
      </c>
      <c r="O33" s="171">
        <f t="shared" si="31"/>
        <v>609.61791902868322</v>
      </c>
      <c r="P33" s="171">
        <f t="shared" si="31"/>
        <v>696.08112422117324</v>
      </c>
      <c r="Q33" s="171">
        <f t="shared" si="31"/>
        <v>768.46520516116493</v>
      </c>
      <c r="R33" s="187">
        <f t="shared" si="31"/>
        <v>2683.83153538641</v>
      </c>
      <c r="S33" s="171">
        <f t="shared" ref="S33:AL33" si="32">+S31-S32</f>
        <v>592.76356249572461</v>
      </c>
      <c r="T33" s="171">
        <f t="shared" si="32"/>
        <v>674.94804039480061</v>
      </c>
      <c r="U33" s="171">
        <f t="shared" si="32"/>
        <v>772.16642655569069</v>
      </c>
      <c r="V33" s="171">
        <f t="shared" si="32"/>
        <v>851.51991528171936</v>
      </c>
      <c r="W33" s="187">
        <f t="shared" si="32"/>
        <v>2891.3979447279353</v>
      </c>
      <c r="X33" s="171">
        <f t="shared" si="32"/>
        <v>897.52772380732404</v>
      </c>
      <c r="Y33" s="171">
        <f t="shared" si="32"/>
        <v>722.304197464146</v>
      </c>
      <c r="Z33" s="171">
        <f t="shared" si="32"/>
        <v>832.28259728211538</v>
      </c>
      <c r="AA33" s="171">
        <f t="shared" si="32"/>
        <v>906.75943500318886</v>
      </c>
      <c r="AB33" s="187">
        <f t="shared" si="32"/>
        <v>3358.8739535567775</v>
      </c>
      <c r="AC33" s="171">
        <f t="shared" si="32"/>
        <v>961.6549999315381</v>
      </c>
      <c r="AD33" s="171">
        <f t="shared" si="32"/>
        <v>776.68139007818934</v>
      </c>
      <c r="AE33" s="171">
        <f t="shared" si="32"/>
        <v>909.6900452980608</v>
      </c>
      <c r="AF33" s="171">
        <f t="shared" si="32"/>
        <v>980.47176255005456</v>
      </c>
      <c r="AG33" s="187">
        <f t="shared" si="32"/>
        <v>3628.498197857848</v>
      </c>
      <c r="AH33" s="171">
        <f t="shared" si="32"/>
        <v>1038.2800270969126</v>
      </c>
      <c r="AI33" s="171">
        <f t="shared" si="32"/>
        <v>833.16227787312005</v>
      </c>
      <c r="AJ33" s="171">
        <f t="shared" si="32"/>
        <v>982.26481115502463</v>
      </c>
      <c r="AK33" s="171">
        <f t="shared" si="32"/>
        <v>1059.441750071252</v>
      </c>
      <c r="AL33" s="187">
        <f t="shared" si="32"/>
        <v>3913.1488661963076</v>
      </c>
    </row>
    <row r="34" spans="1:38" ht="17.25" x14ac:dyDescent="0.4">
      <c r="A34" s="231"/>
      <c r="B34" s="216" t="s">
        <v>115</v>
      </c>
      <c r="C34" s="61"/>
      <c r="D34" s="172">
        <v>-0.2</v>
      </c>
      <c r="E34" s="172">
        <v>-4.4000000000000004</v>
      </c>
      <c r="F34" s="172">
        <v>0.4</v>
      </c>
      <c r="G34" s="172">
        <f>H34-F34-E34-D34</f>
        <v>-0.39999999999999963</v>
      </c>
      <c r="H34" s="197">
        <v>-4.5999999999999996</v>
      </c>
      <c r="I34" s="172">
        <v>-0.4</v>
      </c>
      <c r="J34" s="172">
        <v>-3.6</v>
      </c>
      <c r="K34" s="172">
        <v>0.3</v>
      </c>
      <c r="L34" s="330">
        <f>+AVERAGE(G34,K34,I34,J34)</f>
        <v>-1.0249999999999999</v>
      </c>
      <c r="M34" s="172">
        <f>SUM(I34:L34)</f>
        <v>-4.7249999999999996</v>
      </c>
      <c r="N34" s="330">
        <f>+AVERAGE(I34,J34,K34,L34)</f>
        <v>-1.1812499999999999</v>
      </c>
      <c r="O34" s="330">
        <f>+AVERAGE(J34,K34,L34,N34)</f>
        <v>-1.3765624999999999</v>
      </c>
      <c r="P34" s="330">
        <f>+AVERAGE(K34,L34,O34,N34)</f>
        <v>-0.82070312499999998</v>
      </c>
      <c r="Q34" s="330">
        <f>+AVERAGE(L34,P34,N34,O34)</f>
        <v>-1.10087890625</v>
      </c>
      <c r="R34" s="172">
        <f>SUM(N34:Q34)</f>
        <v>-4.4793945312499996</v>
      </c>
      <c r="S34" s="330">
        <f>+AVERAGE(N34,O34,P34,Q34)</f>
        <v>-1.1198486328124999</v>
      </c>
      <c r="T34" s="330">
        <f>+AVERAGE(O34,P34,Q34,S34)</f>
        <v>-1.1044982910156249</v>
      </c>
      <c r="U34" s="330">
        <f>+AVERAGE(P34,Q34,T34,S34)</f>
        <v>-1.0364822387695312</v>
      </c>
      <c r="V34" s="330">
        <f>+AVERAGE(Q34,U34,S34,T34)</f>
        <v>-1.0904270172119139</v>
      </c>
      <c r="W34" s="172">
        <f>SUM(S34:V34)</f>
        <v>-4.3512561798095701</v>
      </c>
      <c r="X34" s="330">
        <f>+AVERAGE(S34,T34,U34,V34)</f>
        <v>-1.0878140449523925</v>
      </c>
      <c r="Y34" s="330">
        <f>+AVERAGE(T34,U34,V34,X34)</f>
        <v>-1.0798053979873656</v>
      </c>
      <c r="Z34" s="330">
        <f>+AVERAGE(U34,V34,Y34,X34)</f>
        <v>-1.0736321747303008</v>
      </c>
      <c r="AA34" s="330">
        <f>+AVERAGE(V34,Z34,X34,Y34)</f>
        <v>-1.0829196587204932</v>
      </c>
      <c r="AB34" s="172">
        <f>SUM(X34:AA34)</f>
        <v>-4.324171276390552</v>
      </c>
      <c r="AC34" s="330">
        <f>+AVERAGE(X34,Y34,Z34,AA34)</f>
        <v>-1.081042819097638</v>
      </c>
      <c r="AD34" s="330">
        <f>+AVERAGE(Y34,Z34,AA34,AC34)</f>
        <v>-1.0793500126339495</v>
      </c>
      <c r="AE34" s="330">
        <f>+AVERAGE(Z34,AA34,AD34,AC34)</f>
        <v>-1.0792361662955954</v>
      </c>
      <c r="AF34" s="330">
        <f>+AVERAGE(AA34,AE34,AC34,AD34)</f>
        <v>-1.080637164186919</v>
      </c>
      <c r="AG34" s="172">
        <f>SUM(AC34:AF34)</f>
        <v>-4.3202661622141019</v>
      </c>
      <c r="AH34" s="330">
        <f>+AVERAGE(AC34,AD34,AE34,AF34)</f>
        <v>-1.0800665405535255</v>
      </c>
      <c r="AI34" s="330">
        <f>+AVERAGE(AD34,AE34,AF34,AH34)</f>
        <v>-1.0798224709174973</v>
      </c>
      <c r="AJ34" s="330">
        <f>+AVERAGE(AE34,AF34,AI34,AH34)</f>
        <v>-1.0799405854883841</v>
      </c>
      <c r="AK34" s="330">
        <f>+AVERAGE(AF34,AJ34,AH34,AI34)</f>
        <v>-1.0801166902865815</v>
      </c>
      <c r="AL34" s="172">
        <f>SUM(AH34:AK34)</f>
        <v>-4.3199462872459886</v>
      </c>
    </row>
    <row r="35" spans="1:38" s="13" customFormat="1" x14ac:dyDescent="0.25">
      <c r="A35" s="257"/>
      <c r="B35" s="213" t="s">
        <v>60</v>
      </c>
      <c r="C35" s="68"/>
      <c r="D35" s="171">
        <f t="shared" ref="D35:R35" si="33">+D33-D34</f>
        <v>760.60000000000048</v>
      </c>
      <c r="E35" s="171">
        <f t="shared" si="33"/>
        <v>663.1999999999997</v>
      </c>
      <c r="F35" s="171">
        <f t="shared" si="33"/>
        <v>1372.8000000000009</v>
      </c>
      <c r="G35" s="171">
        <f t="shared" si="33"/>
        <v>802.60000000000093</v>
      </c>
      <c r="H35" s="187">
        <f t="shared" si="33"/>
        <v>3599.2000000000053</v>
      </c>
      <c r="I35" s="171">
        <f t="shared" si="33"/>
        <v>885.69999999999879</v>
      </c>
      <c r="J35" s="171">
        <f t="shared" si="33"/>
        <v>328.39999999999907</v>
      </c>
      <c r="K35" s="171">
        <f t="shared" si="33"/>
        <v>-678.39999999999918</v>
      </c>
      <c r="L35" s="171">
        <f t="shared" si="33"/>
        <v>191.77944237456697</v>
      </c>
      <c r="M35" s="187">
        <f t="shared" si="33"/>
        <v>727.47944237456727</v>
      </c>
      <c r="N35" s="171">
        <f t="shared" si="33"/>
        <v>610.84853697538449</v>
      </c>
      <c r="O35" s="171">
        <f t="shared" si="33"/>
        <v>610.9944815286832</v>
      </c>
      <c r="P35" s="171">
        <f t="shared" si="33"/>
        <v>696.90182734617326</v>
      </c>
      <c r="Q35" s="171">
        <f t="shared" si="33"/>
        <v>769.56608406741498</v>
      </c>
      <c r="R35" s="187">
        <f t="shared" si="33"/>
        <v>2688.3109299176599</v>
      </c>
      <c r="S35" s="171">
        <f t="shared" ref="S35:AL35" si="34">+S33-S34</f>
        <v>593.88341112853709</v>
      </c>
      <c r="T35" s="171">
        <f t="shared" si="34"/>
        <v>676.05253868581622</v>
      </c>
      <c r="U35" s="171">
        <f t="shared" si="34"/>
        <v>773.2029087944602</v>
      </c>
      <c r="V35" s="171">
        <f t="shared" si="34"/>
        <v>852.6103422989313</v>
      </c>
      <c r="W35" s="187">
        <f t="shared" si="34"/>
        <v>2895.749200907745</v>
      </c>
      <c r="X35" s="171">
        <f t="shared" si="34"/>
        <v>898.61553785227647</v>
      </c>
      <c r="Y35" s="171">
        <f t="shared" si="34"/>
        <v>723.38400286213334</v>
      </c>
      <c r="Z35" s="171">
        <f t="shared" si="34"/>
        <v>833.35622945684565</v>
      </c>
      <c r="AA35" s="171">
        <f t="shared" si="34"/>
        <v>907.84235466190933</v>
      </c>
      <c r="AB35" s="187">
        <f t="shared" si="34"/>
        <v>3363.1981248331681</v>
      </c>
      <c r="AC35" s="171">
        <f t="shared" si="34"/>
        <v>962.73604275063576</v>
      </c>
      <c r="AD35" s="171">
        <f t="shared" si="34"/>
        <v>777.76074009082333</v>
      </c>
      <c r="AE35" s="171">
        <f t="shared" si="34"/>
        <v>910.76928146435637</v>
      </c>
      <c r="AF35" s="171">
        <f t="shared" si="34"/>
        <v>981.55239971424146</v>
      </c>
      <c r="AG35" s="187">
        <f t="shared" si="34"/>
        <v>3632.818464020062</v>
      </c>
      <c r="AH35" s="171">
        <f t="shared" si="34"/>
        <v>1039.3600936374662</v>
      </c>
      <c r="AI35" s="171">
        <f t="shared" si="34"/>
        <v>834.24210034403757</v>
      </c>
      <c r="AJ35" s="171">
        <f t="shared" si="34"/>
        <v>983.34475174051306</v>
      </c>
      <c r="AK35" s="171">
        <f t="shared" si="34"/>
        <v>1060.5218667615386</v>
      </c>
      <c r="AL35" s="187">
        <f t="shared" si="34"/>
        <v>3917.4688124835534</v>
      </c>
    </row>
    <row r="36" spans="1:38" s="13" customFormat="1" ht="17.25" x14ac:dyDescent="0.4">
      <c r="A36" s="257"/>
      <c r="B36" s="141" t="s">
        <v>164</v>
      </c>
      <c r="C36" s="138"/>
      <c r="D36" s="177">
        <f t="shared" ref="D36:K36" si="35">-D177-D178</f>
        <v>41.449999999998646</v>
      </c>
      <c r="E36" s="177">
        <f t="shared" si="35"/>
        <v>-54.179999999999545</v>
      </c>
      <c r="F36" s="177">
        <f t="shared" si="35"/>
        <v>-544.16000000000076</v>
      </c>
      <c r="G36" s="177">
        <f t="shared" si="35"/>
        <v>-30</v>
      </c>
      <c r="H36" s="267">
        <f>SUM(D36:G36)</f>
        <v>-586.89000000000169</v>
      </c>
      <c r="I36" s="177">
        <f t="shared" si="35"/>
        <v>-11</v>
      </c>
      <c r="J36" s="177">
        <f t="shared" si="35"/>
        <v>-23</v>
      </c>
      <c r="K36" s="177">
        <f t="shared" si="35"/>
        <v>-35.055</v>
      </c>
      <c r="L36" s="177">
        <f>-L177-L178</f>
        <v>-47</v>
      </c>
      <c r="M36" s="186">
        <f>SUM(I36:L36)</f>
        <v>-116.05500000000001</v>
      </c>
      <c r="N36" s="177">
        <f>-N177-N178</f>
        <v>-24.529499999999999</v>
      </c>
      <c r="O36" s="177">
        <f>-O177-O178</f>
        <v>-24.145687500000005</v>
      </c>
      <c r="P36" s="177">
        <f>-P177-P178</f>
        <v>-23.628898437500002</v>
      </c>
      <c r="Q36" s="177">
        <f>-Q177-Q178</f>
        <v>-6.1075138212010334</v>
      </c>
      <c r="R36" s="186">
        <f>SUM(N36:Q36)</f>
        <v>-78.411599758701044</v>
      </c>
      <c r="S36" s="177">
        <f>-S177-S178</f>
        <v>-24.446262084960939</v>
      </c>
      <c r="T36" s="177">
        <f>-T177-T178</f>
        <v>-25.712044845581058</v>
      </c>
      <c r="U36" s="177">
        <f>-U177-U178</f>
        <v>-27.256050451278686</v>
      </c>
      <c r="V36" s="177">
        <f>-V177-V178</f>
        <v>-26.321056757688524</v>
      </c>
      <c r="W36" s="186">
        <f>SUM(S36:V36)</f>
        <v>-103.7354141395092</v>
      </c>
      <c r="X36" s="177">
        <f>-X177-X178</f>
        <v>-24.936188852399592</v>
      </c>
      <c r="Y36" s="177">
        <f>-Y177-Y178</f>
        <v>-24.98702495894954</v>
      </c>
      <c r="Z36" s="177">
        <f>-Z177-Z178</f>
        <v>-25.092192141318233</v>
      </c>
      <c r="AA36" s="177">
        <f>-AA177-AA178</f>
        <v>-25.275103854295509</v>
      </c>
      <c r="AB36" s="186">
        <f>SUM(X36:AA36)</f>
        <v>-100.29050980696287</v>
      </c>
      <c r="AC36" s="177">
        <f>-AC177-AC178</f>
        <v>-25.503240493309011</v>
      </c>
      <c r="AD36" s="177">
        <f>-AD177-AD178</f>
        <v>-25.635362794352524</v>
      </c>
      <c r="AE36" s="177">
        <f>-AE177-AE178</f>
        <v>-25.625777537948956</v>
      </c>
      <c r="AF36" s="177">
        <f>-AF177-AF178</f>
        <v>-25.421993423782734</v>
      </c>
      <c r="AG36" s="186">
        <f>SUM(AC36:AF36)</f>
        <v>-102.18637424939322</v>
      </c>
      <c r="AH36" s="177">
        <f>-AH177-AH178</f>
        <v>-25.309610507044511</v>
      </c>
      <c r="AI36" s="177">
        <f>-AI177-AI178</f>
        <v>-25.356288213875125</v>
      </c>
      <c r="AJ36" s="177">
        <f>-AJ177-AJ178</f>
        <v>-25.402446120740823</v>
      </c>
      <c r="AK36" s="177">
        <f>-AK177-AK178</f>
        <v>-25.441227868168649</v>
      </c>
      <c r="AL36" s="186">
        <f>SUM(AH36:AK36)</f>
        <v>-101.50957270982911</v>
      </c>
    </row>
    <row r="37" spans="1:38" s="13" customFormat="1" x14ac:dyDescent="0.25">
      <c r="A37" s="257"/>
      <c r="B37" s="139" t="s">
        <v>165</v>
      </c>
      <c r="C37" s="140"/>
      <c r="D37" s="176">
        <f t="shared" ref="D37:Q37" si="36">+D27+D28+D29+D30-D32-D34+D36</f>
        <v>940.04999999999916</v>
      </c>
      <c r="E37" s="176">
        <f t="shared" si="36"/>
        <v>750.42000000000007</v>
      </c>
      <c r="F37" s="176">
        <f t="shared" si="36"/>
        <v>953.94</v>
      </c>
      <c r="G37" s="176">
        <f t="shared" si="36"/>
        <v>850.00000000000102</v>
      </c>
      <c r="H37" s="266">
        <f t="shared" si="36"/>
        <v>3494.4100000000039</v>
      </c>
      <c r="I37" s="176">
        <f t="shared" si="36"/>
        <v>946.2999999999987</v>
      </c>
      <c r="J37" s="176">
        <f t="shared" si="36"/>
        <v>372.19999999999902</v>
      </c>
      <c r="K37" s="176">
        <f t="shared" si="36"/>
        <v>-539.7749999999993</v>
      </c>
      <c r="L37" s="176">
        <f t="shared" si="36"/>
        <v>331.77944237456694</v>
      </c>
      <c r="M37" s="186">
        <f>SUM(I37:L37)</f>
        <v>1110.5044423745653</v>
      </c>
      <c r="N37" s="176">
        <f t="shared" si="36"/>
        <v>708.96653697538432</v>
      </c>
      <c r="O37" s="176">
        <f t="shared" si="36"/>
        <v>707.57723152868311</v>
      </c>
      <c r="P37" s="176">
        <f t="shared" si="36"/>
        <v>791.41742109617337</v>
      </c>
      <c r="Q37" s="176">
        <f t="shared" si="36"/>
        <v>793.99613935221907</v>
      </c>
      <c r="R37" s="186">
        <f>SUM(N37:Q37)</f>
        <v>3001.9573289524596</v>
      </c>
      <c r="S37" s="176">
        <f>+S27+S28+S29+S30-S32-S34+S36</f>
        <v>691.66845946838077</v>
      </c>
      <c r="T37" s="176">
        <f>+T27+T28+T29+T30-T32-T34+T36</f>
        <v>778.90071806814024</v>
      </c>
      <c r="U37" s="176">
        <f>+U27+U28+U29+U30-U32-U34+U36</f>
        <v>882.22711059957487</v>
      </c>
      <c r="V37" s="176">
        <f>+V27+V28+V29+V30-V32-V34+V36</f>
        <v>957.8945693296854</v>
      </c>
      <c r="W37" s="186">
        <f>SUM(S37:V37)</f>
        <v>3310.6908574657814</v>
      </c>
      <c r="X37" s="176">
        <f>+X27+X28+X29+X30-X32-X34+X36</f>
        <v>998.36029326187474</v>
      </c>
      <c r="Y37" s="176">
        <f>+Y27+Y28+Y29+Y30-Y32-Y34+Y36</f>
        <v>823.33210269793153</v>
      </c>
      <c r="Z37" s="176">
        <f>+Z27+Z28+Z29+Z30-Z32-Z34+Z36</f>
        <v>933.72499802211848</v>
      </c>
      <c r="AA37" s="176">
        <f>+AA27+AA28+AA29+AA30-AA32-AA34+AA36</f>
        <v>1008.9427700790915</v>
      </c>
      <c r="AB37" s="186">
        <f>SUM(X37:AA37)</f>
        <v>3764.3601640610163</v>
      </c>
      <c r="AC37" s="176">
        <f>+AC27+AC28+AC29+AC30-AC32-AC34+AC36</f>
        <v>1064.7490047238716</v>
      </c>
      <c r="AD37" s="176">
        <f>+AD27+AD28+AD29+AD30-AD32-AD34+AD36</f>
        <v>880.30219126823317</v>
      </c>
      <c r="AE37" s="176">
        <f>+AE27+AE28+AE29+AE30-AE32-AE34+AE36</f>
        <v>1013.2723916161523</v>
      </c>
      <c r="AF37" s="176">
        <f>+AF27+AF28+AF29+AF30-AF32-AF34+AF36</f>
        <v>1083.2403734093725</v>
      </c>
      <c r="AG37" s="186">
        <f>SUM(AC37:AF37)</f>
        <v>4041.5639610176295</v>
      </c>
      <c r="AH37" s="176">
        <f>+AH27+AH28+AH29+AH30-AH32-AH34+AH36</f>
        <v>1140.5985356656442</v>
      </c>
      <c r="AI37" s="176">
        <f>+AI27+AI28+AI29+AI30-AI32-AI34+AI36</f>
        <v>935.6672531995381</v>
      </c>
      <c r="AJ37" s="176">
        <f>+AJ27+AJ28+AJ29+AJ30-AJ32-AJ34+AJ36</f>
        <v>1084.9545362234765</v>
      </c>
      <c r="AK37" s="176">
        <f>+AK27+AK28+AK29+AK30-AK32-AK34+AK36</f>
        <v>1162.286778234213</v>
      </c>
      <c r="AL37" s="186">
        <f>SUM(AH37:AK37)</f>
        <v>4323.5071033228714</v>
      </c>
    </row>
    <row r="38" spans="1:38" x14ac:dyDescent="0.25">
      <c r="A38" s="166"/>
      <c r="B38" s="452" t="s">
        <v>0</v>
      </c>
      <c r="C38" s="453"/>
      <c r="D38" s="168">
        <v>1242</v>
      </c>
      <c r="E38" s="168">
        <v>1239.2</v>
      </c>
      <c r="F38" s="168">
        <v>1211</v>
      </c>
      <c r="G38" s="168">
        <v>1210.7904210526317</v>
      </c>
      <c r="H38" s="169">
        <v>1221.2</v>
      </c>
      <c r="I38" s="168">
        <v>1180.4000000000001</v>
      </c>
      <c r="J38" s="168">
        <v>1171.8</v>
      </c>
      <c r="K38" s="168">
        <v>1168.5</v>
      </c>
      <c r="L38" s="168">
        <f>K38*(1+L157)-L161-L164-L167</f>
        <v>1168.1513533898762</v>
      </c>
      <c r="M38" s="169">
        <f>+(I35/M35*I38)+(J35/M35*J38)+(K35/M35*K38)+(L35/M35*L38)</f>
        <v>1184.3859289683851</v>
      </c>
      <c r="N38" s="168">
        <f>L38*(1+N157)-N161-N164-N167</f>
        <v>1160.9290088746488</v>
      </c>
      <c r="O38" s="168">
        <f>N38*(1+O157)-O161-O164-O167</f>
        <v>1157.5214198262709</v>
      </c>
      <c r="P38" s="168">
        <f>O38*(1+P157)-P161-P164-P167</f>
        <v>1152.1640017167472</v>
      </c>
      <c r="Q38" s="168">
        <f>P38*(1+Q157)-Q161-Q164-Q167</f>
        <v>1147.7048920325071</v>
      </c>
      <c r="R38" s="169">
        <f>+(N35/R35*N38)+(O35/R35*O38)+(P35/R35*P38)+(Q35/R35*Q38)</f>
        <v>1154.0967636838202</v>
      </c>
      <c r="S38" s="168">
        <f>Q38*(1+S157)-S161-S164-S167</f>
        <v>1142.5329421434096</v>
      </c>
      <c r="T38" s="168">
        <f>S38*(1+T157)-T161-T164-T167</f>
        <v>1138.2968124360725</v>
      </c>
      <c r="U38" s="168">
        <f>T38*(1+U157)-U161-U164-U167</f>
        <v>1133.1252457147959</v>
      </c>
      <c r="V38" s="168">
        <f>U38*(1+V157)-V161-V164-V167</f>
        <v>1128.1880217184967</v>
      </c>
      <c r="W38" s="169">
        <f>+(S35/W35*S38)+(T35/W35*T38)+(U35/W35*U38)+(V35/W35*V38)</f>
        <v>1134.8083325697521</v>
      </c>
      <c r="X38" s="168">
        <f>V38*(1+X157)-X161-X164-X167</f>
        <v>1121.895882077873</v>
      </c>
      <c r="Y38" s="168">
        <f>X38*(1+Y157)-Y161-Y164-Y167</f>
        <v>1115.966438954616</v>
      </c>
      <c r="Z38" s="168">
        <f>Y38*(1+Z157)-Z161-Z164-Z167</f>
        <v>1109.8674905003447</v>
      </c>
      <c r="AA38" s="168">
        <f>Z38*(1+AA157)-AA161-AA164-AA167</f>
        <v>1103.8426676704264</v>
      </c>
      <c r="AB38" s="169">
        <f>+(X35/AB35*X38)+(Y35/AB35*Y38)+(Z35/AB35*Z38)+(AA35/AB35*AA38)</f>
        <v>1112.7668712703032</v>
      </c>
      <c r="AC38" s="168">
        <f>AA38*(1+AC157)-AC161-AC164-AC167</f>
        <v>1097.8711844136108</v>
      </c>
      <c r="AD38" s="168">
        <f>AC38*(1+AD157)-AD161-AD164-AD167</f>
        <v>1092.0210422005239</v>
      </c>
      <c r="AE38" s="168">
        <f>AD38*(1+AE157)-AE161-AE164-AE167</f>
        <v>1086.1346851446956</v>
      </c>
      <c r="AF38" s="168">
        <f>AE38*(1+AF157)-AF161-AF164-AF167</f>
        <v>1080.28166110346</v>
      </c>
      <c r="AG38" s="169">
        <f>+(AC35/AG35*AC38)+(AD35/AG35*AD38)+(AE35/AG35*AE38)+(AF35/AG35*AF38)</f>
        <v>1088.9237808810135</v>
      </c>
      <c r="AH38" s="168">
        <f>AF38*(1+AH157)-AH161-AH164-AH167</f>
        <v>1074.4902751852674</v>
      </c>
      <c r="AI38" s="168">
        <f>AH38*(1+AI157)-AI161-AI164-AI167</f>
        <v>1068.7484021948687</v>
      </c>
      <c r="AJ38" s="168">
        <f>AI38*(1+AJ157)-AJ161-AJ164-AJ167</f>
        <v>1063.01014592519</v>
      </c>
      <c r="AK38" s="168">
        <f>AJ38*(1+AK157)-AK161-AK164-AK167</f>
        <v>1057.2949106934675</v>
      </c>
      <c r="AL38" s="169">
        <f>+(AH35/AL35*AH38)+(AI35/AL35*AI38)+(AJ35/AL35*AJ38)+(AK35/AL35*AK38)</f>
        <v>1065.7307677753411</v>
      </c>
    </row>
    <row r="39" spans="1:38" ht="15.75" customHeight="1" x14ac:dyDescent="0.25">
      <c r="A39" s="166"/>
      <c r="B39" s="452" t="s">
        <v>1</v>
      </c>
      <c r="C39" s="453"/>
      <c r="D39" s="168">
        <v>1253.4000000000001</v>
      </c>
      <c r="E39" s="168">
        <v>1250.7</v>
      </c>
      <c r="F39" s="168">
        <v>1223</v>
      </c>
      <c r="G39" s="168">
        <v>1222.8144210526316</v>
      </c>
      <c r="H39" s="169">
        <v>1233.2</v>
      </c>
      <c r="I39" s="168">
        <v>1191</v>
      </c>
      <c r="J39" s="168">
        <v>1180.7</v>
      </c>
      <c r="K39" s="168">
        <v>1168.5</v>
      </c>
      <c r="L39" s="168">
        <f>K39*(1+L158)-L161-L164-L167</f>
        <v>1165.1931225650246</v>
      </c>
      <c r="M39" s="169">
        <f>+(I35/M35*I39)+(J35/M35*J39)+(K35/M35*K39)+(L35/M35*L39)</f>
        <v>1200.5291372268364</v>
      </c>
      <c r="N39" s="168">
        <f>L39*(1+N158)-N161-N164-N167</f>
        <v>1153.6872963784374</v>
      </c>
      <c r="O39" s="168">
        <f>N39*(1+O158)-O161-O164-O167</f>
        <v>1147.3576519873752</v>
      </c>
      <c r="P39" s="168">
        <f>O39*(1+P158)-P161-P164-P167</f>
        <v>1136.776161696808</v>
      </c>
      <c r="Q39" s="168">
        <f>P39*(1+Q158)-Q161-Q164-Q167</f>
        <v>1128.5649996496052</v>
      </c>
      <c r="R39" s="169">
        <f>+(N35/R35*N39)+(O35/R35*O39)+(P35/R35*P39)+(Q35/R35*Q39)</f>
        <v>1140.6731596645097</v>
      </c>
      <c r="S39" s="168">
        <f>Q39*(1+S158)-S161-S164-S167</f>
        <v>1119.1006596369082</v>
      </c>
      <c r="T39" s="168">
        <f>S39*(1+T158)-T161-T164-T167</f>
        <v>1111.2952265663962</v>
      </c>
      <c r="U39" s="168">
        <f>T39*(1+U158)-U161-U164-U167</f>
        <v>1101.8815295791348</v>
      </c>
      <c r="V39" s="168">
        <f>U39*(1+V158)-V161-V164-V167</f>
        <v>1093.0911471290381</v>
      </c>
      <c r="W39" s="169">
        <f>+(S35/W35*S39)+(T35/W35*T39)+(U35/W35*U39)+(V35/W35*V39)</f>
        <v>1105.0225261991</v>
      </c>
      <c r="X39" s="168">
        <f>V39*(1+X158)-X161-X164-X167</f>
        <v>1082.7847354057969</v>
      </c>
      <c r="Y39" s="168">
        <f>X39*(1+Y158)-Y161-Y164-Y167</f>
        <v>1073.147428261447</v>
      </c>
      <c r="Z39" s="168">
        <f>Y39*(1+Z158)-Z161-Z164-Z167</f>
        <v>1063.1784583883727</v>
      </c>
      <c r="AA39" s="168">
        <f>Z39*(1+AA158)-AA161-AA164-AA167</f>
        <v>1053.4149754063417</v>
      </c>
      <c r="AB39" s="169">
        <f>+(X35/AB35*X39)+(Y35/AB35*Y39)+(Z35/AB35*Z39)+(AA35/AB35*AA39)</f>
        <v>1067.9257835609478</v>
      </c>
      <c r="AC39" s="168">
        <f>AA39*(1+AC158)-AC161-AC164-AC167</f>
        <v>1043.6873563599265</v>
      </c>
      <c r="AD39" s="168">
        <f>AC39*(1+AD158)-AD161-AD164-AD167</f>
        <v>1034.2146545695366</v>
      </c>
      <c r="AE39" s="168">
        <f>AD39*(1+AE158)-AE161-AE164-AE167</f>
        <v>1024.6928252305004</v>
      </c>
      <c r="AF39" s="168">
        <f>AE39*(1+AF158)-AF161-AF164-AF167</f>
        <v>1015.2714514744118</v>
      </c>
      <c r="AG39" s="169">
        <f>+(AC35/AG35*AC39)+(AD35/AG35*AD39)+(AE35/AG35*AE39)+(AF35/AG35*AF39)</f>
        <v>1029.2195729640214</v>
      </c>
      <c r="AH39" s="168">
        <f>AF39*(1+AH158)-AH161-AH164-AH167</f>
        <v>1005.9386620402889</v>
      </c>
      <c r="AI39" s="168">
        <f>AH39*(1+AI158)-AI161-AI164-AI167</f>
        <v>996.72847218547292</v>
      </c>
      <c r="AJ39" s="168">
        <f>AI39*(1+AJ158)-AJ161-AJ164-AJ167</f>
        <v>987.55089946586611</v>
      </c>
      <c r="AK39" s="168">
        <f>AJ39*(1+AK158)-AK161-AK164-AK167</f>
        <v>978.44679143637325</v>
      </c>
      <c r="AL39" s="169">
        <f>+(AH35/AL35*AH39)+(AI35/AL35*AI39)+(AJ35/AL35*AJ39)+(AK35/AL35*AK39)</f>
        <v>991.91920955314345</v>
      </c>
    </row>
    <row r="40" spans="1:38" ht="15.75" customHeight="1" x14ac:dyDescent="0.25">
      <c r="A40" s="166"/>
      <c r="B40" s="459" t="s">
        <v>31</v>
      </c>
      <c r="C40" s="460"/>
      <c r="D40" s="178">
        <f t="shared" ref="D40:K40" si="37">D35/D38</f>
        <v>0.61239935587761718</v>
      </c>
      <c r="E40" s="178">
        <f t="shared" si="37"/>
        <v>0.53518398967075509</v>
      </c>
      <c r="F40" s="178">
        <f t="shared" si="37"/>
        <v>1.1336085879438487</v>
      </c>
      <c r="G40" s="178">
        <f t="shared" si="37"/>
        <v>0.66287276975832043</v>
      </c>
      <c r="H40" s="219">
        <f t="shared" si="37"/>
        <v>2.947264985260404</v>
      </c>
      <c r="I40" s="178">
        <f t="shared" si="37"/>
        <v>0.75033886818027684</v>
      </c>
      <c r="J40" s="178">
        <f t="shared" si="37"/>
        <v>0.28025260283324721</v>
      </c>
      <c r="K40" s="178">
        <f t="shared" si="37"/>
        <v>-0.58057338468121455</v>
      </c>
      <c r="L40" s="178">
        <f t="shared" ref="L40:R40" si="38">L35/L38</f>
        <v>0.1641734539090669</v>
      </c>
      <c r="M40" s="219">
        <f t="shared" si="38"/>
        <v>0.6142249959083953</v>
      </c>
      <c r="N40" s="178">
        <f>N35/N38</f>
        <v>0.5261721709990802</v>
      </c>
      <c r="O40" s="178">
        <f t="shared" si="38"/>
        <v>0.52784723553572399</v>
      </c>
      <c r="P40" s="178">
        <f t="shared" si="38"/>
        <v>0.60486339297858271</v>
      </c>
      <c r="Q40" s="178">
        <f t="shared" si="38"/>
        <v>0.67052609900840088</v>
      </c>
      <c r="R40" s="219">
        <f t="shared" si="38"/>
        <v>2.3293635460311868</v>
      </c>
      <c r="S40" s="178">
        <f t="shared" ref="S40:AL40" si="39">S35/S38</f>
        <v>0.51979543803297479</v>
      </c>
      <c r="T40" s="178">
        <f t="shared" si="39"/>
        <v>0.59391586737293423</v>
      </c>
      <c r="U40" s="178">
        <f t="shared" si="39"/>
        <v>0.68236314716182123</v>
      </c>
      <c r="V40" s="178">
        <f t="shared" si="39"/>
        <v>0.75573426227323748</v>
      </c>
      <c r="W40" s="219">
        <f t="shared" si="39"/>
        <v>2.5517517961384506</v>
      </c>
      <c r="X40" s="178">
        <f t="shared" si="39"/>
        <v>0.80097944221699335</v>
      </c>
      <c r="Y40" s="178">
        <f t="shared" si="39"/>
        <v>0.64821304441714656</v>
      </c>
      <c r="Z40" s="178">
        <f t="shared" si="39"/>
        <v>0.75086101412084461</v>
      </c>
      <c r="AA40" s="178">
        <f t="shared" si="39"/>
        <v>0.82243818005136515</v>
      </c>
      <c r="AB40" s="219">
        <f t="shared" si="39"/>
        <v>3.0223744179172374</v>
      </c>
      <c r="AC40" s="178">
        <f t="shared" si="39"/>
        <v>0.87691165996386666</v>
      </c>
      <c r="AD40" s="178">
        <f t="shared" si="39"/>
        <v>0.71222138588425288</v>
      </c>
      <c r="AE40" s="178">
        <f t="shared" si="39"/>
        <v>0.83854175170091638</v>
      </c>
      <c r="AF40" s="178">
        <f t="shared" si="39"/>
        <v>0.90860785205927597</v>
      </c>
      <c r="AG40" s="219">
        <f t="shared" si="39"/>
        <v>3.336154952076503</v>
      </c>
      <c r="AH40" s="178">
        <f t="shared" si="39"/>
        <v>0.9673052587267541</v>
      </c>
      <c r="AI40" s="178">
        <f t="shared" si="39"/>
        <v>0.78057857081308391</v>
      </c>
      <c r="AJ40" s="178">
        <f t="shared" si="39"/>
        <v>0.92505678850756379</v>
      </c>
      <c r="AK40" s="178">
        <f t="shared" si="39"/>
        <v>1.0030520870151116</v>
      </c>
      <c r="AL40" s="219">
        <f t="shared" si="39"/>
        <v>3.6758522235977766</v>
      </c>
    </row>
    <row r="41" spans="1:38" x14ac:dyDescent="0.25">
      <c r="A41" s="166"/>
      <c r="B41" s="459" t="s">
        <v>32</v>
      </c>
      <c r="C41" s="460"/>
      <c r="D41" s="178">
        <f t="shared" ref="D41:K41" si="40">D35/D39</f>
        <v>0.60682942396681061</v>
      </c>
      <c r="E41" s="178">
        <f t="shared" si="40"/>
        <v>0.53026305269049312</v>
      </c>
      <c r="F41" s="178">
        <f t="shared" si="40"/>
        <v>1.1224856909239582</v>
      </c>
      <c r="G41" s="178">
        <f t="shared" si="40"/>
        <v>0.65635470614510849</v>
      </c>
      <c r="H41" s="219">
        <f t="shared" si="40"/>
        <v>2.9185857930587131</v>
      </c>
      <c r="I41" s="178">
        <f t="shared" si="40"/>
        <v>0.74366078925272783</v>
      </c>
      <c r="J41" s="178">
        <f t="shared" si="40"/>
        <v>0.27814008638942922</v>
      </c>
      <c r="K41" s="178">
        <f t="shared" si="40"/>
        <v>-0.58057338468121455</v>
      </c>
      <c r="L41" s="178">
        <f t="shared" ref="L41:R41" si="41">L35/L39</f>
        <v>0.16459026290198905</v>
      </c>
      <c r="M41" s="219">
        <f t="shared" si="41"/>
        <v>0.60596566948388209</v>
      </c>
      <c r="N41" s="178">
        <f t="shared" si="41"/>
        <v>0.52947496162340624</v>
      </c>
      <c r="O41" s="178">
        <f t="shared" si="41"/>
        <v>0.53252312430248749</v>
      </c>
      <c r="P41" s="178">
        <f t="shared" si="41"/>
        <v>0.61305105686412642</v>
      </c>
      <c r="Q41" s="178">
        <f t="shared" si="41"/>
        <v>0.68189788298090803</v>
      </c>
      <c r="R41" s="219">
        <f t="shared" si="41"/>
        <v>2.3567758276247468</v>
      </c>
      <c r="S41" s="178">
        <f t="shared" ref="S41:AL41" si="42">S35/S39</f>
        <v>0.5306791717209981</v>
      </c>
      <c r="T41" s="178">
        <f t="shared" si="42"/>
        <v>0.60834647942710685</v>
      </c>
      <c r="U41" s="178">
        <f t="shared" si="42"/>
        <v>0.70171147082371554</v>
      </c>
      <c r="V41" s="178">
        <f t="shared" si="42"/>
        <v>0.77999931162033431</v>
      </c>
      <c r="W41" s="219">
        <f t="shared" si="42"/>
        <v>2.6205340907104699</v>
      </c>
      <c r="X41" s="178">
        <f t="shared" si="42"/>
        <v>0.82991153132159823</v>
      </c>
      <c r="Y41" s="178">
        <f t="shared" si="42"/>
        <v>0.67407700359870582</v>
      </c>
      <c r="Z41" s="178">
        <f t="shared" si="42"/>
        <v>0.78383475782616507</v>
      </c>
      <c r="AA41" s="178">
        <f t="shared" si="42"/>
        <v>0.86180885582314837</v>
      </c>
      <c r="AB41" s="219">
        <f t="shared" si="42"/>
        <v>3.1492807614577329</v>
      </c>
      <c r="AC41" s="178">
        <f t="shared" si="42"/>
        <v>0.92243720007146102</v>
      </c>
      <c r="AD41" s="178">
        <f t="shared" si="42"/>
        <v>0.75203028370792602</v>
      </c>
      <c r="AE41" s="178">
        <f t="shared" si="42"/>
        <v>0.88882176105749799</v>
      </c>
      <c r="AF41" s="178">
        <f t="shared" si="42"/>
        <v>0.966788141524907</v>
      </c>
      <c r="AG41" s="219">
        <f t="shared" si="42"/>
        <v>3.5296826444506948</v>
      </c>
      <c r="AH41" s="178">
        <f t="shared" si="42"/>
        <v>1.0332241247487104</v>
      </c>
      <c r="AI41" s="178">
        <f t="shared" si="42"/>
        <v>0.83698030469104567</v>
      </c>
      <c r="AJ41" s="178">
        <f t="shared" si="42"/>
        <v>0.99574082943205455</v>
      </c>
      <c r="AK41" s="178">
        <f t="shared" si="42"/>
        <v>1.0838830236283754</v>
      </c>
      <c r="AL41" s="219">
        <f t="shared" si="42"/>
        <v>3.9493829484846463</v>
      </c>
    </row>
    <row r="42" spans="1:38" x14ac:dyDescent="0.25">
      <c r="A42" s="166"/>
      <c r="B42" s="143" t="s">
        <v>166</v>
      </c>
      <c r="C42" s="167"/>
      <c r="D42" s="179">
        <f t="shared" ref="D42:AL42" si="43">+D37/D39</f>
        <v>0.74999999999999922</v>
      </c>
      <c r="E42" s="179">
        <f t="shared" si="43"/>
        <v>0.60000000000000009</v>
      </c>
      <c r="F42" s="195">
        <f t="shared" si="43"/>
        <v>0.78</v>
      </c>
      <c r="G42" s="195">
        <f t="shared" si="43"/>
        <v>0.69511774261567683</v>
      </c>
      <c r="H42" s="194">
        <f t="shared" si="43"/>
        <v>2.8336117418099285</v>
      </c>
      <c r="I42" s="179">
        <f t="shared" si="43"/>
        <v>0.79454240134340781</v>
      </c>
      <c r="J42" s="179">
        <f t="shared" si="43"/>
        <v>0.31523672397730074</v>
      </c>
      <c r="K42" s="179">
        <f t="shared" si="43"/>
        <v>-0.46193838254171954</v>
      </c>
      <c r="L42" s="179">
        <f t="shared" si="43"/>
        <v>0.28474201911198777</v>
      </c>
      <c r="M42" s="194">
        <f t="shared" si="43"/>
        <v>0.92501248652721269</v>
      </c>
      <c r="N42" s="179">
        <f>+N37/N39</f>
        <v>0.61452227063686593</v>
      </c>
      <c r="O42" s="179">
        <f t="shared" si="43"/>
        <v>0.61670154053800552</v>
      </c>
      <c r="P42" s="179">
        <f t="shared" si="43"/>
        <v>0.69619459640573811</v>
      </c>
      <c r="Q42" s="179">
        <f t="shared" si="43"/>
        <v>0.70354489072294246</v>
      </c>
      <c r="R42" s="194">
        <f t="shared" si="43"/>
        <v>2.6317418828679928</v>
      </c>
      <c r="S42" s="179">
        <f t="shared" si="43"/>
        <v>0.6180574137922431</v>
      </c>
      <c r="T42" s="179">
        <f t="shared" si="43"/>
        <v>0.7008945053014709</v>
      </c>
      <c r="U42" s="179">
        <f t="shared" si="43"/>
        <v>0.80065514024592344</v>
      </c>
      <c r="V42" s="179">
        <f t="shared" si="43"/>
        <v>0.87631719627915627</v>
      </c>
      <c r="W42" s="194">
        <f t="shared" si="43"/>
        <v>2.9960392471395374</v>
      </c>
      <c r="X42" s="179">
        <f t="shared" si="43"/>
        <v>0.92203026198713234</v>
      </c>
      <c r="Y42" s="179">
        <f t="shared" si="43"/>
        <v>0.7672124826611858</v>
      </c>
      <c r="Z42" s="179">
        <f t="shared" si="43"/>
        <v>0.87823919931326744</v>
      </c>
      <c r="AA42" s="179">
        <f t="shared" si="43"/>
        <v>0.9577828240859253</v>
      </c>
      <c r="AB42" s="194">
        <f t="shared" si="43"/>
        <v>3.5249267524087076</v>
      </c>
      <c r="AC42" s="179">
        <f t="shared" si="43"/>
        <v>1.0201800359423745</v>
      </c>
      <c r="AD42" s="179">
        <f t="shared" si="43"/>
        <v>0.85117938271202964</v>
      </c>
      <c r="AE42" s="179">
        <f t="shared" si="43"/>
        <v>0.98885477351539075</v>
      </c>
      <c r="AF42" s="179">
        <f t="shared" si="43"/>
        <v>1.0669465509310381</v>
      </c>
      <c r="AG42" s="194">
        <f t="shared" si="43"/>
        <v>3.9268238451571995</v>
      </c>
      <c r="AH42" s="179">
        <f t="shared" si="43"/>
        <v>1.1338648952533867</v>
      </c>
      <c r="AI42" s="179">
        <f t="shared" si="43"/>
        <v>0.93873836186092974</v>
      </c>
      <c r="AJ42" s="179">
        <f t="shared" si="43"/>
        <v>1.0986315103457378</v>
      </c>
      <c r="AK42" s="179">
        <f t="shared" si="43"/>
        <v>1.1878896107656096</v>
      </c>
      <c r="AL42" s="194">
        <f t="shared" si="43"/>
        <v>4.3587290796299811</v>
      </c>
    </row>
    <row r="43" spans="1:38" x14ac:dyDescent="0.25">
      <c r="A43" s="166"/>
      <c r="B43" s="431" t="s">
        <v>116</v>
      </c>
      <c r="C43" s="288"/>
      <c r="D43" s="180">
        <v>0.36</v>
      </c>
      <c r="E43" s="180">
        <v>0.36</v>
      </c>
      <c r="F43" s="180">
        <v>0.36</v>
      </c>
      <c r="G43" s="180">
        <v>0.41</v>
      </c>
      <c r="H43" s="268">
        <f>+SUM(D43:G43)</f>
        <v>1.49</v>
      </c>
      <c r="I43" s="180">
        <v>0.41</v>
      </c>
      <c r="J43" s="180">
        <v>0.41</v>
      </c>
      <c r="K43" s="180">
        <v>0.41</v>
      </c>
      <c r="L43" s="447">
        <f>1.1*G43</f>
        <v>0.45100000000000001</v>
      </c>
      <c r="M43" s="268">
        <f>SUM(I43:L43)</f>
        <v>1.681</v>
      </c>
      <c r="N43" s="359">
        <f>+L43</f>
        <v>0.45100000000000001</v>
      </c>
      <c r="O43" s="359">
        <f>+N43</f>
        <v>0.45100000000000001</v>
      </c>
      <c r="P43" s="359">
        <f>+N43</f>
        <v>0.45100000000000001</v>
      </c>
      <c r="Q43" s="359">
        <f>1.05*P43</f>
        <v>0.47355000000000003</v>
      </c>
      <c r="R43" s="268">
        <f>SUM(N43:Q43)</f>
        <v>1.8265500000000001</v>
      </c>
      <c r="S43" s="359">
        <f>+Q43</f>
        <v>0.47355000000000003</v>
      </c>
      <c r="T43" s="359">
        <f>+S43</f>
        <v>0.47355000000000003</v>
      </c>
      <c r="U43" s="359">
        <f>+S43</f>
        <v>0.47355000000000003</v>
      </c>
      <c r="V43" s="359">
        <f>1.05*U43</f>
        <v>0.49722750000000004</v>
      </c>
      <c r="W43" s="268">
        <f>SUM(S43:V43)</f>
        <v>1.9178775000000003</v>
      </c>
      <c r="X43" s="359">
        <f>+V43</f>
        <v>0.49722750000000004</v>
      </c>
      <c r="Y43" s="359">
        <f>+X43</f>
        <v>0.49722750000000004</v>
      </c>
      <c r="Z43" s="359">
        <f>+X43</f>
        <v>0.49722750000000004</v>
      </c>
      <c r="AA43" s="359">
        <f>1.05*Z43</f>
        <v>0.52208887500000012</v>
      </c>
      <c r="AB43" s="268">
        <f>SUM(X43:AA43)</f>
        <v>2.0137713750000001</v>
      </c>
      <c r="AC43" s="359">
        <f>+AA43</f>
        <v>0.52208887500000012</v>
      </c>
      <c r="AD43" s="359">
        <f>+AC43</f>
        <v>0.52208887500000012</v>
      </c>
      <c r="AE43" s="359">
        <f>+AC43</f>
        <v>0.52208887500000012</v>
      </c>
      <c r="AF43" s="359">
        <f>1.05*AE43</f>
        <v>0.5481933187500001</v>
      </c>
      <c r="AG43" s="268">
        <f>SUM(AC43:AF43)</f>
        <v>2.1144599437500005</v>
      </c>
      <c r="AH43" s="359">
        <f>+AF43</f>
        <v>0.5481933187500001</v>
      </c>
      <c r="AI43" s="359">
        <f>+AH43</f>
        <v>0.5481933187500001</v>
      </c>
      <c r="AJ43" s="359">
        <f>+AH43</f>
        <v>0.5481933187500001</v>
      </c>
      <c r="AK43" s="359">
        <f>1.05*AJ43</f>
        <v>0.57560298468750015</v>
      </c>
      <c r="AL43" s="268">
        <f>SUM(AH43:AK43)</f>
        <v>2.2201829409375007</v>
      </c>
    </row>
    <row r="44" spans="1:38" x14ac:dyDescent="0.25">
      <c r="A44" s="166"/>
      <c r="B44" s="165" t="s">
        <v>37</v>
      </c>
      <c r="C44" s="44"/>
      <c r="D44" s="269"/>
      <c r="E44" s="242"/>
      <c r="F44" s="241"/>
      <c r="G44" s="242"/>
      <c r="H44" s="243"/>
      <c r="I44" s="242"/>
      <c r="J44" s="244"/>
      <c r="K44" s="244"/>
      <c r="L44" s="269"/>
      <c r="M44" s="285"/>
      <c r="N44" s="207"/>
      <c r="O44" s="44"/>
      <c r="P44" s="44"/>
      <c r="Q44" s="137"/>
      <c r="R44" s="6"/>
      <c r="S44" s="44"/>
      <c r="T44" s="44"/>
      <c r="U44" s="44"/>
      <c r="V44" s="137"/>
      <c r="W44" s="6"/>
      <c r="X44" s="44"/>
      <c r="Y44" s="44"/>
      <c r="Z44" s="44"/>
      <c r="AA44" s="137"/>
      <c r="AB44" s="6"/>
      <c r="AC44" s="44"/>
      <c r="AD44" s="44"/>
      <c r="AE44" s="44"/>
      <c r="AF44" s="137"/>
      <c r="AG44" s="6"/>
      <c r="AH44" s="44"/>
      <c r="AI44" s="44"/>
      <c r="AJ44" s="44"/>
      <c r="AK44" s="137"/>
      <c r="AL44" s="6"/>
    </row>
    <row r="45" spans="1:38" ht="15.75" x14ac:dyDescent="0.25">
      <c r="A45" s="166"/>
      <c r="B45" s="448" t="s">
        <v>57</v>
      </c>
      <c r="C45" s="467"/>
      <c r="D45" s="22" t="s">
        <v>59</v>
      </c>
      <c r="E45" s="22" t="s">
        <v>212</v>
      </c>
      <c r="F45" s="22" t="s">
        <v>214</v>
      </c>
      <c r="G45" s="22" t="s">
        <v>73</v>
      </c>
      <c r="H45" s="76" t="s">
        <v>73</v>
      </c>
      <c r="I45" s="22" t="s">
        <v>74</v>
      </c>
      <c r="J45" s="22" t="s">
        <v>75</v>
      </c>
      <c r="K45" s="22" t="s">
        <v>76</v>
      </c>
      <c r="L45" s="24" t="s">
        <v>77</v>
      </c>
      <c r="M45" s="78" t="s">
        <v>77</v>
      </c>
      <c r="N45" s="24" t="s">
        <v>78</v>
      </c>
      <c r="O45" s="24" t="s">
        <v>79</v>
      </c>
      <c r="P45" s="24" t="s">
        <v>80</v>
      </c>
      <c r="Q45" s="24" t="s">
        <v>81</v>
      </c>
      <c r="R45" s="78" t="s">
        <v>81</v>
      </c>
      <c r="S45" s="24" t="s">
        <v>82</v>
      </c>
      <c r="T45" s="24" t="s">
        <v>83</v>
      </c>
      <c r="U45" s="24" t="s">
        <v>84</v>
      </c>
      <c r="V45" s="24" t="s">
        <v>85</v>
      </c>
      <c r="W45" s="78" t="s">
        <v>85</v>
      </c>
      <c r="X45" s="24" t="s">
        <v>86</v>
      </c>
      <c r="Y45" s="24" t="s">
        <v>87</v>
      </c>
      <c r="Z45" s="24" t="s">
        <v>88</v>
      </c>
      <c r="AA45" s="24" t="s">
        <v>89</v>
      </c>
      <c r="AB45" s="78" t="s">
        <v>89</v>
      </c>
      <c r="AC45" s="24" t="s">
        <v>216</v>
      </c>
      <c r="AD45" s="24" t="s">
        <v>217</v>
      </c>
      <c r="AE45" s="24" t="s">
        <v>218</v>
      </c>
      <c r="AF45" s="24" t="s">
        <v>219</v>
      </c>
      <c r="AG45" s="78" t="s">
        <v>219</v>
      </c>
      <c r="AH45" s="24" t="s">
        <v>249</v>
      </c>
      <c r="AI45" s="24" t="s">
        <v>250</v>
      </c>
      <c r="AJ45" s="24" t="s">
        <v>251</v>
      </c>
      <c r="AK45" s="24" t="s">
        <v>252</v>
      </c>
      <c r="AL45" s="78" t="s">
        <v>252</v>
      </c>
    </row>
    <row r="46" spans="1:38" ht="17.25" x14ac:dyDescent="0.4">
      <c r="A46" s="166"/>
      <c r="B46" s="463"/>
      <c r="C46" s="464"/>
      <c r="D46" s="23" t="s">
        <v>72</v>
      </c>
      <c r="E46" s="23" t="s">
        <v>211</v>
      </c>
      <c r="F46" s="23" t="s">
        <v>215</v>
      </c>
      <c r="G46" s="23" t="s">
        <v>225</v>
      </c>
      <c r="H46" s="77" t="s">
        <v>226</v>
      </c>
      <c r="I46" s="23" t="s">
        <v>227</v>
      </c>
      <c r="J46" s="23" t="s">
        <v>228</v>
      </c>
      <c r="K46" s="23" t="s">
        <v>229</v>
      </c>
      <c r="L46" s="21" t="s">
        <v>90</v>
      </c>
      <c r="M46" s="79" t="s">
        <v>91</v>
      </c>
      <c r="N46" s="21" t="s">
        <v>92</v>
      </c>
      <c r="O46" s="21" t="s">
        <v>93</v>
      </c>
      <c r="P46" s="21" t="s">
        <v>94</v>
      </c>
      <c r="Q46" s="21" t="s">
        <v>95</v>
      </c>
      <c r="R46" s="79" t="s">
        <v>96</v>
      </c>
      <c r="S46" s="21" t="s">
        <v>97</v>
      </c>
      <c r="T46" s="21" t="s">
        <v>98</v>
      </c>
      <c r="U46" s="21" t="s">
        <v>99</v>
      </c>
      <c r="V46" s="21" t="s">
        <v>100</v>
      </c>
      <c r="W46" s="79" t="s">
        <v>101</v>
      </c>
      <c r="X46" s="21" t="s">
        <v>102</v>
      </c>
      <c r="Y46" s="21" t="s">
        <v>103</v>
      </c>
      <c r="Z46" s="21" t="s">
        <v>104</v>
      </c>
      <c r="AA46" s="21" t="s">
        <v>105</v>
      </c>
      <c r="AB46" s="79" t="s">
        <v>106</v>
      </c>
      <c r="AC46" s="21" t="s">
        <v>220</v>
      </c>
      <c r="AD46" s="21" t="s">
        <v>221</v>
      </c>
      <c r="AE46" s="21" t="s">
        <v>222</v>
      </c>
      <c r="AF46" s="21" t="s">
        <v>223</v>
      </c>
      <c r="AG46" s="79" t="s">
        <v>224</v>
      </c>
      <c r="AH46" s="21" t="s">
        <v>253</v>
      </c>
      <c r="AI46" s="21" t="s">
        <v>254</v>
      </c>
      <c r="AJ46" s="21" t="s">
        <v>255</v>
      </c>
      <c r="AK46" s="21" t="s">
        <v>256</v>
      </c>
      <c r="AL46" s="79" t="s">
        <v>257</v>
      </c>
    </row>
    <row r="47" spans="1:38" ht="18" x14ac:dyDescent="0.4">
      <c r="A47" s="166"/>
      <c r="B47" s="455" t="s">
        <v>117</v>
      </c>
      <c r="C47" s="456"/>
      <c r="D47" s="23"/>
      <c r="E47" s="23"/>
      <c r="F47" s="23"/>
      <c r="G47" s="23"/>
      <c r="H47" s="77"/>
      <c r="I47" s="23"/>
      <c r="J47" s="23"/>
      <c r="K47" s="23"/>
      <c r="L47" s="21"/>
      <c r="M47" s="79"/>
      <c r="N47" s="21"/>
      <c r="O47" s="21"/>
      <c r="P47" s="21"/>
      <c r="Q47" s="21"/>
      <c r="R47" s="79"/>
      <c r="S47" s="21"/>
      <c r="T47" s="21"/>
      <c r="U47" s="21"/>
      <c r="V47" s="21"/>
      <c r="W47" s="79"/>
      <c r="X47" s="21"/>
      <c r="Y47" s="21"/>
      <c r="Z47" s="21"/>
      <c r="AA47" s="21"/>
      <c r="AB47" s="79"/>
      <c r="AC47" s="21"/>
      <c r="AD47" s="21"/>
      <c r="AE47" s="21"/>
      <c r="AF47" s="21"/>
      <c r="AG47" s="79"/>
      <c r="AH47" s="21"/>
      <c r="AI47" s="21"/>
      <c r="AJ47" s="21"/>
      <c r="AK47" s="21"/>
      <c r="AL47" s="79"/>
    </row>
    <row r="48" spans="1:38" s="13" customFormat="1" outlineLevel="1" x14ac:dyDescent="0.25">
      <c r="A48" s="181"/>
      <c r="B48" s="461" t="s">
        <v>119</v>
      </c>
      <c r="C48" s="462"/>
      <c r="D48" s="32">
        <v>9777</v>
      </c>
      <c r="E48" s="32">
        <v>9776</v>
      </c>
      <c r="F48" s="198">
        <v>9857</v>
      </c>
      <c r="G48" s="32">
        <v>9974</v>
      </c>
      <c r="H48" s="106"/>
      <c r="I48" s="32">
        <v>10020</v>
      </c>
      <c r="J48" s="32">
        <v>10051</v>
      </c>
      <c r="K48" s="32">
        <v>10017</v>
      </c>
      <c r="L48" s="198">
        <f>+K48+L49</f>
        <v>10079</v>
      </c>
      <c r="M48" s="299"/>
      <c r="N48" s="198">
        <f>+L48+N49</f>
        <v>10105.25</v>
      </c>
      <c r="O48" s="198">
        <f>+N48+O49</f>
        <v>10126.5625</v>
      </c>
      <c r="P48" s="198">
        <f>+O48+P49</f>
        <v>10145.453125</v>
      </c>
      <c r="Q48" s="198">
        <f>+P48+Q49</f>
        <v>10177.56640625</v>
      </c>
      <c r="R48" s="299"/>
      <c r="S48" s="198">
        <f>+Q48+S49</f>
        <v>10202.2080078125</v>
      </c>
      <c r="T48" s="198">
        <f>+S48+T49</f>
        <v>10226.447509765625</v>
      </c>
      <c r="U48" s="198">
        <f>+T48+U49</f>
        <v>10251.418762207031</v>
      </c>
      <c r="V48" s="198">
        <f>+U48+V49</f>
        <v>10277.910171508789</v>
      </c>
      <c r="W48" s="299"/>
      <c r="X48" s="198">
        <f>+V48+X49</f>
        <v>10302.996112823486</v>
      </c>
      <c r="Y48" s="198">
        <f>+X48+Y49</f>
        <v>10328.193139076233</v>
      </c>
      <c r="Z48" s="198">
        <f>+Y48+Z49</f>
        <v>10353.629546403885</v>
      </c>
      <c r="AA48" s="198">
        <f>+Z48+AA49</f>
        <v>10379.182242453098</v>
      </c>
      <c r="AB48" s="299"/>
      <c r="AC48" s="198">
        <f>+AA48+AC49</f>
        <v>10404.500260189176</v>
      </c>
      <c r="AD48" s="198">
        <f>+AC48+AD49</f>
        <v>10429.876297030598</v>
      </c>
      <c r="AE48" s="198">
        <f>+AD48+AE49</f>
        <v>10455.297086519189</v>
      </c>
      <c r="AF48" s="198">
        <f>+AE48+AF49</f>
        <v>10480.713971548015</v>
      </c>
      <c r="AG48" s="299"/>
      <c r="AH48" s="198">
        <f>+AF48+AH49</f>
        <v>10506.096903821744</v>
      </c>
      <c r="AI48" s="198">
        <f>+AH48+AI49</f>
        <v>10531.496064729887</v>
      </c>
      <c r="AJ48" s="198">
        <f>+AI48+AJ49</f>
        <v>10556.901006654709</v>
      </c>
      <c r="AK48" s="198">
        <f>+AJ48+AK49</f>
        <v>10582.301986688588</v>
      </c>
      <c r="AL48" s="299"/>
    </row>
    <row r="49" spans="1:38" outlineLevel="1" x14ac:dyDescent="0.25">
      <c r="A49" s="166"/>
      <c r="B49" s="36" t="s">
        <v>124</v>
      </c>
      <c r="C49" s="61"/>
      <c r="D49" s="168">
        <f>+D48-9690</f>
        <v>87</v>
      </c>
      <c r="E49" s="168">
        <f>E48-D48</f>
        <v>-1</v>
      </c>
      <c r="F49" s="168">
        <f>F48-E48</f>
        <v>81</v>
      </c>
      <c r="G49" s="168">
        <f>G48-F48</f>
        <v>117</v>
      </c>
      <c r="H49" s="206">
        <f>+SUM(D49:G49)</f>
        <v>284</v>
      </c>
      <c r="I49" s="168">
        <f>I48-G48</f>
        <v>46</v>
      </c>
      <c r="J49" s="168">
        <f>J48-I48</f>
        <v>31</v>
      </c>
      <c r="K49" s="168">
        <f>K48-J48</f>
        <v>-34</v>
      </c>
      <c r="L49" s="329">
        <v>62</v>
      </c>
      <c r="M49" s="206">
        <f>+SUM(I49:L49)</f>
        <v>105</v>
      </c>
      <c r="N49" s="330">
        <f>+AVERAGE(I49,J49,K49,L49)</f>
        <v>26.25</v>
      </c>
      <c r="O49" s="330">
        <f>+AVERAGE(J49,K49,L49,N49)</f>
        <v>21.3125</v>
      </c>
      <c r="P49" s="330">
        <f>+AVERAGE(K49,L49,O49,N49)</f>
        <v>18.890625</v>
      </c>
      <c r="Q49" s="330">
        <f>+AVERAGE(L49,P49,N49,O49)</f>
        <v>32.11328125</v>
      </c>
      <c r="R49" s="206">
        <f>+SUM(N49:Q49)</f>
        <v>98.56640625</v>
      </c>
      <c r="S49" s="330">
        <f>+AVERAGE(N49,O49,P49,Q49)</f>
        <v>24.6416015625</v>
      </c>
      <c r="T49" s="330">
        <f>+AVERAGE(O49,P49,Q49,S49)</f>
        <v>24.239501953125</v>
      </c>
      <c r="U49" s="330">
        <f>+AVERAGE(P49,Q49,T49,S49)</f>
        <v>24.97125244140625</v>
      </c>
      <c r="V49" s="330">
        <f>+AVERAGE(Q49,U49,S49,T49)</f>
        <v>26.491409301757813</v>
      </c>
      <c r="W49" s="206">
        <f>+SUM(S49:V49)</f>
        <v>100.34376525878906</v>
      </c>
      <c r="X49" s="330">
        <f>+AVERAGE(S49,T49,U49,V49)</f>
        <v>25.085941314697266</v>
      </c>
      <c r="Y49" s="330">
        <f>+AVERAGE(T49,U49,V49,X49)</f>
        <v>25.197026252746582</v>
      </c>
      <c r="Z49" s="330">
        <f>+AVERAGE(U49,V49,Y49,X49)</f>
        <v>25.436407327651978</v>
      </c>
      <c r="AA49" s="330">
        <f>+AVERAGE(V49,Z49,X49,Y49)</f>
        <v>25.552696049213409</v>
      </c>
      <c r="AB49" s="206">
        <f>+SUM(X49:AA49)</f>
        <v>101.27207094430923</v>
      </c>
      <c r="AC49" s="330">
        <f>+AVERAGE(X49,Y49,Z49,AA49)</f>
        <v>25.318017736077309</v>
      </c>
      <c r="AD49" s="330">
        <f>+AVERAGE(Y49,Z49,AA49,AC49)</f>
        <v>25.376036841422319</v>
      </c>
      <c r="AE49" s="330">
        <f>+AVERAGE(Z49,AA49,AD49,AC49)</f>
        <v>25.420789488591254</v>
      </c>
      <c r="AF49" s="330">
        <f>+AVERAGE(AA49,AE49,AC49,AD49)</f>
        <v>25.416885028826073</v>
      </c>
      <c r="AG49" s="206">
        <f>+SUM(AC49:AF49)</f>
        <v>101.53172909491695</v>
      </c>
      <c r="AH49" s="330">
        <f>+AVERAGE(AC49,AD49,AE49,AF49)</f>
        <v>25.382932273729239</v>
      </c>
      <c r="AI49" s="330">
        <f>+AVERAGE(AD49,AE49,AF49,AH49)</f>
        <v>25.399160908142221</v>
      </c>
      <c r="AJ49" s="330">
        <f>+AVERAGE(AE49,AF49,AI49,AH49)</f>
        <v>25.404941924822197</v>
      </c>
      <c r="AK49" s="330">
        <f>+AVERAGE(AF49,AJ49,AH49,AI49)</f>
        <v>25.400980033879932</v>
      </c>
      <c r="AL49" s="206">
        <f>+SUM(AH49:AK49)</f>
        <v>101.58801514057359</v>
      </c>
    </row>
    <row r="50" spans="1:38" s="109" customFormat="1" outlineLevel="1" x14ac:dyDescent="0.25">
      <c r="A50" s="185"/>
      <c r="B50" s="110" t="s">
        <v>125</v>
      </c>
      <c r="C50" s="111"/>
      <c r="D50" s="113">
        <v>9527</v>
      </c>
      <c r="E50" s="113">
        <v>9499</v>
      </c>
      <c r="F50" s="113">
        <v>9594</v>
      </c>
      <c r="G50" s="113">
        <v>9690</v>
      </c>
      <c r="H50" s="114"/>
      <c r="I50" s="113">
        <f>D48</f>
        <v>9777</v>
      </c>
      <c r="J50" s="113">
        <f>E48</f>
        <v>9776</v>
      </c>
      <c r="K50" s="113">
        <f>F48</f>
        <v>9857</v>
      </c>
      <c r="L50" s="113">
        <f>G48</f>
        <v>9974</v>
      </c>
      <c r="M50" s="245"/>
      <c r="N50" s="113">
        <f>I48</f>
        <v>10020</v>
      </c>
      <c r="O50" s="113">
        <f>J48</f>
        <v>10051</v>
      </c>
      <c r="P50" s="113">
        <f>K48</f>
        <v>10017</v>
      </c>
      <c r="Q50" s="113">
        <f>L48</f>
        <v>10079</v>
      </c>
      <c r="R50" s="245"/>
      <c r="S50" s="113">
        <f>N48</f>
        <v>10105.25</v>
      </c>
      <c r="T50" s="113">
        <f>O48</f>
        <v>10126.5625</v>
      </c>
      <c r="U50" s="113">
        <f>P48</f>
        <v>10145.453125</v>
      </c>
      <c r="V50" s="113">
        <f>Q48</f>
        <v>10177.56640625</v>
      </c>
      <c r="W50" s="245"/>
      <c r="X50" s="113">
        <f>S48</f>
        <v>10202.2080078125</v>
      </c>
      <c r="Y50" s="113">
        <f>T48</f>
        <v>10226.447509765625</v>
      </c>
      <c r="Z50" s="113">
        <f>U48</f>
        <v>10251.418762207031</v>
      </c>
      <c r="AA50" s="113">
        <f>V48</f>
        <v>10277.910171508789</v>
      </c>
      <c r="AB50" s="245"/>
      <c r="AC50" s="113">
        <f>X48</f>
        <v>10302.996112823486</v>
      </c>
      <c r="AD50" s="113">
        <f>Y48</f>
        <v>10328.193139076233</v>
      </c>
      <c r="AE50" s="113">
        <f>Z48</f>
        <v>10353.629546403885</v>
      </c>
      <c r="AF50" s="113">
        <f>AA48</f>
        <v>10379.182242453098</v>
      </c>
      <c r="AG50" s="245"/>
      <c r="AH50" s="113">
        <f>AC48</f>
        <v>10404.500260189176</v>
      </c>
      <c r="AI50" s="113">
        <f>AD48</f>
        <v>10429.876297030598</v>
      </c>
      <c r="AJ50" s="113">
        <f>AE48</f>
        <v>10455.297086519189</v>
      </c>
      <c r="AK50" s="113">
        <f>AF48</f>
        <v>10480.713971548015</v>
      </c>
      <c r="AL50" s="245"/>
    </row>
    <row r="51" spans="1:38" s="109" customFormat="1" outlineLevel="1" x14ac:dyDescent="0.25">
      <c r="A51" s="185"/>
      <c r="B51" s="110" t="s">
        <v>126</v>
      </c>
      <c r="C51" s="111"/>
      <c r="D51" s="115">
        <v>0.42069471068107506</v>
      </c>
      <c r="E51" s="115">
        <v>0.39562181698744753</v>
      </c>
      <c r="F51" s="115">
        <v>0.4226432</v>
      </c>
      <c r="G51" s="115">
        <v>0.41931398367073175</v>
      </c>
      <c r="H51" s="281"/>
      <c r="I51" s="115">
        <f>+D51*(1+I54)</f>
        <v>0.44593639332193957</v>
      </c>
      <c r="J51" s="115">
        <f>+E51*(1+J54)</f>
        <v>0.38375316247782409</v>
      </c>
      <c r="K51" s="115">
        <f>+F51*(1+K54)</f>
        <v>0.24935948800000002</v>
      </c>
      <c r="L51" s="115">
        <f>+G51*(1+L54)</f>
        <v>0.36899630563024394</v>
      </c>
      <c r="M51" s="282"/>
      <c r="N51" s="115">
        <f>+I51*(1+N54)</f>
        <v>0.41918020972262315</v>
      </c>
      <c r="O51" s="115">
        <f>+J51*(1+O54)</f>
        <v>0.42596601035038478</v>
      </c>
      <c r="P51" s="115">
        <f>+K51*(1+P54)</f>
        <v>0.43637910400000002</v>
      </c>
      <c r="Q51" s="115">
        <f>+L51*(1+Q54)</f>
        <v>0.44279556675629272</v>
      </c>
      <c r="R51" s="245"/>
      <c r="S51" s="115">
        <f>+N51*(1+S54)</f>
        <v>0.47786543908379042</v>
      </c>
      <c r="T51" s="115">
        <f>+O51*(1+T54)</f>
        <v>0.43874499066089634</v>
      </c>
      <c r="U51" s="115">
        <f>+P51*(1+U54)</f>
        <v>0.45383426816000005</v>
      </c>
      <c r="V51" s="115">
        <f>+Q51*(1+V54)</f>
        <v>0.46493534509410739</v>
      </c>
      <c r="W51" s="245"/>
      <c r="X51" s="115">
        <f>+S51*(1+X54)</f>
        <v>0.49220140225630415</v>
      </c>
      <c r="Y51" s="115">
        <f>+T51*(1+Y54)</f>
        <v>0.45190734038072322</v>
      </c>
      <c r="Z51" s="115">
        <f>+U51*(1+Z54)</f>
        <v>0.47198763888640005</v>
      </c>
      <c r="AA51" s="115">
        <f>+V51*(1+AA54)</f>
        <v>0.47888340544693064</v>
      </c>
      <c r="AB51" s="245"/>
      <c r="AC51" s="115">
        <f>+X51*(1+AC54)</f>
        <v>0.5168114723691194</v>
      </c>
      <c r="AD51" s="115">
        <f>+Y51*(1+AD54)</f>
        <v>0.46998363399595217</v>
      </c>
      <c r="AE51" s="115">
        <f>+Z51*(1+AE54)</f>
        <v>0.49558702083072009</v>
      </c>
      <c r="AF51" s="115">
        <f>+AA51*(1+AF54)</f>
        <v>0.49803874166480788</v>
      </c>
      <c r="AG51" s="245"/>
      <c r="AH51" s="115">
        <f>+AC51*(1+AH54)</f>
        <v>0.53748393126388416</v>
      </c>
      <c r="AI51" s="115">
        <f>+AD51*(1+AI54)</f>
        <v>0.48408314301583072</v>
      </c>
      <c r="AJ51" s="115">
        <f>+AE51*(1+AJ54)</f>
        <v>0.51541050166394886</v>
      </c>
      <c r="AK51" s="115">
        <f>+AF51*(1+AK54)</f>
        <v>0.5179602913314002</v>
      </c>
      <c r="AL51" s="245"/>
    </row>
    <row r="52" spans="1:38" outlineLevel="1" x14ac:dyDescent="0.25">
      <c r="A52" s="166"/>
      <c r="B52" s="36" t="s">
        <v>122</v>
      </c>
      <c r="C52" s="97"/>
      <c r="D52" s="200">
        <v>0.04</v>
      </c>
      <c r="E52" s="200">
        <v>0</v>
      </c>
      <c r="F52" s="200">
        <v>0.03</v>
      </c>
      <c r="G52" s="200">
        <v>0.03</v>
      </c>
      <c r="H52" s="235"/>
      <c r="I52" s="200">
        <v>0.02</v>
      </c>
      <c r="J52" s="200">
        <v>-7.0000000000000007E-2</v>
      </c>
      <c r="K52" s="200">
        <v>-0.53</v>
      </c>
      <c r="L52" s="200"/>
      <c r="M52" s="235"/>
      <c r="N52" s="200"/>
      <c r="O52" s="200"/>
      <c r="P52" s="200"/>
      <c r="Q52" s="200"/>
      <c r="R52" s="235"/>
      <c r="S52" s="200"/>
      <c r="T52" s="200"/>
      <c r="U52" s="200"/>
      <c r="V52" s="200"/>
      <c r="W52" s="235"/>
      <c r="X52" s="200"/>
      <c r="Y52" s="200"/>
      <c r="Z52" s="200"/>
      <c r="AA52" s="200"/>
      <c r="AB52" s="235"/>
      <c r="AC52" s="200"/>
      <c r="AD52" s="200"/>
      <c r="AE52" s="200"/>
      <c r="AF52" s="200"/>
      <c r="AG52" s="235"/>
      <c r="AH52" s="200"/>
      <c r="AI52" s="200"/>
      <c r="AJ52" s="200"/>
      <c r="AK52" s="200"/>
      <c r="AL52" s="235"/>
    </row>
    <row r="53" spans="1:38" outlineLevel="1" x14ac:dyDescent="0.25">
      <c r="A53" s="166"/>
      <c r="B53" s="36" t="s">
        <v>121</v>
      </c>
      <c r="C53" s="97"/>
      <c r="D53" s="295">
        <v>0</v>
      </c>
      <c r="E53" s="295">
        <v>0.04</v>
      </c>
      <c r="F53" s="295">
        <v>0.04</v>
      </c>
      <c r="G53" s="295">
        <v>0.03</v>
      </c>
      <c r="H53" s="283"/>
      <c r="I53" s="295">
        <v>0.03</v>
      </c>
      <c r="J53" s="295">
        <v>0.05</v>
      </c>
      <c r="K53" s="295">
        <v>0.27</v>
      </c>
      <c r="L53" s="295"/>
      <c r="M53" s="283"/>
      <c r="N53" s="295"/>
      <c r="O53" s="295"/>
      <c r="P53" s="295"/>
      <c r="Q53" s="295"/>
      <c r="R53" s="283"/>
      <c r="S53" s="295"/>
      <c r="T53" s="295"/>
      <c r="U53" s="295"/>
      <c r="V53" s="295"/>
      <c r="W53" s="283"/>
      <c r="X53" s="295"/>
      <c r="Y53" s="295"/>
      <c r="Z53" s="295"/>
      <c r="AA53" s="295"/>
      <c r="AB53" s="283"/>
      <c r="AC53" s="295"/>
      <c r="AD53" s="295"/>
      <c r="AE53" s="295"/>
      <c r="AF53" s="295"/>
      <c r="AG53" s="283"/>
      <c r="AH53" s="295"/>
      <c r="AI53" s="295"/>
      <c r="AJ53" s="295"/>
      <c r="AK53" s="295"/>
      <c r="AL53" s="283"/>
    </row>
    <row r="54" spans="1:38" s="13" customFormat="1" outlineLevel="1" x14ac:dyDescent="0.25">
      <c r="A54" s="181"/>
      <c r="B54" s="426" t="s">
        <v>123</v>
      </c>
      <c r="C54" s="63"/>
      <c r="D54" s="296">
        <v>0.04</v>
      </c>
      <c r="E54" s="296">
        <v>4.2999999999999997E-2</v>
      </c>
      <c r="F54" s="297">
        <v>7.0000000000000007E-2</v>
      </c>
      <c r="G54" s="296">
        <v>0.06</v>
      </c>
      <c r="H54" s="253"/>
      <c r="I54" s="296">
        <v>0.06</v>
      </c>
      <c r="J54" s="296">
        <v>-0.03</v>
      </c>
      <c r="K54" s="296">
        <v>-0.41</v>
      </c>
      <c r="L54" s="427">
        <f>-12%</f>
        <v>-0.12</v>
      </c>
      <c r="M54" s="284"/>
      <c r="N54" s="427">
        <v>-0.06</v>
      </c>
      <c r="O54" s="428">
        <v>0.11</v>
      </c>
      <c r="P54" s="427">
        <v>0.75</v>
      </c>
      <c r="Q54" s="428">
        <v>0.2</v>
      </c>
      <c r="R54" s="429"/>
      <c r="S54" s="427">
        <v>0.14000000000000001</v>
      </c>
      <c r="T54" s="428">
        <v>0.03</v>
      </c>
      <c r="U54" s="427">
        <v>0.04</v>
      </c>
      <c r="V54" s="428">
        <v>0.05</v>
      </c>
      <c r="W54" s="429"/>
      <c r="X54" s="427">
        <v>0.03</v>
      </c>
      <c r="Y54" s="428">
        <v>0.03</v>
      </c>
      <c r="Z54" s="427">
        <v>0.04</v>
      </c>
      <c r="AA54" s="428">
        <v>0.03</v>
      </c>
      <c r="AB54" s="253"/>
      <c r="AC54" s="331">
        <v>0.05</v>
      </c>
      <c r="AD54" s="332">
        <v>0.04</v>
      </c>
      <c r="AE54" s="331">
        <v>0.05</v>
      </c>
      <c r="AF54" s="332">
        <v>0.04</v>
      </c>
      <c r="AG54" s="253"/>
      <c r="AH54" s="331">
        <v>0.04</v>
      </c>
      <c r="AI54" s="332">
        <v>0.03</v>
      </c>
      <c r="AJ54" s="331">
        <v>0.04</v>
      </c>
      <c r="AK54" s="332">
        <v>0.04</v>
      </c>
      <c r="AL54" s="253"/>
    </row>
    <row r="55" spans="1:38" ht="17.25" outlineLevel="1" x14ac:dyDescent="0.4">
      <c r="A55" s="166"/>
      <c r="B55" s="98" t="s">
        <v>154</v>
      </c>
      <c r="C55" s="97"/>
      <c r="D55" s="51">
        <v>84</v>
      </c>
      <c r="E55" s="51">
        <v>92</v>
      </c>
      <c r="F55" s="51">
        <v>127</v>
      </c>
      <c r="G55" s="51">
        <f>AVERAGE(D55:F55)</f>
        <v>101</v>
      </c>
      <c r="H55" s="11"/>
      <c r="I55" s="51">
        <v>111</v>
      </c>
      <c r="J55" s="51">
        <v>112</v>
      </c>
      <c r="K55" s="51">
        <v>111</v>
      </c>
      <c r="L55" s="51">
        <v>111</v>
      </c>
      <c r="M55" s="249"/>
      <c r="N55" s="330">
        <f>+AVERAGE(I55,J55,K55,L55)</f>
        <v>111.25</v>
      </c>
      <c r="O55" s="330">
        <f>+AVERAGE(J55,K55,L55,N55)</f>
        <v>111.3125</v>
      </c>
      <c r="P55" s="330">
        <f>+AVERAGE(K55,L55,O55,N55)</f>
        <v>111.140625</v>
      </c>
      <c r="Q55" s="330">
        <f>+AVERAGE(L55,P55,N55,O55)</f>
        <v>111.17578125</v>
      </c>
      <c r="R55" s="249"/>
      <c r="S55" s="330">
        <f>+AVERAGE(N55,O55,P55,Q55)</f>
        <v>111.2197265625</v>
      </c>
      <c r="T55" s="330">
        <f>+AVERAGE(O55,P55,Q55,S55)</f>
        <v>111.212158203125</v>
      </c>
      <c r="U55" s="330">
        <f>+AVERAGE(P55,Q55,T55,S55)</f>
        <v>111.18707275390625</v>
      </c>
      <c r="V55" s="330">
        <f>+AVERAGE(Q55,U55,S55,T55)</f>
        <v>111.19868469238281</v>
      </c>
      <c r="W55" s="249"/>
      <c r="X55" s="330">
        <f>+AVERAGE(S55,T55,U55,V55)</f>
        <v>111.20441055297852</v>
      </c>
      <c r="Y55" s="330">
        <f>+AVERAGE(T55,U55,V55,X55)</f>
        <v>111.20058155059814</v>
      </c>
      <c r="Z55" s="330">
        <f>+AVERAGE(U55,V55,Y55,X55)</f>
        <v>111.19768738746643</v>
      </c>
      <c r="AA55" s="330">
        <f>+AVERAGE(V55,Z55,X55,Y55)</f>
        <v>111.20034104585648</v>
      </c>
      <c r="AB55" s="249"/>
      <c r="AC55" s="330">
        <f>+AVERAGE(X55,Y55,Z55,AA55)</f>
        <v>111.20075513422489</v>
      </c>
      <c r="AD55" s="330">
        <f>+AVERAGE(Y55,Z55,AA55,AC55)</f>
        <v>111.19984127953649</v>
      </c>
      <c r="AE55" s="330">
        <f>+AVERAGE(Z55,AA55,AD55,AC55)</f>
        <v>111.19965621177107</v>
      </c>
      <c r="AF55" s="330">
        <f>+AVERAGE(AA55,AE55,AC55,AD55)</f>
        <v>111.20014841784723</v>
      </c>
      <c r="AG55" s="249"/>
      <c r="AH55" s="330">
        <f>+AVERAGE(AC55,AD55,AE55,AF55)</f>
        <v>111.20010026084492</v>
      </c>
      <c r="AI55" s="330">
        <f>+AVERAGE(AD55,AE55,AF55,AH55)</f>
        <v>111.19993654249993</v>
      </c>
      <c r="AJ55" s="330">
        <f>+AVERAGE(AE55,AF55,AI55,AH55)</f>
        <v>111.19996035824079</v>
      </c>
      <c r="AK55" s="330">
        <f>+AVERAGE(AF55,AJ55,AH55,AI55)</f>
        <v>111.20003639485822</v>
      </c>
      <c r="AL55" s="249"/>
    </row>
    <row r="56" spans="1:38" s="13" customFormat="1" outlineLevel="1" x14ac:dyDescent="0.25">
      <c r="A56" s="181"/>
      <c r="B56" s="459" t="s">
        <v>134</v>
      </c>
      <c r="C56" s="460"/>
      <c r="D56" s="103">
        <v>4092.2</v>
      </c>
      <c r="E56" s="103">
        <v>3849.6</v>
      </c>
      <c r="F56" s="103">
        <v>4182.2</v>
      </c>
      <c r="G56" s="103">
        <v>4164.2</v>
      </c>
      <c r="H56" s="151">
        <f>SUM(D56:G56)</f>
        <v>16288.2</v>
      </c>
      <c r="I56" s="103">
        <v>4471</v>
      </c>
      <c r="J56" s="103">
        <v>3863.6</v>
      </c>
      <c r="K56" s="171">
        <v>2568.9</v>
      </c>
      <c r="L56" s="171">
        <f>(L50*L51)+L55</f>
        <v>3791.3691523560528</v>
      </c>
      <c r="M56" s="251">
        <f>SUM(I56:L56)</f>
        <v>14694.869152356052</v>
      </c>
      <c r="N56" s="171">
        <f>(N50*N51)+N55</f>
        <v>4311.4357014206844</v>
      </c>
      <c r="O56" s="171">
        <f>(O50*O51)+O55</f>
        <v>4392.6968700317175</v>
      </c>
      <c r="P56" s="171">
        <f>(P50*P51)+P55</f>
        <v>4482.350109768</v>
      </c>
      <c r="Q56" s="171">
        <f>(Q50*Q51)+Q55</f>
        <v>4574.1122985866741</v>
      </c>
      <c r="R56" s="251">
        <f>SUM(N56:Q56)</f>
        <v>17760.594979807076</v>
      </c>
      <c r="S56" s="171">
        <f>(S50*S51)+S55</f>
        <v>4940.1694548639734</v>
      </c>
      <c r="T56" s="171">
        <f>(T50*T51)+T55</f>
        <v>4554.1907276926077</v>
      </c>
      <c r="U56" s="171">
        <f>(U50*U51)+U55</f>
        <v>4715.5413668898664</v>
      </c>
      <c r="V56" s="171">
        <f>(V50*V51)+V55</f>
        <v>4843.1090340004212</v>
      </c>
      <c r="W56" s="251">
        <f>SUM(S56:V56)</f>
        <v>19053.01058344687</v>
      </c>
      <c r="X56" s="171">
        <f>(X50*X51)+X55</f>
        <v>5132.7454981087867</v>
      </c>
      <c r="Y56" s="171">
        <f>(Y50*Y51)+Y55</f>
        <v>4732.6072772318521</v>
      </c>
      <c r="Z56" s="171">
        <f>(Z50*Z51)+Z55</f>
        <v>4949.7406241973049</v>
      </c>
      <c r="AA56" s="171">
        <f>(AA50*AA51)+AA55</f>
        <v>5033.1209648556323</v>
      </c>
      <c r="AB56" s="251">
        <f>SUM(X56:AA56)</f>
        <v>19848.214364393574</v>
      </c>
      <c r="AC56" s="171">
        <f>(AC50*AC51)+AC55</f>
        <v>5435.9073460158443</v>
      </c>
      <c r="AD56" s="171">
        <f>(AD50*AD51)+AD55</f>
        <v>4965.2815853946449</v>
      </c>
      <c r="AE56" s="171">
        <f>(AE50*AE51)+AE55</f>
        <v>5242.3240778989921</v>
      </c>
      <c r="AF56" s="171">
        <f>(AF50*AF51)+AF55</f>
        <v>5280.4350119589071</v>
      </c>
      <c r="AG56" s="251">
        <f>SUM(AC56:AF56)</f>
        <v>20923.948021268388</v>
      </c>
      <c r="AH56" s="171">
        <f>(AH50*AH51)+AH55</f>
        <v>5703.4518029434284</v>
      </c>
      <c r="AI56" s="171">
        <f>(AI50*AI51)+AI55</f>
        <v>5160.1272356753861</v>
      </c>
      <c r="AJ56" s="171">
        <f>(AJ50*AJ51)+AJ55</f>
        <v>5499.9698767667187</v>
      </c>
      <c r="AK56" s="171">
        <f>(AK50*AK51)+AK55</f>
        <v>5539.7936984589451</v>
      </c>
      <c r="AL56" s="251">
        <f>SUM(AH56:AK56)</f>
        <v>21903.342613844477</v>
      </c>
    </row>
    <row r="57" spans="1:38" s="13" customFormat="1" outlineLevel="1" x14ac:dyDescent="0.25">
      <c r="A57" s="181"/>
      <c r="B57" s="116" t="s">
        <v>129</v>
      </c>
      <c r="C57" s="63"/>
      <c r="D57" s="120">
        <f>+D56/D48</f>
        <v>0.41855374859363809</v>
      </c>
      <c r="E57" s="120">
        <f>+E56/E48</f>
        <v>0.39378068739770866</v>
      </c>
      <c r="F57" s="120">
        <f>+F56/F48</f>
        <v>0.42428730851171753</v>
      </c>
      <c r="G57" s="120">
        <f>+G56/G48</f>
        <v>0.4175055143372769</v>
      </c>
      <c r="H57" s="108"/>
      <c r="I57" s="120">
        <f>+I56/I48</f>
        <v>0.44620758483033934</v>
      </c>
      <c r="J57" s="120">
        <f>+J56/J48</f>
        <v>0.38439956223261368</v>
      </c>
      <c r="K57" s="120">
        <f t="shared" ref="K57:Q57" si="44">+K56/K48</f>
        <v>0.25645402815214136</v>
      </c>
      <c r="L57" s="120">
        <f>+L56/L48</f>
        <v>0.37616521007600484</v>
      </c>
      <c r="M57" s="307"/>
      <c r="N57" s="120">
        <f t="shared" si="44"/>
        <v>0.42665304682424326</v>
      </c>
      <c r="O57" s="120">
        <f t="shared" si="44"/>
        <v>0.43377966314153665</v>
      </c>
      <c r="P57" s="120">
        <f t="shared" si="44"/>
        <v>0.4418087644328848</v>
      </c>
      <c r="Q57" s="120">
        <f t="shared" si="44"/>
        <v>0.44943084780834552</v>
      </c>
      <c r="R57" s="307"/>
      <c r="S57" s="120">
        <f>+S56/S48</f>
        <v>0.48422551775860301</v>
      </c>
      <c r="T57" s="120">
        <f>+T56/T48</f>
        <v>0.44533458205732118</v>
      </c>
      <c r="U57" s="120">
        <f>+U56/U48</f>
        <v>0.45998914650469863</v>
      </c>
      <c r="V57" s="120">
        <f>+V56/V48</f>
        <v>0.47121534953923971</v>
      </c>
      <c r="W57" s="307"/>
      <c r="X57" s="120">
        <f>+X56/X48</f>
        <v>0.49817989271299284</v>
      </c>
      <c r="Y57" s="120">
        <f>+Y56/Y48</f>
        <v>0.45822218983553425</v>
      </c>
      <c r="Z57" s="120">
        <f>+Z56/Z48</f>
        <v>0.47806815977074368</v>
      </c>
      <c r="AA57" s="120">
        <f>+AA56/AA48</f>
        <v>0.48492461614837823</v>
      </c>
      <c r="AB57" s="333"/>
      <c r="AC57" s="334">
        <f>+AC56/AC48</f>
        <v>0.52245732231996778</v>
      </c>
      <c r="AD57" s="335">
        <f>+AD56/AD48</f>
        <v>0.47606332462526602</v>
      </c>
      <c r="AE57" s="335">
        <f>+AE56/AE48</f>
        <v>0.50140364587614827</v>
      </c>
      <c r="AF57" s="335">
        <f>+AF56/AF48</f>
        <v>0.50382397862337425</v>
      </c>
      <c r="AG57" s="298"/>
      <c r="AH57" s="335">
        <f>+AH56/AH48</f>
        <v>0.54287066406828166</v>
      </c>
      <c r="AI57" s="335">
        <f>+AI56/AI48</f>
        <v>0.48997095986739408</v>
      </c>
      <c r="AJ57" s="335">
        <f>+AJ56/AJ48</f>
        <v>0.52098337128478578</v>
      </c>
      <c r="AK57" s="336">
        <f>+AK56/AK48</f>
        <v>0.5234960886041069</v>
      </c>
      <c r="AL57" s="307"/>
    </row>
    <row r="58" spans="1:38" s="109" customFormat="1" outlineLevel="1" x14ac:dyDescent="0.25">
      <c r="A58" s="185"/>
      <c r="B58" s="116" t="s">
        <v>127</v>
      </c>
      <c r="C58" s="117"/>
      <c r="D58" s="112">
        <f>ROUND((+D56-D55-(D50*D51)),0)</f>
        <v>0</v>
      </c>
      <c r="E58" s="118">
        <f>ROUND((+E56-E55-(E50*E51)),0)</f>
        <v>0</v>
      </c>
      <c r="F58" s="188">
        <f>ROUND((+F56-F55-(F50*F51)),0)</f>
        <v>0</v>
      </c>
      <c r="G58" s="118">
        <f>ROUND((+G56-G55-(G50*G51)),0)</f>
        <v>0</v>
      </c>
      <c r="H58" s="119"/>
      <c r="I58" s="118">
        <f>ROUND((+I56-I55-(I50*I51)),0)</f>
        <v>0</v>
      </c>
      <c r="J58" s="118">
        <f>ROUND((+J56-J55-(J50*J51)),0)</f>
        <v>0</v>
      </c>
      <c r="K58" s="118">
        <f>ROUND((+K56-K55-(K50*K51)),0)</f>
        <v>0</v>
      </c>
      <c r="L58" s="118">
        <f>ROUND((+L56-L55-(L50*L51)),0)</f>
        <v>0</v>
      </c>
      <c r="M58" s="308"/>
      <c r="N58" s="118">
        <f>ROUND((+N56-N55-(N50*N51)),0)</f>
        <v>0</v>
      </c>
      <c r="O58" s="118">
        <f>ROUND((+O56-O55-(O50*O51)),0)</f>
        <v>0</v>
      </c>
      <c r="P58" s="118">
        <f>ROUND((+P56-P55-(P50*P51)),0)</f>
        <v>0</v>
      </c>
      <c r="Q58" s="118">
        <f>ROUND((+Q56-Q55-(Q50*Q51)),0)</f>
        <v>0</v>
      </c>
      <c r="R58" s="308"/>
      <c r="S58" s="118">
        <f>ROUND((+S56-S55-(S50*S51)),0)</f>
        <v>0</v>
      </c>
      <c r="T58" s="118">
        <f>ROUND((+T56-T55-(T50*T51)),0)</f>
        <v>0</v>
      </c>
      <c r="U58" s="118">
        <f>ROUND((+U56-U55-(U50*U51)),0)</f>
        <v>0</v>
      </c>
      <c r="V58" s="118">
        <f>ROUND((+V56-V55-(V50*V51)),0)</f>
        <v>0</v>
      </c>
      <c r="W58" s="308"/>
      <c r="X58" s="118">
        <f>ROUND((+X56-X55-(X50*X51)),0)</f>
        <v>0</v>
      </c>
      <c r="Y58" s="118">
        <f>ROUND((+Y56-Y55-(Y50*Y51)),0)</f>
        <v>0</v>
      </c>
      <c r="Z58" s="118">
        <f>ROUND((+Z56-Z55-(Z50*Z51)),0)</f>
        <v>0</v>
      </c>
      <c r="AA58" s="118">
        <f>ROUND((+AA56-AA55-(AA50*AA51)),0)</f>
        <v>0</v>
      </c>
      <c r="AB58" s="308"/>
      <c r="AC58" s="118">
        <f>ROUND((+AC56-AC55-(AC50*AC51)),0)</f>
        <v>0</v>
      </c>
      <c r="AD58" s="118">
        <f>ROUND((+AD56-AD55-(AD50*AD51)),0)</f>
        <v>0</v>
      </c>
      <c r="AE58" s="118">
        <f>ROUND((+AE56-AE55-(AE50*AE51)),0)</f>
        <v>0</v>
      </c>
      <c r="AF58" s="118">
        <f>ROUND((+AF56-AF55-(AF50*AF51)),0)</f>
        <v>0</v>
      </c>
      <c r="AG58" s="308"/>
      <c r="AH58" s="118">
        <f>ROUND((+AH56-AH55-(AH50*AH51)),0)</f>
        <v>0</v>
      </c>
      <c r="AI58" s="118">
        <f>ROUND((+AI56-AI55-(AI50*AI51)),0)</f>
        <v>0</v>
      </c>
      <c r="AJ58" s="118">
        <f>ROUND((+AJ56-AJ55-(AJ50*AJ51)),0)</f>
        <v>0</v>
      </c>
      <c r="AK58" s="118">
        <f>ROUND((+AK56-AK55-(AK50*AK51)),0)</f>
        <v>0</v>
      </c>
      <c r="AL58" s="308"/>
    </row>
    <row r="59" spans="1:38" s="13" customFormat="1" outlineLevel="1" x14ac:dyDescent="0.25">
      <c r="A59" s="181"/>
      <c r="B59" s="450" t="s">
        <v>120</v>
      </c>
      <c r="C59" s="451"/>
      <c r="D59" s="121">
        <v>7876</v>
      </c>
      <c r="E59" s="121">
        <v>7943</v>
      </c>
      <c r="F59" s="199">
        <v>7996</v>
      </c>
      <c r="G59" s="121">
        <v>8093</v>
      </c>
      <c r="H59" s="122"/>
      <c r="I59" s="121">
        <v>8183</v>
      </c>
      <c r="J59" s="121">
        <v>8220</v>
      </c>
      <c r="K59" s="121">
        <v>8218</v>
      </c>
      <c r="L59" s="199">
        <f>K59+L60</f>
        <v>8288</v>
      </c>
      <c r="M59" s="309"/>
      <c r="N59" s="199">
        <f>L59+N60</f>
        <v>8336.75</v>
      </c>
      <c r="O59" s="199">
        <f>N59+O60</f>
        <v>8375.1875</v>
      </c>
      <c r="P59" s="199">
        <f>O59+P60</f>
        <v>8413.984375</v>
      </c>
      <c r="Q59" s="199">
        <f>P59+Q60</f>
        <v>8462.98046875</v>
      </c>
      <c r="R59" s="309"/>
      <c r="S59" s="199">
        <f>Q59+S60</f>
        <v>8506.7255859375</v>
      </c>
      <c r="T59" s="199">
        <f>S59+T60</f>
        <v>8549.219482421875</v>
      </c>
      <c r="U59" s="199">
        <f>T59+U60</f>
        <v>8592.7274780273438</v>
      </c>
      <c r="V59" s="199">
        <f>U59+V60</f>
        <v>8637.4132537841797</v>
      </c>
      <c r="W59" s="309"/>
      <c r="X59" s="199">
        <f>V59+X60</f>
        <v>8681.0214500427246</v>
      </c>
      <c r="Y59" s="199">
        <f>X59+Y60</f>
        <v>8724.5954160690308</v>
      </c>
      <c r="Z59" s="199">
        <f>Y59+Z60</f>
        <v>8768.4393994808197</v>
      </c>
      <c r="AA59" s="199">
        <f>Z59+AA60</f>
        <v>8812.3673798441887</v>
      </c>
      <c r="AB59" s="309"/>
      <c r="AC59" s="199">
        <f>AA59+AC60</f>
        <v>8887.3673798441887</v>
      </c>
      <c r="AD59" s="199">
        <f>AC59+AD60</f>
        <v>8962.3673798441887</v>
      </c>
      <c r="AE59" s="199">
        <f>AD59+AE60</f>
        <v>9037.3673798441887</v>
      </c>
      <c r="AF59" s="199">
        <f>AE59+AF60</f>
        <v>9112.3673798441887</v>
      </c>
      <c r="AG59" s="309"/>
      <c r="AH59" s="199">
        <f>AF59+AH60</f>
        <v>9187.3673798441887</v>
      </c>
      <c r="AI59" s="199">
        <f>AH59+AI60</f>
        <v>9262.3673798441887</v>
      </c>
      <c r="AJ59" s="199">
        <f>AI59+AJ60</f>
        <v>9337.3673798441887</v>
      </c>
      <c r="AK59" s="199">
        <f>AJ59+AK60</f>
        <v>9412.3673798441887</v>
      </c>
      <c r="AL59" s="309"/>
    </row>
    <row r="60" spans="1:38" outlineLevel="1" x14ac:dyDescent="0.25">
      <c r="A60" s="166"/>
      <c r="B60" s="36" t="s">
        <v>128</v>
      </c>
      <c r="C60" s="61"/>
      <c r="D60" s="25">
        <f>+D59-7770</f>
        <v>106</v>
      </c>
      <c r="E60" s="168">
        <f>E59-D59</f>
        <v>67</v>
      </c>
      <c r="F60" s="168">
        <f>F59-E59</f>
        <v>53</v>
      </c>
      <c r="G60" s="168">
        <f>G59-F59</f>
        <v>97</v>
      </c>
      <c r="H60" s="41">
        <f>+SUM(D60:G60)</f>
        <v>323</v>
      </c>
      <c r="I60" s="168">
        <f>I59-G59</f>
        <v>90</v>
      </c>
      <c r="J60" s="168">
        <f>J59-I59</f>
        <v>37</v>
      </c>
      <c r="K60" s="168">
        <f>K59-J59</f>
        <v>-2</v>
      </c>
      <c r="L60" s="337">
        <v>70</v>
      </c>
      <c r="M60" s="206">
        <f>+SUM(I60:L60)</f>
        <v>195</v>
      </c>
      <c r="N60" s="330">
        <f>+AVERAGE(I60,J60,K60,L60)</f>
        <v>48.75</v>
      </c>
      <c r="O60" s="330">
        <f>+AVERAGE(J60,K60,L60,N60)</f>
        <v>38.4375</v>
      </c>
      <c r="P60" s="330">
        <f>+AVERAGE(K60,L60,O60,N60)</f>
        <v>38.796875</v>
      </c>
      <c r="Q60" s="330">
        <f>+AVERAGE(L60,P60,N60,O60)</f>
        <v>48.99609375</v>
      </c>
      <c r="R60" s="41">
        <f>+SUM(N60:Q60)</f>
        <v>174.98046875</v>
      </c>
      <c r="S60" s="330">
        <f>+AVERAGE(N60,O60,P60,Q60)</f>
        <v>43.7451171875</v>
      </c>
      <c r="T60" s="330">
        <f>+AVERAGE(O60,P60,Q60,S60)</f>
        <v>42.493896484375</v>
      </c>
      <c r="U60" s="330">
        <f>+AVERAGE(P60,Q60,T60,S60)</f>
        <v>43.50799560546875</v>
      </c>
      <c r="V60" s="330">
        <f>+AVERAGE(Q60,U60,S60,T60)</f>
        <v>44.685775756835938</v>
      </c>
      <c r="W60" s="41">
        <f>+SUM(S60:V60)</f>
        <v>174.43278503417969</v>
      </c>
      <c r="X60" s="330">
        <f>+AVERAGE(S60,T60,U60,V60)</f>
        <v>43.608196258544922</v>
      </c>
      <c r="Y60" s="330">
        <f>+AVERAGE(T60,U60,V60,X60)</f>
        <v>43.573966026306152</v>
      </c>
      <c r="Z60" s="330">
        <f>+AVERAGE(U60,V60,Y60,X60)</f>
        <v>43.84398341178894</v>
      </c>
      <c r="AA60" s="330">
        <f>+AVERAGE(V60,Z60,X60,Y60)</f>
        <v>43.927980363368988</v>
      </c>
      <c r="AB60" s="41">
        <f>+SUM(X60:AA60)</f>
        <v>174.954126060009</v>
      </c>
      <c r="AC60" s="330">
        <v>75</v>
      </c>
      <c r="AD60" s="330">
        <v>75</v>
      </c>
      <c r="AE60" s="330">
        <v>75</v>
      </c>
      <c r="AF60" s="330">
        <v>75</v>
      </c>
      <c r="AG60" s="41">
        <f>+SUM(AC60:AF60)</f>
        <v>300</v>
      </c>
      <c r="AH60" s="330">
        <f>+AVERAGE(AC60,AD60,AE60,AF60)</f>
        <v>75</v>
      </c>
      <c r="AI60" s="330">
        <f>+AVERAGE(AD60,AE60,AF60,AH60)</f>
        <v>75</v>
      </c>
      <c r="AJ60" s="330">
        <f>+AVERAGE(AE60,AF60,AI60,AH60)</f>
        <v>75</v>
      </c>
      <c r="AK60" s="330">
        <f>+AVERAGE(AF60,AJ60,AH60,AI60)</f>
        <v>75</v>
      </c>
      <c r="AL60" s="41">
        <f>+SUM(AH60:AK60)</f>
        <v>300</v>
      </c>
    </row>
    <row r="61" spans="1:38" outlineLevel="1" x14ac:dyDescent="0.25">
      <c r="A61" s="166"/>
      <c r="B61" s="36" t="s">
        <v>131</v>
      </c>
      <c r="C61" s="61"/>
      <c r="D61" s="25">
        <f>AVERAGE(D59,7770)</f>
        <v>7823</v>
      </c>
      <c r="E61" s="25">
        <f>AVERAGE(E59,D59)</f>
        <v>7909.5</v>
      </c>
      <c r="F61" s="25">
        <f>AVERAGE(F59,E59)</f>
        <v>7969.5</v>
      </c>
      <c r="G61" s="25">
        <f>AVERAGE(G59,F59)</f>
        <v>8044.5</v>
      </c>
      <c r="H61" s="41"/>
      <c r="I61" s="25">
        <f>AVERAGE(I59,G59)</f>
        <v>8138</v>
      </c>
      <c r="J61" s="25">
        <f>AVERAGE(J59,I59)</f>
        <v>8201.5</v>
      </c>
      <c r="K61" s="25">
        <f>AVERAGE(K59,J59)</f>
        <v>8219</v>
      </c>
      <c r="L61" s="168">
        <f>AVERAGE(K59,L59)</f>
        <v>8253</v>
      </c>
      <c r="M61" s="249"/>
      <c r="N61" s="168">
        <f>AVERAGE(L59,N59)</f>
        <v>8312.375</v>
      </c>
      <c r="O61" s="168">
        <f>AVERAGE(M59,O59)</f>
        <v>8375.1875</v>
      </c>
      <c r="P61" s="168">
        <f>AVERAGE(N59,P59)</f>
        <v>8375.3671875</v>
      </c>
      <c r="Q61" s="168">
        <f>AVERAGE(O59,Q59)</f>
        <v>8419.083984375</v>
      </c>
      <c r="R61" s="249"/>
      <c r="S61" s="168">
        <f>AVERAGE(Q59,S59)</f>
        <v>8484.85302734375</v>
      </c>
      <c r="T61" s="168">
        <f>AVERAGE(R59,T59)</f>
        <v>8549.219482421875</v>
      </c>
      <c r="U61" s="168">
        <f>AVERAGE(S59,U59)</f>
        <v>8549.7265319824219</v>
      </c>
      <c r="V61" s="168">
        <f>AVERAGE(T59,V59)</f>
        <v>8593.3163681030273</v>
      </c>
      <c r="W61" s="249"/>
      <c r="X61" s="168">
        <f>AVERAGE(V59,X59)</f>
        <v>8659.2173519134521</v>
      </c>
      <c r="Y61" s="168">
        <f>AVERAGE(W59,Y59)</f>
        <v>8724.5954160690308</v>
      </c>
      <c r="Z61" s="168">
        <f>AVERAGE(X59,Z59)</f>
        <v>8724.7304247617722</v>
      </c>
      <c r="AA61" s="168">
        <f>AVERAGE(Y59,AA59)</f>
        <v>8768.4813979566097</v>
      </c>
      <c r="AB61" s="249"/>
      <c r="AC61" s="168">
        <f>AVERAGE(AA59,AC59)</f>
        <v>8849.8673798441887</v>
      </c>
      <c r="AD61" s="168">
        <f>AVERAGE(AB59,AD59)</f>
        <v>8962.3673798441887</v>
      </c>
      <c r="AE61" s="168">
        <f>AVERAGE(AC59,AE59)</f>
        <v>8962.3673798441887</v>
      </c>
      <c r="AF61" s="168">
        <f>AVERAGE(AD59,AF59)</f>
        <v>9037.3673798441887</v>
      </c>
      <c r="AG61" s="249"/>
      <c r="AH61" s="168">
        <f>AVERAGE(AF59,AH59)</f>
        <v>9149.8673798441887</v>
      </c>
      <c r="AI61" s="168">
        <f>AVERAGE(AG59,AI59)</f>
        <v>9262.3673798441887</v>
      </c>
      <c r="AJ61" s="168">
        <f>AVERAGE(AH59,AJ59)</f>
        <v>9262.3673798441887</v>
      </c>
      <c r="AK61" s="168">
        <f>AVERAGE(AI59,AK59)</f>
        <v>9337.3673798441887</v>
      </c>
      <c r="AL61" s="249"/>
    </row>
    <row r="62" spans="1:38" outlineLevel="1" x14ac:dyDescent="0.25">
      <c r="A62" s="166"/>
      <c r="B62" s="36" t="s">
        <v>130</v>
      </c>
      <c r="C62" s="61"/>
      <c r="D62" s="82">
        <f>+D63/D61</f>
        <v>6.5780391154288645E-2</v>
      </c>
      <c r="E62" s="82">
        <f>+E63/E61</f>
        <v>5.8549845122953414E-2</v>
      </c>
      <c r="F62" s="82">
        <f>+F63/F61</f>
        <v>6.2274923144488362E-2</v>
      </c>
      <c r="G62" s="192">
        <f>+G63/G61</f>
        <v>6.016533034992852E-2</v>
      </c>
      <c r="H62" s="234"/>
      <c r="I62" s="192">
        <f>+I63/I61</f>
        <v>6.6023593020398133E-2</v>
      </c>
      <c r="J62" s="192">
        <f>+J63/J61</f>
        <v>5.6599402548314331E-2</v>
      </c>
      <c r="K62" s="192">
        <f>+K63/K61</f>
        <v>2.8653120817617714E-2</v>
      </c>
      <c r="L62" s="338">
        <v>5.5E-2</v>
      </c>
      <c r="M62" s="249"/>
      <c r="N62" s="446">
        <v>6.5000000000000002E-2</v>
      </c>
      <c r="O62" s="338">
        <v>0.06</v>
      </c>
      <c r="P62" s="338">
        <v>6.5000000000000002E-2</v>
      </c>
      <c r="Q62" s="338">
        <v>0.06</v>
      </c>
      <c r="R62" s="249"/>
      <c r="S62" s="192">
        <f>N62*1.02</f>
        <v>6.6299999999999998E-2</v>
      </c>
      <c r="T62" s="192">
        <f>O62*1.02</f>
        <v>6.1199999999999997E-2</v>
      </c>
      <c r="U62" s="192">
        <f>P62*1.02</f>
        <v>6.6299999999999998E-2</v>
      </c>
      <c r="V62" s="192">
        <f>Q62*1.02</f>
        <v>6.1199999999999997E-2</v>
      </c>
      <c r="W62" s="249"/>
      <c r="X62" s="192">
        <f>S62*1.02</f>
        <v>6.7626000000000006E-2</v>
      </c>
      <c r="Y62" s="192">
        <f>T62*1.02</f>
        <v>6.2424E-2</v>
      </c>
      <c r="Z62" s="192">
        <f>U62*1.02</f>
        <v>6.7626000000000006E-2</v>
      </c>
      <c r="AA62" s="192">
        <f>V62*1.02</f>
        <v>6.2424E-2</v>
      </c>
      <c r="AB62" s="249"/>
      <c r="AC62" s="192">
        <f>X62*1.02</f>
        <v>6.8978520000000001E-2</v>
      </c>
      <c r="AD62" s="192">
        <f>Y62*1.02</f>
        <v>6.3672480000000004E-2</v>
      </c>
      <c r="AE62" s="192">
        <f>Z62*1.02</f>
        <v>6.8978520000000001E-2</v>
      </c>
      <c r="AF62" s="192">
        <f>AA62*1.02</f>
        <v>6.3672480000000004E-2</v>
      </c>
      <c r="AG62" s="249"/>
      <c r="AH62" s="192">
        <f>AC62*1.02</f>
        <v>7.0358090400000003E-2</v>
      </c>
      <c r="AI62" s="192">
        <f>AD62*1.02</f>
        <v>6.4945929600000007E-2</v>
      </c>
      <c r="AJ62" s="192">
        <f>AE62*1.02</f>
        <v>7.0358090400000003E-2</v>
      </c>
      <c r="AK62" s="192">
        <f>AF62*1.02</f>
        <v>6.4945929600000007E-2</v>
      </c>
      <c r="AL62" s="249"/>
    </row>
    <row r="63" spans="1:38" s="13" customFormat="1" outlineLevel="1" x14ac:dyDescent="0.25">
      <c r="A63" s="181"/>
      <c r="B63" s="515" t="s">
        <v>133</v>
      </c>
      <c r="C63" s="516"/>
      <c r="D63" s="193">
        <v>514.6</v>
      </c>
      <c r="E63" s="193">
        <v>463.1</v>
      </c>
      <c r="F63" s="193">
        <v>496.3</v>
      </c>
      <c r="G63" s="193">
        <v>484</v>
      </c>
      <c r="H63" s="298"/>
      <c r="I63" s="193">
        <v>537.29999999999995</v>
      </c>
      <c r="J63" s="193">
        <v>464.2</v>
      </c>
      <c r="K63" s="193">
        <v>235.5</v>
      </c>
      <c r="L63" s="193">
        <f>L62*L61</f>
        <v>453.91500000000002</v>
      </c>
      <c r="M63" s="298"/>
      <c r="N63" s="193">
        <f>N62*N61</f>
        <v>540.30437500000005</v>
      </c>
      <c r="O63" s="193">
        <f>O62*O61</f>
        <v>502.51124999999996</v>
      </c>
      <c r="P63" s="193">
        <f>P62*P61</f>
        <v>544.39886718750006</v>
      </c>
      <c r="Q63" s="193">
        <f>Q62*Q61</f>
        <v>505.14503906249996</v>
      </c>
      <c r="R63" s="298"/>
      <c r="S63" s="193">
        <f>S62*S61</f>
        <v>562.54575571289058</v>
      </c>
      <c r="T63" s="193">
        <f>T62*T61</f>
        <v>523.21223232421869</v>
      </c>
      <c r="U63" s="193">
        <f>U62*U61</f>
        <v>566.84686907043454</v>
      </c>
      <c r="V63" s="193">
        <f>V62*V61</f>
        <v>525.91096172790526</v>
      </c>
      <c r="W63" s="298"/>
      <c r="X63" s="193">
        <f>X62*X61</f>
        <v>585.5882326404992</v>
      </c>
      <c r="Y63" s="193">
        <f>Y62*Y61</f>
        <v>544.62414425269321</v>
      </c>
      <c r="Z63" s="193">
        <f>Z62*Z61</f>
        <v>590.01861970493962</v>
      </c>
      <c r="AA63" s="193">
        <f>AA62*AA61</f>
        <v>547.36368278604346</v>
      </c>
      <c r="AB63" s="298"/>
      <c r="AC63" s="193">
        <f>AC62*AC61</f>
        <v>610.45075405793</v>
      </c>
      <c r="AD63" s="193">
        <f>AD62*AD61</f>
        <v>570.65615774578157</v>
      </c>
      <c r="AE63" s="193">
        <f>AE62*AE61</f>
        <v>618.21083755792995</v>
      </c>
      <c r="AF63" s="193">
        <f>AF62*AF61</f>
        <v>575.43159374578158</v>
      </c>
      <c r="AG63" s="298"/>
      <c r="AH63" s="193">
        <f>AH62*AH61</f>
        <v>643.76719625908856</v>
      </c>
      <c r="AI63" s="193">
        <f>AI62*AI61</f>
        <v>601.55305978069725</v>
      </c>
      <c r="AJ63" s="193">
        <f>AJ62*AJ61</f>
        <v>651.68248142908863</v>
      </c>
      <c r="AK63" s="193">
        <f>AK62*AK61</f>
        <v>606.42400450069715</v>
      </c>
      <c r="AL63" s="298"/>
    </row>
    <row r="64" spans="1:38" s="13" customFormat="1" outlineLevel="1" x14ac:dyDescent="0.25">
      <c r="A64" s="181"/>
      <c r="B64" s="459" t="s">
        <v>132</v>
      </c>
      <c r="C64" s="460"/>
      <c r="D64" s="171">
        <v>5.7</v>
      </c>
      <c r="E64" s="171">
        <v>1.4</v>
      </c>
      <c r="F64" s="171">
        <v>2.6</v>
      </c>
      <c r="G64" s="171">
        <v>3.2</v>
      </c>
      <c r="H64" s="299"/>
      <c r="I64" s="171">
        <v>2.6</v>
      </c>
      <c r="J64" s="171">
        <v>2.2000000000000002</v>
      </c>
      <c r="K64" s="171">
        <v>1.1000000000000001</v>
      </c>
      <c r="L64" s="171">
        <f>G64*(1+L65)</f>
        <v>5.6000000000000005</v>
      </c>
      <c r="M64" s="299"/>
      <c r="N64" s="171">
        <f>I64*(1+N65)</f>
        <v>4.55</v>
      </c>
      <c r="O64" s="171">
        <f>J64*(1+O65)</f>
        <v>3.8500000000000005</v>
      </c>
      <c r="P64" s="171">
        <f>K64*(1+P65)</f>
        <v>1.9250000000000003</v>
      </c>
      <c r="Q64" s="171">
        <f>L64*(1+Q65)</f>
        <v>8.4</v>
      </c>
      <c r="R64" s="299"/>
      <c r="S64" s="171">
        <f>N64*(1+S65)</f>
        <v>5.6875</v>
      </c>
      <c r="T64" s="171">
        <f>O64*(1+T65)</f>
        <v>4.8125000000000009</v>
      </c>
      <c r="U64" s="171">
        <f>P64*(1+U65)</f>
        <v>2.4062500000000004</v>
      </c>
      <c r="V64" s="171">
        <f>Q64*(1+V65)</f>
        <v>10.5</v>
      </c>
      <c r="W64" s="299"/>
      <c r="X64" s="171">
        <f>S64*(1+X65)</f>
        <v>6.2562500000000005</v>
      </c>
      <c r="Y64" s="171">
        <f>T64*(1+Y65)</f>
        <v>5.2937500000000011</v>
      </c>
      <c r="Z64" s="171">
        <f>U64*(1+Z65)</f>
        <v>2.6468750000000005</v>
      </c>
      <c r="AA64" s="171">
        <f>V64*(1+AA65)</f>
        <v>11.55</v>
      </c>
      <c r="AB64" s="299"/>
      <c r="AC64" s="171">
        <f>X64*(1+AC65)</f>
        <v>6.8818750000000009</v>
      </c>
      <c r="AD64" s="171">
        <f>Y64*(1+AD65)</f>
        <v>5.8231250000000019</v>
      </c>
      <c r="AE64" s="171">
        <f>Z64*(1+AE65)</f>
        <v>2.9115625000000009</v>
      </c>
      <c r="AF64" s="171">
        <f>AA64*(1+AF65)</f>
        <v>12.705000000000002</v>
      </c>
      <c r="AG64" s="299"/>
      <c r="AH64" s="171">
        <f>AC64*(1+AH65)</f>
        <v>7.5700625000000015</v>
      </c>
      <c r="AI64" s="171">
        <f>AD64*(1+AI65)</f>
        <v>6.4054375000000023</v>
      </c>
      <c r="AJ64" s="171">
        <f>AE64*(1+AJ65)</f>
        <v>3.2027187500000012</v>
      </c>
      <c r="AK64" s="171">
        <f>AF64*(1+AK65)</f>
        <v>13.975500000000004</v>
      </c>
      <c r="AL64" s="299"/>
    </row>
    <row r="65" spans="1:38" outlineLevel="1" x14ac:dyDescent="0.25">
      <c r="A65" s="166"/>
      <c r="B65" s="123" t="s">
        <v>135</v>
      </c>
      <c r="C65" s="124"/>
      <c r="D65" s="204"/>
      <c r="E65" s="204"/>
      <c r="F65" s="204"/>
      <c r="G65" s="204"/>
      <c r="H65" s="300"/>
      <c r="I65" s="204">
        <f>I64/D64-1</f>
        <v>-0.54385964912280704</v>
      </c>
      <c r="J65" s="204">
        <f>J64/E64-1</f>
        <v>0.57142857142857162</v>
      </c>
      <c r="K65" s="204">
        <f>K64/F64-1</f>
        <v>-0.57692307692307687</v>
      </c>
      <c r="L65" s="340">
        <v>0.75</v>
      </c>
      <c r="M65" s="249"/>
      <c r="N65" s="340">
        <v>0.75</v>
      </c>
      <c r="O65" s="340">
        <v>0.75</v>
      </c>
      <c r="P65" s="340">
        <v>0.75</v>
      </c>
      <c r="Q65" s="340">
        <v>0.5</v>
      </c>
      <c r="R65" s="249"/>
      <c r="S65" s="340">
        <v>0.25</v>
      </c>
      <c r="T65" s="340">
        <v>0.25</v>
      </c>
      <c r="U65" s="340">
        <v>0.25</v>
      </c>
      <c r="V65" s="340">
        <v>0.25</v>
      </c>
      <c r="W65" s="249"/>
      <c r="X65" s="340">
        <v>0.1</v>
      </c>
      <c r="Y65" s="340">
        <v>0.1</v>
      </c>
      <c r="Z65" s="340">
        <v>0.1</v>
      </c>
      <c r="AA65" s="340">
        <v>0.1</v>
      </c>
      <c r="AB65" s="249"/>
      <c r="AC65" s="340">
        <v>0.1</v>
      </c>
      <c r="AD65" s="340">
        <v>0.1</v>
      </c>
      <c r="AE65" s="340">
        <v>0.1</v>
      </c>
      <c r="AF65" s="340">
        <v>0.1</v>
      </c>
      <c r="AG65" s="249"/>
      <c r="AH65" s="340">
        <v>0.1</v>
      </c>
      <c r="AI65" s="340">
        <v>0.1</v>
      </c>
      <c r="AJ65" s="340">
        <v>0.1</v>
      </c>
      <c r="AK65" s="340">
        <v>0.1</v>
      </c>
      <c r="AL65" s="249"/>
    </row>
    <row r="66" spans="1:38" outlineLevel="1" x14ac:dyDescent="0.25">
      <c r="A66" s="166"/>
      <c r="B66" s="36" t="s">
        <v>137</v>
      </c>
      <c r="C66" s="97"/>
      <c r="D66" s="168">
        <f t="shared" ref="D66:G67" si="45">+D59+D48</f>
        <v>17653</v>
      </c>
      <c r="E66" s="168">
        <f t="shared" si="45"/>
        <v>17719</v>
      </c>
      <c r="F66" s="168">
        <f t="shared" si="45"/>
        <v>17853</v>
      </c>
      <c r="G66" s="168">
        <f t="shared" si="45"/>
        <v>18067</v>
      </c>
      <c r="H66" s="206"/>
      <c r="I66" s="168">
        <f>+I59+I48</f>
        <v>18203</v>
      </c>
      <c r="J66" s="168">
        <f>+J59+J48</f>
        <v>18271</v>
      </c>
      <c r="K66" s="168">
        <f>+K59+K48</f>
        <v>18235</v>
      </c>
      <c r="L66" s="345">
        <f>+L59+L48</f>
        <v>18367</v>
      </c>
      <c r="M66" s="344"/>
      <c r="N66" s="348">
        <f t="shared" ref="N66:AK66" si="46">+N59+N48</f>
        <v>18442</v>
      </c>
      <c r="O66" s="344">
        <f t="shared" si="46"/>
        <v>18501.75</v>
      </c>
      <c r="P66" s="344">
        <f t="shared" si="46"/>
        <v>18559.4375</v>
      </c>
      <c r="Q66" s="345">
        <f t="shared" si="46"/>
        <v>18640.546875</v>
      </c>
      <c r="R66" s="344"/>
      <c r="S66" s="348">
        <f t="shared" si="46"/>
        <v>18708.93359375</v>
      </c>
      <c r="T66" s="344">
        <f t="shared" si="46"/>
        <v>18775.6669921875</v>
      </c>
      <c r="U66" s="344">
        <f t="shared" si="46"/>
        <v>18844.146240234375</v>
      </c>
      <c r="V66" s="345">
        <f t="shared" si="46"/>
        <v>18915.323425292969</v>
      </c>
      <c r="W66" s="344"/>
      <c r="X66" s="348">
        <f t="shared" si="46"/>
        <v>18984.017562866211</v>
      </c>
      <c r="Y66" s="344">
        <f t="shared" si="46"/>
        <v>19052.788555145264</v>
      </c>
      <c r="Z66" s="344">
        <f t="shared" si="46"/>
        <v>19122.068945884705</v>
      </c>
      <c r="AA66" s="345">
        <f t="shared" si="46"/>
        <v>19191.549622297287</v>
      </c>
      <c r="AB66" s="344"/>
      <c r="AC66" s="348">
        <f t="shared" si="46"/>
        <v>19291.867640033364</v>
      </c>
      <c r="AD66" s="344">
        <f t="shared" si="46"/>
        <v>19392.243676874787</v>
      </c>
      <c r="AE66" s="344">
        <f t="shared" si="46"/>
        <v>19492.664466363378</v>
      </c>
      <c r="AF66" s="345">
        <f t="shared" si="46"/>
        <v>19593.081351392204</v>
      </c>
      <c r="AG66" s="344"/>
      <c r="AH66" s="348">
        <f t="shared" si="46"/>
        <v>19693.464283665933</v>
      </c>
      <c r="AI66" s="344">
        <f t="shared" si="46"/>
        <v>19793.863444574075</v>
      </c>
      <c r="AJ66" s="344">
        <f t="shared" si="46"/>
        <v>19894.268386498898</v>
      </c>
      <c r="AK66" s="345">
        <f t="shared" si="46"/>
        <v>19994.669366532777</v>
      </c>
      <c r="AL66" s="343"/>
    </row>
    <row r="67" spans="1:38" outlineLevel="1" x14ac:dyDescent="0.25">
      <c r="A67" s="166"/>
      <c r="B67" s="36" t="s">
        <v>138</v>
      </c>
      <c r="C67" s="97"/>
      <c r="D67" s="168">
        <f t="shared" si="45"/>
        <v>193</v>
      </c>
      <c r="E67" s="168">
        <f t="shared" si="45"/>
        <v>66</v>
      </c>
      <c r="F67" s="168">
        <f t="shared" si="45"/>
        <v>134</v>
      </c>
      <c r="G67" s="168">
        <f t="shared" si="45"/>
        <v>214</v>
      </c>
      <c r="H67" s="206">
        <f>+H60+H49</f>
        <v>607</v>
      </c>
      <c r="I67" s="168">
        <f>+I60+I49</f>
        <v>136</v>
      </c>
      <c r="J67" s="168">
        <f>+J60+J49</f>
        <v>68</v>
      </c>
      <c r="K67" s="168">
        <f>+K60+K49</f>
        <v>-36</v>
      </c>
      <c r="L67" s="343">
        <f t="shared" ref="L67:AK67" si="47">+L60+L49</f>
        <v>132</v>
      </c>
      <c r="M67" s="277">
        <f>+M60+M49</f>
        <v>300</v>
      </c>
      <c r="N67" s="342">
        <f t="shared" si="47"/>
        <v>75</v>
      </c>
      <c r="O67" s="277">
        <f t="shared" si="47"/>
        <v>59.75</v>
      </c>
      <c r="P67" s="277">
        <f t="shared" si="47"/>
        <v>57.6875</v>
      </c>
      <c r="Q67" s="343">
        <f t="shared" si="47"/>
        <v>81.109375</v>
      </c>
      <c r="R67" s="277">
        <f>+R60+R49</f>
        <v>273.546875</v>
      </c>
      <c r="S67" s="342">
        <f t="shared" si="47"/>
        <v>68.38671875</v>
      </c>
      <c r="T67" s="277">
        <f t="shared" si="47"/>
        <v>66.7333984375</v>
      </c>
      <c r="U67" s="277">
        <f t="shared" si="47"/>
        <v>68.479248046875</v>
      </c>
      <c r="V67" s="343">
        <f t="shared" si="47"/>
        <v>71.17718505859375</v>
      </c>
      <c r="W67" s="277">
        <f>+W60+W49</f>
        <v>274.77655029296875</v>
      </c>
      <c r="X67" s="342">
        <f t="shared" si="47"/>
        <v>68.694137573242188</v>
      </c>
      <c r="Y67" s="277">
        <f t="shared" si="47"/>
        <v>68.770992279052734</v>
      </c>
      <c r="Z67" s="277">
        <f t="shared" si="47"/>
        <v>69.280390739440918</v>
      </c>
      <c r="AA67" s="343">
        <f t="shared" si="47"/>
        <v>69.480676412582397</v>
      </c>
      <c r="AB67" s="277">
        <f>+AB60+AB49</f>
        <v>276.22619700431824</v>
      </c>
      <c r="AC67" s="342">
        <f t="shared" si="47"/>
        <v>100.31801773607731</v>
      </c>
      <c r="AD67" s="277">
        <f t="shared" si="47"/>
        <v>100.37603684142232</v>
      </c>
      <c r="AE67" s="277">
        <f t="shared" si="47"/>
        <v>100.42078948859125</v>
      </c>
      <c r="AF67" s="343">
        <f t="shared" si="47"/>
        <v>100.41688502882607</v>
      </c>
      <c r="AG67" s="277">
        <f>+AG60+AG49</f>
        <v>401.53172909491695</v>
      </c>
      <c r="AH67" s="342">
        <f t="shared" si="47"/>
        <v>100.38293227372924</v>
      </c>
      <c r="AI67" s="277">
        <f t="shared" si="47"/>
        <v>100.39916090814222</v>
      </c>
      <c r="AJ67" s="277">
        <f t="shared" si="47"/>
        <v>100.4049419248222</v>
      </c>
      <c r="AK67" s="343">
        <f t="shared" si="47"/>
        <v>100.40098003387993</v>
      </c>
      <c r="AL67" s="169">
        <f>+AL60+AL49</f>
        <v>401.58801514057359</v>
      </c>
    </row>
    <row r="68" spans="1:38" outlineLevel="1" x14ac:dyDescent="0.25">
      <c r="A68" s="166"/>
      <c r="B68" s="513" t="s">
        <v>136</v>
      </c>
      <c r="C68" s="514"/>
      <c r="D68" s="193">
        <f>+D64+D63+D56</f>
        <v>4612.5</v>
      </c>
      <c r="E68" s="193">
        <f>+E64+E63+E56</f>
        <v>4314.1000000000004</v>
      </c>
      <c r="F68" s="193">
        <f>+F64+F63+F56</f>
        <v>4681.0999999999995</v>
      </c>
      <c r="G68" s="193">
        <f>+G64+G63+G56</f>
        <v>4651.3999999999996</v>
      </c>
      <c r="H68" s="251">
        <f>SUM(D68:G68)</f>
        <v>18259.099999999999</v>
      </c>
      <c r="I68" s="193">
        <f>+I64+I63+I56</f>
        <v>5010.8999999999996</v>
      </c>
      <c r="J68" s="193">
        <f>+J64+J63+J56</f>
        <v>4330</v>
      </c>
      <c r="K68" s="193">
        <f>+K64+K63+K56</f>
        <v>2805.5</v>
      </c>
      <c r="L68" s="347">
        <f t="shared" ref="L68:AK68" si="48">+L64+L63+L56</f>
        <v>4250.8841523560532</v>
      </c>
      <c r="M68" s="346">
        <f>SUM(I68:L68)</f>
        <v>16397.284152356053</v>
      </c>
      <c r="N68" s="349">
        <f t="shared" si="48"/>
        <v>4856.2900764206843</v>
      </c>
      <c r="O68" s="346">
        <f t="shared" si="48"/>
        <v>4899.0581200317174</v>
      </c>
      <c r="P68" s="346">
        <f t="shared" si="48"/>
        <v>5028.6739769554997</v>
      </c>
      <c r="Q68" s="347">
        <f t="shared" si="48"/>
        <v>5087.6573376491742</v>
      </c>
      <c r="R68" s="346">
        <f>SUM(N68:Q68)</f>
        <v>19871.679511057075</v>
      </c>
      <c r="S68" s="349">
        <f t="shared" si="48"/>
        <v>5508.4027105768637</v>
      </c>
      <c r="T68" s="346">
        <f t="shared" si="48"/>
        <v>5082.215460016826</v>
      </c>
      <c r="U68" s="346">
        <f t="shared" si="48"/>
        <v>5284.7944859603012</v>
      </c>
      <c r="V68" s="347">
        <f t="shared" si="48"/>
        <v>5379.5199957283266</v>
      </c>
      <c r="W68" s="346">
        <f>SUM(S68:V68)</f>
        <v>21254.932652282318</v>
      </c>
      <c r="X68" s="349">
        <f t="shared" si="48"/>
        <v>5724.589980749286</v>
      </c>
      <c r="Y68" s="346">
        <f t="shared" si="48"/>
        <v>5282.5251714845454</v>
      </c>
      <c r="Z68" s="346">
        <f t="shared" si="48"/>
        <v>5542.406118902245</v>
      </c>
      <c r="AA68" s="347">
        <f t="shared" si="48"/>
        <v>5592.0346476416762</v>
      </c>
      <c r="AB68" s="346">
        <f>SUM(X68:AA68)</f>
        <v>22141.555918777754</v>
      </c>
      <c r="AC68" s="349">
        <f t="shared" si="48"/>
        <v>6053.2399750737741</v>
      </c>
      <c r="AD68" s="346">
        <f t="shared" si="48"/>
        <v>5541.7608681404263</v>
      </c>
      <c r="AE68" s="346">
        <f t="shared" si="48"/>
        <v>5863.4464779569216</v>
      </c>
      <c r="AF68" s="347">
        <f t="shared" si="48"/>
        <v>5868.5716057046884</v>
      </c>
      <c r="AG68" s="346">
        <f>SUM(AC68:AF68)</f>
        <v>23327.018926875811</v>
      </c>
      <c r="AH68" s="349">
        <f t="shared" si="48"/>
        <v>6354.7890617025168</v>
      </c>
      <c r="AI68" s="346">
        <f t="shared" si="48"/>
        <v>5768.0857329560831</v>
      </c>
      <c r="AJ68" s="346">
        <f t="shared" si="48"/>
        <v>6154.855076945807</v>
      </c>
      <c r="AK68" s="347">
        <f t="shared" si="48"/>
        <v>6160.1932029596419</v>
      </c>
      <c r="AL68" s="376">
        <f>SUM(AH68:AK68)</f>
        <v>24437.923074564053</v>
      </c>
    </row>
    <row r="69" spans="1:38" outlineLevel="1" x14ac:dyDescent="0.25">
      <c r="A69" s="166"/>
      <c r="B69" s="478" t="s">
        <v>230</v>
      </c>
      <c r="C69" s="479"/>
      <c r="D69" s="173">
        <v>1351.3</v>
      </c>
      <c r="E69" s="173">
        <v>1220.5</v>
      </c>
      <c r="F69" s="173">
        <v>1324</v>
      </c>
      <c r="G69" s="173">
        <v>1278.9000000000001</v>
      </c>
      <c r="H69" s="248"/>
      <c r="I69" s="173">
        <v>1388.4</v>
      </c>
      <c r="J69" s="173">
        <v>1248.2</v>
      </c>
      <c r="K69" s="173">
        <v>805.6</v>
      </c>
      <c r="L69" s="173">
        <f>+(L68*L79)*(K69/K78)</f>
        <v>952.79729370870507</v>
      </c>
      <c r="M69" s="186"/>
      <c r="N69" s="173">
        <f>+(N68*N79)*(L69/L78)</f>
        <v>1021.1106293348444</v>
      </c>
      <c r="O69" s="173">
        <f>+(O68*O79)*(N69/N78)</f>
        <v>1019.6453753661988</v>
      </c>
      <c r="P69" s="173">
        <f>+(P68*P79)*(O69/O78)</f>
        <v>1019.785967485299</v>
      </c>
      <c r="Q69" s="173">
        <f>+(Q68*Q79)*(P69/P78)</f>
        <v>1031.7474515318252</v>
      </c>
      <c r="R69" s="186"/>
      <c r="S69" s="173">
        <f>+(S68*S79)*(Q69/Q78)</f>
        <v>1128.8308316240186</v>
      </c>
      <c r="T69" s="173">
        <f>+(T68*T79)*(S69/S78)</f>
        <v>1053.6977463005815</v>
      </c>
      <c r="U69" s="173">
        <f>+(U68*U79)*(T69/T78)</f>
        <v>1070.315558397609</v>
      </c>
      <c r="V69" s="173">
        <f>+(V68*V79)*(U69/U78)</f>
        <v>1089.500067303529</v>
      </c>
      <c r="W69" s="186"/>
      <c r="X69" s="173">
        <f>+(X68*X79)*(V69/V78)</f>
        <v>1170.0788120249692</v>
      </c>
      <c r="Y69" s="173">
        <f>+(Y68*Y79)*(X69/X78)</f>
        <v>1096.6375980918504</v>
      </c>
      <c r="Z69" s="173">
        <f>+(Z68*Z79)*(Y69/Y78)</f>
        <v>1123.9678714632221</v>
      </c>
      <c r="AA69" s="173">
        <f>+(AA68*AA79)*(Z69/Z78)</f>
        <v>1134.0322497520792</v>
      </c>
      <c r="AB69" s="186"/>
      <c r="AC69" s="173">
        <f>+(AC68*AC79)*(AA69/AA78)</f>
        <v>1243.714151706788</v>
      </c>
      <c r="AD69" s="173">
        <f>+(AD68*AD79)*(AC69/AC78)</f>
        <v>1153.4116767220908</v>
      </c>
      <c r="AE69" s="173">
        <f>+(AE68*AE79)*(AD69/AD78)</f>
        <v>1189.0729975184636</v>
      </c>
      <c r="AF69" s="173">
        <f>+(AF68*AF79)*(AE69/AE78)</f>
        <v>1190.1123437522212</v>
      </c>
      <c r="AG69" s="186"/>
      <c r="AH69" s="173">
        <f>+(AH68*AH79)*(AF69/AF78)</f>
        <v>1305.671197523372</v>
      </c>
      <c r="AI69" s="173">
        <f>+(AI68*AI79)*(AH69/AH78)</f>
        <v>1200.5168745143083</v>
      </c>
      <c r="AJ69" s="173">
        <f>+(AJ68*AJ79)*(AI69/AI78)</f>
        <v>1248.1689741944729</v>
      </c>
      <c r="AK69" s="173">
        <f>+(AK68*AK79)*(AJ69/AJ78)</f>
        <v>1249.2515152433702</v>
      </c>
      <c r="AL69" s="186"/>
    </row>
    <row r="70" spans="1:38" outlineLevel="1" x14ac:dyDescent="0.25">
      <c r="A70" s="166"/>
      <c r="B70" s="36" t="s">
        <v>107</v>
      </c>
      <c r="C70" s="27"/>
      <c r="D70" s="101">
        <v>1983.1</v>
      </c>
      <c r="E70" s="101">
        <v>1935.7</v>
      </c>
      <c r="F70" s="101">
        <v>2034</v>
      </c>
      <c r="G70" s="101">
        <v>2112.1</v>
      </c>
      <c r="H70" s="102"/>
      <c r="I70" s="101">
        <v>2214.4</v>
      </c>
      <c r="J70" s="101">
        <v>2158.6</v>
      </c>
      <c r="K70" s="101">
        <v>2054.4</v>
      </c>
      <c r="L70" s="173">
        <f>+(L$68*L$79)*(68.0467689046405%-1.63083106791312%)</f>
        <v>2371.5422439576773</v>
      </c>
      <c r="M70" s="186"/>
      <c r="N70" s="173">
        <f>+(N$68*N$79)*(L70/L$78)</f>
        <v>2541.5762714814559</v>
      </c>
      <c r="O70" s="173">
        <f t="shared" ref="O70:Q71" si="49">+(O$68*O$79)*(N70/N$78)</f>
        <v>2537.9292085566194</v>
      </c>
      <c r="P70" s="173">
        <f t="shared" si="49"/>
        <v>2538.2791467353013</v>
      </c>
      <c r="Q70" s="173">
        <f t="shared" si="49"/>
        <v>2568.0516543862673</v>
      </c>
      <c r="R70" s="186"/>
      <c r="S70" s="173">
        <f>+(S$68*S$79)*(Q70/Q$78)</f>
        <v>2809.6952218009601</v>
      </c>
      <c r="T70" s="173">
        <f t="shared" ref="T70:V71" si="50">+(T$68*T$79)*(S70/S$78)</f>
        <v>2622.6866241276311</v>
      </c>
      <c r="U70" s="173">
        <f t="shared" si="50"/>
        <v>2664.0488778309882</v>
      </c>
      <c r="V70" s="173">
        <f t="shared" si="50"/>
        <v>2711.7997201144271</v>
      </c>
      <c r="W70" s="186"/>
      <c r="X70" s="173">
        <f>+(X$68*X$79)*(V70/V$78)</f>
        <v>2912.3627342348268</v>
      </c>
      <c r="Y70" s="173">
        <f t="shared" ref="Y70:AA71" si="51">+(Y$68*Y$79)*(X70/X$78)</f>
        <v>2729.5652573318612</v>
      </c>
      <c r="Z70" s="173">
        <f t="shared" si="51"/>
        <v>2797.5911619677067</v>
      </c>
      <c r="AA70" s="173">
        <f t="shared" si="51"/>
        <v>2822.6417140933218</v>
      </c>
      <c r="AB70" s="186"/>
      <c r="AC70" s="173">
        <f>+(AC$68*AC$79)*(AA70/AA$78)</f>
        <v>3095.6433961937541</v>
      </c>
      <c r="AD70" s="173">
        <f t="shared" ref="AD70:AF71" si="52">+(AD$68*AD$79)*(AC70/AC$78)</f>
        <v>2870.8777135304967</v>
      </c>
      <c r="AE70" s="173">
        <f t="shared" si="52"/>
        <v>2959.6398555961318</v>
      </c>
      <c r="AF70" s="173">
        <f t="shared" si="52"/>
        <v>2962.2268208569799</v>
      </c>
      <c r="AG70" s="186"/>
      <c r="AH70" s="173">
        <f>+(AH$68*AH$79)*(AF70/AF$78)</f>
        <v>3249.8564197141291</v>
      </c>
      <c r="AI70" s="173">
        <f t="shared" ref="AI70:AK71" si="53">+(AI$68*AI$79)*(AH70/AH$78)</f>
        <v>2988.124023120015</v>
      </c>
      <c r="AJ70" s="173">
        <f t="shared" si="53"/>
        <v>3106.7315886021879</v>
      </c>
      <c r="AK70" s="173">
        <f t="shared" si="53"/>
        <v>3109.4260671079837</v>
      </c>
      <c r="AL70" s="186"/>
    </row>
    <row r="71" spans="1:38" outlineLevel="1" x14ac:dyDescent="0.25">
      <c r="A71" s="166"/>
      <c r="B71" s="36" t="s">
        <v>108</v>
      </c>
      <c r="C71" s="27"/>
      <c r="D71" s="101">
        <v>44.5</v>
      </c>
      <c r="E71" s="101">
        <v>39.4</v>
      </c>
      <c r="F71" s="101">
        <v>41.7</v>
      </c>
      <c r="G71" s="101">
        <v>34.200000000000003</v>
      </c>
      <c r="H71" s="102"/>
      <c r="I71" s="101">
        <v>42.5</v>
      </c>
      <c r="J71" s="101">
        <v>41.8</v>
      </c>
      <c r="K71" s="101">
        <v>40.700000000000003</v>
      </c>
      <c r="L71" s="173">
        <f>+(L$68*L$79)*(K71/K$78)</f>
        <v>48.13660607490602</v>
      </c>
      <c r="M71" s="186"/>
      <c r="N71" s="173">
        <f>+(N$68*N$79)*(L71/L$78)</f>
        <v>51.587888051052822</v>
      </c>
      <c r="O71" s="173">
        <f t="shared" si="49"/>
        <v>51.5138614416637</v>
      </c>
      <c r="P71" s="173">
        <f t="shared" si="49"/>
        <v>51.520964345396791</v>
      </c>
      <c r="Q71" s="173">
        <f t="shared" si="49"/>
        <v>52.12527467396383</v>
      </c>
      <c r="R71" s="186"/>
      <c r="S71" s="173">
        <f>+(S$68*S$79)*(Q71/Q$78)</f>
        <v>57.030058151809257</v>
      </c>
      <c r="T71" s="173">
        <f t="shared" si="50"/>
        <v>53.234233210568071</v>
      </c>
      <c r="U71" s="173">
        <f t="shared" si="50"/>
        <v>54.073787520832497</v>
      </c>
      <c r="V71" s="173">
        <f t="shared" si="50"/>
        <v>55.043014820324736</v>
      </c>
      <c r="W71" s="186"/>
      <c r="X71" s="173">
        <f>+(X$68*X$79)*(V71/V$78)</f>
        <v>59.113961828967504</v>
      </c>
      <c r="Y71" s="173">
        <f t="shared" si="51"/>
        <v>55.403612515315643</v>
      </c>
      <c r="Z71" s="173">
        <f t="shared" si="51"/>
        <v>56.784374836833557</v>
      </c>
      <c r="AA71" s="173">
        <f t="shared" si="51"/>
        <v>57.292840820394233</v>
      </c>
      <c r="AB71" s="186"/>
      <c r="AC71" s="173">
        <f>+(AC$68*AC$79)*(AA71/AA$78)</f>
        <v>62.834118637619468</v>
      </c>
      <c r="AD71" s="173">
        <f t="shared" si="52"/>
        <v>58.271915643730217</v>
      </c>
      <c r="AE71" s="173">
        <f t="shared" si="52"/>
        <v>60.07357373262343</v>
      </c>
      <c r="AF71" s="173">
        <f t="shared" si="52"/>
        <v>60.126082908037951</v>
      </c>
      <c r="AG71" s="186"/>
      <c r="AH71" s="173">
        <f>+(AH$68*AH$79)*(AF71/AF$78)</f>
        <v>65.964272268124645</v>
      </c>
      <c r="AI71" s="173">
        <f t="shared" si="53"/>
        <v>60.651733853937834</v>
      </c>
      <c r="AJ71" s="173">
        <f t="shared" si="53"/>
        <v>63.059182286140789</v>
      </c>
      <c r="AK71" s="173">
        <f t="shared" si="53"/>
        <v>63.113873721952764</v>
      </c>
      <c r="AL71" s="186"/>
    </row>
    <row r="72" spans="1:38" outlineLevel="1" x14ac:dyDescent="0.25">
      <c r="A72" s="166"/>
      <c r="B72" s="36" t="s">
        <v>109</v>
      </c>
      <c r="C72" s="27"/>
      <c r="D72" s="125">
        <v>166.9</v>
      </c>
      <c r="E72" s="125">
        <v>173</v>
      </c>
      <c r="F72" s="125">
        <v>175.6</v>
      </c>
      <c r="G72" s="125">
        <v>180.6</v>
      </c>
      <c r="H72" s="11"/>
      <c r="I72" s="125">
        <v>189.2</v>
      </c>
      <c r="J72" s="125">
        <v>191.5</v>
      </c>
      <c r="K72" s="125">
        <v>191.3</v>
      </c>
      <c r="L72" s="173">
        <f>L242*(K72/(K72+K105+K119+K133))</f>
        <v>198.39153038038069</v>
      </c>
      <c r="M72" s="249"/>
      <c r="N72" s="173">
        <f>N242*(L72/(L72+L105+L119+L133))</f>
        <v>198.05313929477686</v>
      </c>
      <c r="O72" s="173">
        <f>O242*(N72/(N72+N105+N119+N133))</f>
        <v>199.69152352228443</v>
      </c>
      <c r="P72" s="173">
        <f>P242*(O72/(O72+O105+O119+O133))</f>
        <v>200.63971774011551</v>
      </c>
      <c r="Q72" s="173">
        <f>Q242*(P72/(P72+P105+P119+P133))</f>
        <v>201.99823230209827</v>
      </c>
      <c r="R72" s="249"/>
      <c r="S72" s="173">
        <f>S242*(Q72/(Q72+Q105+Q119+Q133))</f>
        <v>203.57145281555802</v>
      </c>
      <c r="T72" s="173">
        <f>T242*(S72/(S72+S105+S119+S133))</f>
        <v>206.44881002388112</v>
      </c>
      <c r="U72" s="173">
        <f>U242*(T72/(T72+T105+T119+T133))</f>
        <v>207.59858659278046</v>
      </c>
      <c r="V72" s="173">
        <f>V242*(U72/(U72+U105+U119+U133))</f>
        <v>209.31362581896755</v>
      </c>
      <c r="W72" s="249"/>
      <c r="X72" s="173">
        <f>X242*(V72/(V72+V105+V119+V133))</f>
        <v>211.28454079399677</v>
      </c>
      <c r="Y72" s="173">
        <f>Y242*(X72/(X72+X105+X119+X133))</f>
        <v>214.44562067407472</v>
      </c>
      <c r="Z72" s="173">
        <f>Z242*(Y72/(Y72+Y105+Y119+Y133))</f>
        <v>215.74847875712419</v>
      </c>
      <c r="AA72" s="173">
        <f>AA242*(Z72/(Z72+Z105+Z119+Z133))</f>
        <v>217.7384430875538</v>
      </c>
      <c r="AB72" s="249"/>
      <c r="AC72" s="173">
        <f>AC242*(AA72/(AA72+AA105+AA119+AA133))</f>
        <v>219.88972813111914</v>
      </c>
      <c r="AD72" s="173">
        <f>AD242*(AC72/(AC72+AC105+AC119+AC133))</f>
        <v>223.48405784212559</v>
      </c>
      <c r="AE72" s="173">
        <f>AE242*(AD72/(AD72+AD105+AD119+AD133))</f>
        <v>224.99090494987706</v>
      </c>
      <c r="AF72" s="173">
        <f>AF242*(AE72/(AE72+AE105+AE119+AE133))</f>
        <v>227.31826754573021</v>
      </c>
      <c r="AG72" s="249"/>
      <c r="AH72" s="173">
        <f>AH242*(AF72/(AF72+AF105+AF119+AF133))</f>
        <v>229.71775888672838</v>
      </c>
      <c r="AI72" s="173">
        <f>AI242*(AH72/(AH72+AH105+AH119+AH133))</f>
        <v>233.67896065069704</v>
      </c>
      <c r="AJ72" s="173">
        <f>AJ242*(AI72/(AI72+AI105+AI119+AI133))</f>
        <v>235.30588326836252</v>
      </c>
      <c r="AK72" s="173">
        <f>AK242*(AJ72/(AJ72+AJ105+AJ119+AJ133))</f>
        <v>237.91246753584943</v>
      </c>
      <c r="AL72" s="249"/>
    </row>
    <row r="73" spans="1:38" outlineLevel="1" x14ac:dyDescent="0.25">
      <c r="A73" s="166"/>
      <c r="B73" s="36" t="s">
        <v>110</v>
      </c>
      <c r="C73" s="27"/>
      <c r="D73" s="101">
        <v>75.099999999999994</v>
      </c>
      <c r="E73" s="101">
        <v>70.900000000000006</v>
      </c>
      <c r="F73" s="101">
        <v>72</v>
      </c>
      <c r="G73" s="101">
        <v>106</v>
      </c>
      <c r="H73" s="102"/>
      <c r="I73" s="101">
        <v>72.400000000000006</v>
      </c>
      <c r="J73" s="101">
        <v>68.2</v>
      </c>
      <c r="K73" s="101">
        <v>62.2</v>
      </c>
      <c r="L73" s="173">
        <f>+(L$68*L$79)*(K73/K$78)</f>
        <v>73.565034345433773</v>
      </c>
      <c r="M73" s="186"/>
      <c r="N73" s="173">
        <f>+(N$68*N$79)*(L73/L$78)</f>
        <v>78.839475105048777</v>
      </c>
      <c r="O73" s="173">
        <f t="shared" ref="O73:Q74" si="54">+(O$68*O$79)*(N73/N$78)</f>
        <v>78.726343530011832</v>
      </c>
      <c r="P73" s="173">
        <f t="shared" si="54"/>
        <v>78.737198581908586</v>
      </c>
      <c r="Q73" s="173">
        <f t="shared" si="54"/>
        <v>79.66073918232307</v>
      </c>
      <c r="R73" s="186"/>
      <c r="S73" s="173">
        <f>+(S$68*S$79)*(Q73/Q$78)</f>
        <v>87.156501647236709</v>
      </c>
      <c r="T73" s="173">
        <f t="shared" ref="T73:V74" si="55">+(T$68*T$79)*(S73/S$78)</f>
        <v>81.35551119649466</v>
      </c>
      <c r="U73" s="173">
        <f t="shared" si="55"/>
        <v>82.638564712427012</v>
      </c>
      <c r="V73" s="173">
        <f t="shared" si="55"/>
        <v>84.11979169101221</v>
      </c>
      <c r="W73" s="186"/>
      <c r="X73" s="173">
        <f>+(X$68*X$79)*(V73/V$78)</f>
        <v>90.341238962205836</v>
      </c>
      <c r="Y73" s="173">
        <f t="shared" ref="Y73:AA74" si="56">+(Y$68*Y$79)*(X73/X$78)</f>
        <v>84.670877111858275</v>
      </c>
      <c r="Z73" s="173">
        <f t="shared" si="56"/>
        <v>86.781034762924975</v>
      </c>
      <c r="AA73" s="173">
        <f t="shared" si="56"/>
        <v>87.558100713231468</v>
      </c>
      <c r="AB73" s="186"/>
      <c r="AC73" s="173">
        <f>+(AC$68*AC$79)*(AA73/AA$78)</f>
        <v>96.026589171005654</v>
      </c>
      <c r="AD73" s="173">
        <f t="shared" ref="AD73:AF74" si="57">+(AD$68*AD$79)*(AC73/AC$78)</f>
        <v>89.054377224570487</v>
      </c>
      <c r="AE73" s="173">
        <f t="shared" si="57"/>
        <v>91.80777115894783</v>
      </c>
      <c r="AF73" s="173">
        <f t="shared" si="57"/>
        <v>91.888018596559206</v>
      </c>
      <c r="AG73" s="186"/>
      <c r="AH73" s="173">
        <f>+(AH$68*AH$79)*(AF73/AF$78)</f>
        <v>100.81026376111429</v>
      </c>
      <c r="AI73" s="173">
        <f t="shared" ref="AI73:AK74" si="58">+(AI$68*AI$79)*(AH73/AH$78)</f>
        <v>92.691347560563443</v>
      </c>
      <c r="AJ73" s="173">
        <f t="shared" si="58"/>
        <v>96.370543936067719</v>
      </c>
      <c r="AK73" s="173">
        <f t="shared" si="58"/>
        <v>96.454126425195597</v>
      </c>
      <c r="AL73" s="186"/>
    </row>
    <row r="74" spans="1:38" ht="17.25" outlineLevel="1" x14ac:dyDescent="0.4">
      <c r="A74" s="166"/>
      <c r="B74" s="36" t="s">
        <v>118</v>
      </c>
      <c r="C74" s="27"/>
      <c r="D74" s="203">
        <v>22.9</v>
      </c>
      <c r="E74" s="203">
        <v>18.2</v>
      </c>
      <c r="F74" s="203">
        <v>15.1</v>
      </c>
      <c r="G74" s="203">
        <v>0.7</v>
      </c>
      <c r="H74" s="250"/>
      <c r="I74" s="203">
        <v>5.2</v>
      </c>
      <c r="J74" s="203">
        <v>0.5</v>
      </c>
      <c r="K74" s="203">
        <v>56.2</v>
      </c>
      <c r="L74" s="173">
        <f>+(L$68*L$79)*3.49231296649216%</f>
        <v>124.70150989236427</v>
      </c>
      <c r="M74" s="250"/>
      <c r="N74" s="173">
        <f>+(N$68*N$79)*(L74/L$78)</f>
        <v>133.64231624709748</v>
      </c>
      <c r="O74" s="173">
        <f t="shared" si="54"/>
        <v>133.45054473024663</v>
      </c>
      <c r="P74" s="173">
        <f t="shared" si="54"/>
        <v>133.4689453382737</v>
      </c>
      <c r="Q74" s="173">
        <f t="shared" si="54"/>
        <v>135.03445683899301</v>
      </c>
      <c r="R74" s="250"/>
      <c r="S74" s="173">
        <f>+(S$68*S$79)*(Q74/Q$78)</f>
        <v>147.74066849900646</v>
      </c>
      <c r="T74" s="173">
        <f t="shared" si="55"/>
        <v>137.90729759779893</v>
      </c>
      <c r="U74" s="173">
        <f t="shared" si="55"/>
        <v>140.08222638201153</v>
      </c>
      <c r="V74" s="173">
        <f t="shared" si="55"/>
        <v>142.59308282850682</v>
      </c>
      <c r="W74" s="250"/>
      <c r="X74" s="173">
        <f>+(X$68*X$79)*(V74/V$78)</f>
        <v>153.1391782029832</v>
      </c>
      <c r="Y74" s="173">
        <f t="shared" si="56"/>
        <v>143.52723836409027</v>
      </c>
      <c r="Z74" s="173">
        <f t="shared" si="56"/>
        <v>147.10420733501923</v>
      </c>
      <c r="AA74" s="173">
        <f t="shared" si="56"/>
        <v>148.42142682864647</v>
      </c>
      <c r="AB74" s="250"/>
      <c r="AC74" s="173">
        <f>+(AC$68*AC$79)*(AA74/AA$78)</f>
        <v>162.77652509763882</v>
      </c>
      <c r="AD74" s="173">
        <f t="shared" si="57"/>
        <v>150.95779402864406</v>
      </c>
      <c r="AE74" s="173">
        <f t="shared" si="57"/>
        <v>155.62512524109314</v>
      </c>
      <c r="AF74" s="173">
        <f t="shared" si="57"/>
        <v>155.76115422176545</v>
      </c>
      <c r="AG74" s="250"/>
      <c r="AH74" s="173">
        <f>+(AH$68*AH$79)*(AF74/AF$78)</f>
        <v>170.88542424419802</v>
      </c>
      <c r="AI74" s="173">
        <f t="shared" si="58"/>
        <v>157.12289265691942</v>
      </c>
      <c r="AJ74" s="173">
        <f t="shared" si="58"/>
        <v>163.35956945994431</v>
      </c>
      <c r="AK74" s="173">
        <f t="shared" si="58"/>
        <v>163.50125175082542</v>
      </c>
      <c r="AL74" s="250"/>
    </row>
    <row r="75" spans="1:38" outlineLevel="1" x14ac:dyDescent="0.25">
      <c r="A75" s="166"/>
      <c r="B75" s="99" t="s">
        <v>206</v>
      </c>
      <c r="C75" s="30"/>
      <c r="D75" s="171">
        <f>SUM(D69:D74)</f>
        <v>3643.7999999999997</v>
      </c>
      <c r="E75" s="171">
        <f>SUM(E69:E74)</f>
        <v>3457.7</v>
      </c>
      <c r="F75" s="171">
        <f>SUM(F69:F74)</f>
        <v>3662.3999999999996</v>
      </c>
      <c r="G75" s="171">
        <f>SUM(G69:G74)</f>
        <v>3712.4999999999995</v>
      </c>
      <c r="H75" s="249"/>
      <c r="I75" s="171">
        <f>SUM(I69:I74)</f>
        <v>3912.1</v>
      </c>
      <c r="J75" s="171">
        <f>SUM(J69:J74)</f>
        <v>3708.8</v>
      </c>
      <c r="K75" s="171">
        <f t="shared" ref="K75:Q75" si="59">SUM(K69:K74)</f>
        <v>3210.3999999999996</v>
      </c>
      <c r="L75" s="171">
        <f t="shared" si="59"/>
        <v>3769.134218359467</v>
      </c>
      <c r="M75" s="187"/>
      <c r="N75" s="171">
        <f t="shared" si="59"/>
        <v>4024.8097195142759</v>
      </c>
      <c r="O75" s="171">
        <f t="shared" si="59"/>
        <v>4020.9568571470254</v>
      </c>
      <c r="P75" s="171">
        <f t="shared" si="59"/>
        <v>4022.431940226295</v>
      </c>
      <c r="Q75" s="171">
        <f t="shared" si="59"/>
        <v>4068.6178089154701</v>
      </c>
      <c r="R75" s="187"/>
      <c r="S75" s="171">
        <f>SUM(S69:S74)</f>
        <v>4434.0247345385887</v>
      </c>
      <c r="T75" s="171">
        <f>SUM(T69:T74)</f>
        <v>4155.3302224569552</v>
      </c>
      <c r="U75" s="171">
        <f>SUM(U69:U74)</f>
        <v>4218.7576014366487</v>
      </c>
      <c r="V75" s="171">
        <f>SUM(V69:V74)</f>
        <v>4292.369302576768</v>
      </c>
      <c r="W75" s="249"/>
      <c r="X75" s="171">
        <f>SUM(X69:X74)</f>
        <v>4596.3204660479496</v>
      </c>
      <c r="Y75" s="171">
        <f>SUM(Y69:Y74)</f>
        <v>4324.2502040890504</v>
      </c>
      <c r="Z75" s="171">
        <f>SUM(Z69:Z74)</f>
        <v>4427.9771291228308</v>
      </c>
      <c r="AA75" s="171">
        <f>SUM(AA69:AA74)</f>
        <v>4467.6847752952272</v>
      </c>
      <c r="AB75" s="249"/>
      <c r="AC75" s="171">
        <f>SUM(AC69:AC74)</f>
        <v>4880.8845089379256</v>
      </c>
      <c r="AD75" s="171">
        <f>SUM(AD69:AD74)</f>
        <v>4546.057534991658</v>
      </c>
      <c r="AE75" s="171">
        <f>SUM(AE69:AE74)</f>
        <v>4681.2102281971365</v>
      </c>
      <c r="AF75" s="171">
        <f>SUM(AF69:AF74)</f>
        <v>4687.4326878812944</v>
      </c>
      <c r="AG75" s="249"/>
      <c r="AH75" s="171">
        <f>SUM(AH69:AH74)</f>
        <v>5122.9053363976673</v>
      </c>
      <c r="AI75" s="171">
        <f>SUM(AI69:AI74)</f>
        <v>4732.7858323564406</v>
      </c>
      <c r="AJ75" s="171">
        <f>SUM(AJ69:AJ74)</f>
        <v>4912.995741747176</v>
      </c>
      <c r="AK75" s="171">
        <f>SUM(AK69:AK74)</f>
        <v>4919.6593017851783</v>
      </c>
      <c r="AL75" s="249"/>
    </row>
    <row r="76" spans="1:38" outlineLevel="1" x14ac:dyDescent="0.25">
      <c r="A76" s="166"/>
      <c r="B76" s="99" t="s">
        <v>207</v>
      </c>
      <c r="C76" s="89"/>
      <c r="D76" s="301">
        <f>+D68-D75</f>
        <v>968.70000000000027</v>
      </c>
      <c r="E76" s="301">
        <f>+E68-E75</f>
        <v>856.40000000000055</v>
      </c>
      <c r="F76" s="301">
        <f>+F68-F75</f>
        <v>1018.6999999999998</v>
      </c>
      <c r="G76" s="301">
        <f>+G68-G75</f>
        <v>938.90000000000009</v>
      </c>
      <c r="H76" s="251">
        <f>SUM(D76:G76)</f>
        <v>3782.7000000000007</v>
      </c>
      <c r="I76" s="301">
        <f>+I68-I75</f>
        <v>1098.7999999999997</v>
      </c>
      <c r="J76" s="301">
        <f>+J68-J75</f>
        <v>621.19999999999982</v>
      </c>
      <c r="K76" s="301">
        <f t="shared" ref="K76:Q76" si="60">+K68-K75</f>
        <v>-404.89999999999964</v>
      </c>
      <c r="L76" s="301">
        <f t="shared" si="60"/>
        <v>481.74993399658615</v>
      </c>
      <c r="M76" s="351">
        <f>SUM(I76:L76)</f>
        <v>1796.8499339965861</v>
      </c>
      <c r="N76" s="301">
        <f t="shared" si="60"/>
        <v>831.48035690640836</v>
      </c>
      <c r="O76" s="301">
        <f t="shared" si="60"/>
        <v>878.10126288469201</v>
      </c>
      <c r="P76" s="301">
        <f t="shared" si="60"/>
        <v>1006.2420367292048</v>
      </c>
      <c r="Q76" s="301">
        <f t="shared" si="60"/>
        <v>1019.0395287337042</v>
      </c>
      <c r="R76" s="151">
        <f>SUM(N76:Q76)</f>
        <v>3734.8631852540093</v>
      </c>
      <c r="S76" s="301">
        <f>+S68-S75</f>
        <v>1074.3779760382749</v>
      </c>
      <c r="T76" s="301">
        <f>+T68-T75</f>
        <v>926.8852375598708</v>
      </c>
      <c r="U76" s="301">
        <f>+U68-U75</f>
        <v>1066.0368845236526</v>
      </c>
      <c r="V76" s="301">
        <f>+V68-V75</f>
        <v>1087.1506931515587</v>
      </c>
      <c r="W76" s="151">
        <f>SUM(S76:V76)</f>
        <v>4154.450791273357</v>
      </c>
      <c r="X76" s="301">
        <f>+X68-X75</f>
        <v>1128.2695147013364</v>
      </c>
      <c r="Y76" s="301">
        <f>+Y68-Y75</f>
        <v>958.27496739549497</v>
      </c>
      <c r="Z76" s="301">
        <f>+Z68-Z75</f>
        <v>1114.4289897794142</v>
      </c>
      <c r="AA76" s="301">
        <f>+AA68-AA75</f>
        <v>1124.349872346449</v>
      </c>
      <c r="AB76" s="151">
        <f>SUM(X76:AA76)</f>
        <v>4325.3233442226947</v>
      </c>
      <c r="AC76" s="301">
        <f>+AC68-AC75</f>
        <v>1172.3554661358485</v>
      </c>
      <c r="AD76" s="301">
        <f>+AD68-AD75</f>
        <v>995.70333314876825</v>
      </c>
      <c r="AE76" s="301">
        <f>+AE68-AE75</f>
        <v>1182.2362497597851</v>
      </c>
      <c r="AF76" s="301">
        <f>+AF68-AF75</f>
        <v>1181.138917823394</v>
      </c>
      <c r="AG76" s="151">
        <f>SUM(AC76:AF76)</f>
        <v>4531.4339668677958</v>
      </c>
      <c r="AH76" s="301">
        <f>+AH68-AH75</f>
        <v>1231.8837253048496</v>
      </c>
      <c r="AI76" s="301">
        <f>+AI68-AI75</f>
        <v>1035.2999005996426</v>
      </c>
      <c r="AJ76" s="301">
        <f>+AJ68-AJ75</f>
        <v>1241.859335198631</v>
      </c>
      <c r="AK76" s="301">
        <f>+AK68-AK75</f>
        <v>1240.5339011744636</v>
      </c>
      <c r="AL76" s="151">
        <f>SUM(AH76:AK76)</f>
        <v>4749.5768622775868</v>
      </c>
    </row>
    <row r="77" spans="1:38" outlineLevel="1" x14ac:dyDescent="0.25">
      <c r="A77" s="166"/>
      <c r="B77" s="99" t="s">
        <v>208</v>
      </c>
      <c r="C77" s="89"/>
      <c r="D77" s="302">
        <f>+D76/D68</f>
        <v>0.21001626016260169</v>
      </c>
      <c r="E77" s="302">
        <f>+E76/E68</f>
        <v>0.19851185647064287</v>
      </c>
      <c r="F77" s="302">
        <f>+F76/F68</f>
        <v>0.21761979022024736</v>
      </c>
      <c r="G77" s="302">
        <f>+G76/G68</f>
        <v>0.20185320548652022</v>
      </c>
      <c r="H77" s="252">
        <f>H76/H68</f>
        <v>0.20716793270205</v>
      </c>
      <c r="I77" s="302">
        <f>+I76/I68</f>
        <v>0.21928196531561192</v>
      </c>
      <c r="J77" s="302">
        <f>+J76/J68</f>
        <v>0.14346420323325632</v>
      </c>
      <c r="K77" s="302">
        <f t="shared" ref="K77:Q77" si="61">+K76/K68</f>
        <v>-0.14432364997326666</v>
      </c>
      <c r="L77" s="302">
        <f t="shared" si="61"/>
        <v>0.11332934907896189</v>
      </c>
      <c r="M77" s="352">
        <f>M76/M68</f>
        <v>0.10958216722361334</v>
      </c>
      <c r="N77" s="302">
        <f t="shared" si="61"/>
        <v>0.17121719333521543</v>
      </c>
      <c r="O77" s="302">
        <f t="shared" si="61"/>
        <v>0.17923879271695739</v>
      </c>
      <c r="P77" s="302">
        <f t="shared" si="61"/>
        <v>0.20010086979995706</v>
      </c>
      <c r="Q77" s="302">
        <f t="shared" si="61"/>
        <v>0.20029641563961267</v>
      </c>
      <c r="R77" s="377">
        <f>R76/R68</f>
        <v>0.18794904492978778</v>
      </c>
      <c r="S77" s="302">
        <f>+S76/S68</f>
        <v>0.19504346949349341</v>
      </c>
      <c r="T77" s="302">
        <f>+T76/T68</f>
        <v>0.18237818621660762</v>
      </c>
      <c r="U77" s="302">
        <f>+U76/U68</f>
        <v>0.20171775598004976</v>
      </c>
      <c r="V77" s="302">
        <f>+V76/V68</f>
        <v>0.2020906500979314</v>
      </c>
      <c r="W77" s="377">
        <f>W76/W68</f>
        <v>0.19545819595091773</v>
      </c>
      <c r="X77" s="302">
        <f>+X76/X68</f>
        <v>0.19709176002045448</v>
      </c>
      <c r="Y77" s="302">
        <f>+Y76/Y68</f>
        <v>0.18140471389863561</v>
      </c>
      <c r="Z77" s="302">
        <f>+Z76/Z68</f>
        <v>0.20107313788837677</v>
      </c>
      <c r="AA77" s="302">
        <f>+AA76/AA68</f>
        <v>0.20106275142995048</v>
      </c>
      <c r="AB77" s="377">
        <f>AB76/AB68</f>
        <v>0.19534866294353259</v>
      </c>
      <c r="AC77" s="302">
        <f>+AC76/AC68</f>
        <v>0.19367404414221334</v>
      </c>
      <c r="AD77" s="302">
        <f>+AD76/AD68</f>
        <v>0.17967273522628249</v>
      </c>
      <c r="AE77" s="302">
        <f>+AE76/AE68</f>
        <v>0.20162821545387882</v>
      </c>
      <c r="AF77" s="302">
        <f>+AF76/AF68</f>
        <v>0.20126514545298196</v>
      </c>
      <c r="AG77" s="377">
        <f>AG76/AG68</f>
        <v>0.19425688216195447</v>
      </c>
      <c r="AH77" s="302">
        <f>+AH76/AH68</f>
        <v>0.19385123775844332</v>
      </c>
      <c r="AI77" s="302">
        <f>+AI76/AI68</f>
        <v>0.17948760620606488</v>
      </c>
      <c r="AJ77" s="302">
        <f>+AJ76/AJ68</f>
        <v>0.20176906193132862</v>
      </c>
      <c r="AK77" s="302">
        <f>+AK76/AK68</f>
        <v>0.2013790574909978</v>
      </c>
      <c r="AL77" s="377">
        <f>AL76/AL68</f>
        <v>0.19435272170167081</v>
      </c>
    </row>
    <row r="78" spans="1:38" s="127" customFormat="1" outlineLevel="1" x14ac:dyDescent="0.25">
      <c r="A78" s="182"/>
      <c r="B78" s="130" t="s">
        <v>139</v>
      </c>
      <c r="C78" s="128"/>
      <c r="D78" s="205">
        <f>+D75-D72</f>
        <v>3476.8999999999996</v>
      </c>
      <c r="E78" s="205">
        <f>+E75-E72</f>
        <v>3284.7</v>
      </c>
      <c r="F78" s="205">
        <f>+F75-F72</f>
        <v>3486.7999999999997</v>
      </c>
      <c r="G78" s="205">
        <f>+G75-G72</f>
        <v>3531.8999999999996</v>
      </c>
      <c r="H78" s="245"/>
      <c r="I78" s="205">
        <f>+I75-I72</f>
        <v>3722.9</v>
      </c>
      <c r="J78" s="205">
        <f>+J75-J72</f>
        <v>3517.3</v>
      </c>
      <c r="K78" s="205">
        <f>+K75-K72</f>
        <v>3019.0999999999995</v>
      </c>
      <c r="L78" s="205">
        <f t="shared" ref="L78:Q78" si="62">+L75-L72</f>
        <v>3570.7426879790864</v>
      </c>
      <c r="M78" s="353"/>
      <c r="N78" s="205">
        <f t="shared" si="62"/>
        <v>3826.756580219499</v>
      </c>
      <c r="O78" s="205">
        <f t="shared" si="62"/>
        <v>3821.2653336247408</v>
      </c>
      <c r="P78" s="205">
        <f t="shared" si="62"/>
        <v>3821.7922224861795</v>
      </c>
      <c r="Q78" s="205">
        <f t="shared" si="62"/>
        <v>3866.6195766133719</v>
      </c>
      <c r="R78" s="353"/>
      <c r="S78" s="205">
        <f>+S75-S72</f>
        <v>4230.4532817230311</v>
      </c>
      <c r="T78" s="205">
        <f>+T75-T72</f>
        <v>3948.8814124330743</v>
      </c>
      <c r="U78" s="205">
        <f>+U75-U72</f>
        <v>4011.1590148438681</v>
      </c>
      <c r="V78" s="205">
        <f>+V75-V72</f>
        <v>4083.0556767578005</v>
      </c>
      <c r="W78" s="254"/>
      <c r="X78" s="205">
        <f>+X75-X72</f>
        <v>4385.0359252539529</v>
      </c>
      <c r="Y78" s="205">
        <f>+Y75-Y72</f>
        <v>4109.8045834149752</v>
      </c>
      <c r="Z78" s="205">
        <f>+Z75-Z72</f>
        <v>4212.2286503657069</v>
      </c>
      <c r="AA78" s="205">
        <f>+AA75-AA72</f>
        <v>4249.9463322076735</v>
      </c>
      <c r="AB78" s="254"/>
      <c r="AC78" s="205">
        <f>+AC75-AC72</f>
        <v>4660.9947808068064</v>
      </c>
      <c r="AD78" s="205">
        <f>+AD75-AD72</f>
        <v>4322.5734771495327</v>
      </c>
      <c r="AE78" s="205">
        <f>+AE75-AE72</f>
        <v>4456.2193232472591</v>
      </c>
      <c r="AF78" s="205">
        <f>+AF75-AF72</f>
        <v>4460.1144203355643</v>
      </c>
      <c r="AG78" s="254"/>
      <c r="AH78" s="205">
        <f>+AH75-AH72</f>
        <v>4893.1875775109393</v>
      </c>
      <c r="AI78" s="205">
        <f>+AI75-AI72</f>
        <v>4499.1068717057433</v>
      </c>
      <c r="AJ78" s="205">
        <f>+AJ75-AJ72</f>
        <v>4677.6898584788132</v>
      </c>
      <c r="AK78" s="205">
        <f>+AK75-AK72</f>
        <v>4681.7468342493285</v>
      </c>
      <c r="AL78" s="254"/>
    </row>
    <row r="79" spans="1:38" s="127" customFormat="1" outlineLevel="1" x14ac:dyDescent="0.25">
      <c r="A79" s="182"/>
      <c r="B79" s="433" t="s">
        <v>140</v>
      </c>
      <c r="C79" s="128"/>
      <c r="D79" s="131">
        <f t="shared" ref="D79:K79" si="63">+D78/D68</f>
        <v>0.75379945799457981</v>
      </c>
      <c r="E79" s="131">
        <f t="shared" si="63"/>
        <v>0.76138707957627305</v>
      </c>
      <c r="F79" s="196">
        <f t="shared" si="63"/>
        <v>0.74486765931084575</v>
      </c>
      <c r="G79" s="196">
        <f t="shared" si="63"/>
        <v>0.7593197746914907</v>
      </c>
      <c r="H79" s="129"/>
      <c r="I79" s="196">
        <f t="shared" si="63"/>
        <v>0.74296034644475051</v>
      </c>
      <c r="J79" s="196">
        <f t="shared" si="63"/>
        <v>0.81230946882217092</v>
      </c>
      <c r="K79" s="196">
        <f t="shared" si="63"/>
        <v>1.076136161112101</v>
      </c>
      <c r="L79" s="196">
        <v>0.84</v>
      </c>
      <c r="M79" s="254"/>
      <c r="N79" s="196">
        <v>0.78800000000000003</v>
      </c>
      <c r="O79" s="196">
        <v>0.78</v>
      </c>
      <c r="P79" s="196">
        <v>0.76</v>
      </c>
      <c r="Q79" s="196">
        <v>0.76</v>
      </c>
      <c r="R79" s="254"/>
      <c r="S79" s="196">
        <v>0.76800000000000002</v>
      </c>
      <c r="T79" s="196">
        <v>0.77700000000000002</v>
      </c>
      <c r="U79" s="196">
        <v>0.75900000000000001</v>
      </c>
      <c r="V79" s="196">
        <v>0.75900000000000001</v>
      </c>
      <c r="W79" s="254"/>
      <c r="X79" s="196">
        <v>0.76600000000000001</v>
      </c>
      <c r="Y79" s="196">
        <v>0.77800000000000002</v>
      </c>
      <c r="Z79" s="196">
        <v>0.76</v>
      </c>
      <c r="AA79" s="196">
        <v>0.76</v>
      </c>
      <c r="AB79" s="254"/>
      <c r="AC79" s="196">
        <v>0.77</v>
      </c>
      <c r="AD79" s="196">
        <v>0.78</v>
      </c>
      <c r="AE79" s="196">
        <v>0.76</v>
      </c>
      <c r="AF79" s="196">
        <v>0.76</v>
      </c>
      <c r="AG79" s="254"/>
      <c r="AH79" s="196">
        <v>0.77</v>
      </c>
      <c r="AI79" s="196">
        <v>0.78</v>
      </c>
      <c r="AJ79" s="196">
        <v>0.76</v>
      </c>
      <c r="AK79" s="196">
        <v>0.76</v>
      </c>
      <c r="AL79" s="254"/>
    </row>
    <row r="80" spans="1:38" ht="18" x14ac:dyDescent="0.4">
      <c r="A80" s="166"/>
      <c r="B80" s="448" t="s">
        <v>258</v>
      </c>
      <c r="C80" s="467"/>
      <c r="D80" s="23" t="s">
        <v>72</v>
      </c>
      <c r="E80" s="23" t="s">
        <v>211</v>
      </c>
      <c r="F80" s="23" t="s">
        <v>215</v>
      </c>
      <c r="G80" s="23" t="s">
        <v>225</v>
      </c>
      <c r="H80" s="77" t="s">
        <v>226</v>
      </c>
      <c r="I80" s="23" t="s">
        <v>227</v>
      </c>
      <c r="J80" s="23" t="s">
        <v>228</v>
      </c>
      <c r="K80" s="23" t="s">
        <v>229</v>
      </c>
      <c r="L80" s="21" t="s">
        <v>90</v>
      </c>
      <c r="M80" s="79" t="s">
        <v>91</v>
      </c>
      <c r="N80" s="21" t="s">
        <v>92</v>
      </c>
      <c r="O80" s="21" t="s">
        <v>93</v>
      </c>
      <c r="P80" s="21" t="s">
        <v>94</v>
      </c>
      <c r="Q80" s="21" t="s">
        <v>95</v>
      </c>
      <c r="R80" s="79" t="s">
        <v>96</v>
      </c>
      <c r="S80" s="21" t="s">
        <v>97</v>
      </c>
      <c r="T80" s="21" t="s">
        <v>98</v>
      </c>
      <c r="U80" s="21" t="s">
        <v>99</v>
      </c>
      <c r="V80" s="21" t="s">
        <v>100</v>
      </c>
      <c r="W80" s="79" t="s">
        <v>101</v>
      </c>
      <c r="X80" s="21" t="s">
        <v>102</v>
      </c>
      <c r="Y80" s="21" t="s">
        <v>103</v>
      </c>
      <c r="Z80" s="21" t="s">
        <v>104</v>
      </c>
      <c r="AA80" s="21" t="s">
        <v>105</v>
      </c>
      <c r="AB80" s="79" t="s">
        <v>106</v>
      </c>
      <c r="AC80" s="21" t="s">
        <v>220</v>
      </c>
      <c r="AD80" s="21" t="s">
        <v>221</v>
      </c>
      <c r="AE80" s="21" t="s">
        <v>222</v>
      </c>
      <c r="AF80" s="21" t="s">
        <v>223</v>
      </c>
      <c r="AG80" s="79" t="s">
        <v>224</v>
      </c>
      <c r="AH80" s="21" t="s">
        <v>253</v>
      </c>
      <c r="AI80" s="21" t="s">
        <v>254</v>
      </c>
      <c r="AJ80" s="21" t="s">
        <v>255</v>
      </c>
      <c r="AK80" s="21" t="s">
        <v>256</v>
      </c>
      <c r="AL80" s="79" t="s">
        <v>257</v>
      </c>
    </row>
    <row r="81" spans="1:38" s="13" customFormat="1" outlineLevel="1" x14ac:dyDescent="0.25">
      <c r="A81" s="181"/>
      <c r="B81" s="461" t="s">
        <v>259</v>
      </c>
      <c r="C81" s="462"/>
      <c r="D81" s="32">
        <v>5839</v>
      </c>
      <c r="E81" s="32">
        <v>5879</v>
      </c>
      <c r="F81" s="198">
        <v>5646</v>
      </c>
      <c r="G81" s="32">
        <v>5860</v>
      </c>
      <c r="H81" s="106"/>
      <c r="I81" s="32">
        <v>6059</v>
      </c>
      <c r="J81" s="32">
        <v>6137</v>
      </c>
      <c r="K81" s="32">
        <v>6254</v>
      </c>
      <c r="L81" s="198">
        <f>+K81+L82</f>
        <v>6429</v>
      </c>
      <c r="M81" s="299"/>
      <c r="N81" s="198">
        <f>+L81+N82</f>
        <v>6529</v>
      </c>
      <c r="O81" s="198">
        <f>+N81+O82</f>
        <v>6629</v>
      </c>
      <c r="P81" s="198">
        <f>+O81+P82</f>
        <v>6729</v>
      </c>
      <c r="Q81" s="198">
        <f>+P81+Q82</f>
        <v>6829</v>
      </c>
      <c r="R81" s="299"/>
      <c r="S81" s="198">
        <f>+Q81+S82</f>
        <v>6904</v>
      </c>
      <c r="T81" s="198">
        <f>+S81+T82</f>
        <v>6979</v>
      </c>
      <c r="U81" s="198">
        <f>+T81+U82</f>
        <v>7054</v>
      </c>
      <c r="V81" s="198">
        <f>+U81+V82</f>
        <v>7129</v>
      </c>
      <c r="W81" s="299"/>
      <c r="X81" s="198">
        <f>+V81+X82</f>
        <v>7204</v>
      </c>
      <c r="Y81" s="198">
        <f>+X81+Y82</f>
        <v>7279</v>
      </c>
      <c r="Z81" s="198">
        <f>+Y81+Z82</f>
        <v>7354</v>
      </c>
      <c r="AA81" s="198">
        <f>+Z81+AA82</f>
        <v>7429</v>
      </c>
      <c r="AB81" s="299"/>
      <c r="AC81" s="198">
        <f>+AA81+AC82</f>
        <v>7529</v>
      </c>
      <c r="AD81" s="198">
        <f>+AC81+AD82</f>
        <v>7629</v>
      </c>
      <c r="AE81" s="198">
        <f>+AD81+AE82</f>
        <v>7716.5</v>
      </c>
      <c r="AF81" s="198">
        <f>+AE81+AF82</f>
        <v>7807.125</v>
      </c>
      <c r="AG81" s="299"/>
      <c r="AH81" s="198">
        <f>+AF81+AH82</f>
        <v>7901.65625</v>
      </c>
      <c r="AI81" s="198">
        <f>+AH81+AI82</f>
        <v>7994.8203125</v>
      </c>
      <c r="AJ81" s="198">
        <f>+AI81+AJ82</f>
        <v>8086.275390625</v>
      </c>
      <c r="AK81" s="198">
        <f>+AJ81+AK82</f>
        <v>8178.71923828125</v>
      </c>
      <c r="AL81" s="299"/>
    </row>
    <row r="82" spans="1:38" outlineLevel="1" x14ac:dyDescent="0.25">
      <c r="A82" s="166"/>
      <c r="B82" s="36" t="s">
        <v>124</v>
      </c>
      <c r="C82" s="61"/>
      <c r="D82" s="25">
        <f>+D81-5651</f>
        <v>188</v>
      </c>
      <c r="E82" s="168">
        <f>+E81-D81</f>
        <v>40</v>
      </c>
      <c r="F82" s="168">
        <f>+F81-E81</f>
        <v>-233</v>
      </c>
      <c r="G82" s="168">
        <f>+G81-F81</f>
        <v>214</v>
      </c>
      <c r="H82" s="206">
        <f>+SUM(D82:G82)</f>
        <v>209</v>
      </c>
      <c r="I82" s="168">
        <f>+I81-G81</f>
        <v>199</v>
      </c>
      <c r="J82" s="168">
        <f>+J81-I81</f>
        <v>78</v>
      </c>
      <c r="K82" s="168">
        <f>+K81-J81</f>
        <v>117</v>
      </c>
      <c r="L82" s="329">
        <v>175</v>
      </c>
      <c r="M82" s="206">
        <f>+SUM(I82:L82)</f>
        <v>569</v>
      </c>
      <c r="N82" s="330">
        <v>100</v>
      </c>
      <c r="O82" s="330">
        <v>100</v>
      </c>
      <c r="P82" s="330">
        <v>100</v>
      </c>
      <c r="Q82" s="330">
        <v>100</v>
      </c>
      <c r="R82" s="41">
        <f>+SUM(N82:Q82)</f>
        <v>400</v>
      </c>
      <c r="S82" s="330">
        <v>75</v>
      </c>
      <c r="T82" s="330">
        <v>75</v>
      </c>
      <c r="U82" s="330">
        <v>75</v>
      </c>
      <c r="V82" s="330">
        <v>75</v>
      </c>
      <c r="W82" s="41">
        <f>+SUM(S82:V82)</f>
        <v>300</v>
      </c>
      <c r="X82" s="330">
        <f>+AVERAGE(S82,T82,U82,V82)</f>
        <v>75</v>
      </c>
      <c r="Y82" s="330">
        <f>+AVERAGE(T82,U82,V82,X82)</f>
        <v>75</v>
      </c>
      <c r="Z82" s="330">
        <f>+AVERAGE(U82,V82,Y82,X82)</f>
        <v>75</v>
      </c>
      <c r="AA82" s="330">
        <f>+AVERAGE(V82,Z82,X82,Y82)</f>
        <v>75</v>
      </c>
      <c r="AB82" s="41">
        <f>+SUM(X82:AA82)</f>
        <v>300</v>
      </c>
      <c r="AC82" s="330">
        <v>100</v>
      </c>
      <c r="AD82" s="330">
        <v>100</v>
      </c>
      <c r="AE82" s="330">
        <f>+AVERAGE(Z82,AA82,AD82,AC82)</f>
        <v>87.5</v>
      </c>
      <c r="AF82" s="330">
        <f>+AVERAGE(AA82,AE82,AC82,AD82)</f>
        <v>90.625</v>
      </c>
      <c r="AG82" s="41">
        <f>+SUM(AC82:AF82)</f>
        <v>378.125</v>
      </c>
      <c r="AH82" s="330">
        <f>+AVERAGE(AC82,AD82,AE82,AF82)</f>
        <v>94.53125</v>
      </c>
      <c r="AI82" s="330">
        <f>+AVERAGE(AD82,AE82,AF82,AH82)</f>
        <v>93.1640625</v>
      </c>
      <c r="AJ82" s="330">
        <f>+AVERAGE(AE82,AF82,AI82,AH82)</f>
        <v>91.455078125</v>
      </c>
      <c r="AK82" s="330">
        <f>+AVERAGE(AF82,AJ82,AH82,AI82)</f>
        <v>92.44384765625</v>
      </c>
      <c r="AL82" s="41">
        <f>+SUM(AH82:AK82)</f>
        <v>371.59423828125</v>
      </c>
    </row>
    <row r="83" spans="1:38" s="109" customFormat="1" outlineLevel="1" x14ac:dyDescent="0.25">
      <c r="A83" s="185"/>
      <c r="B83" s="110" t="s">
        <v>125</v>
      </c>
      <c r="C83" s="111"/>
      <c r="D83" s="205">
        <v>5186</v>
      </c>
      <c r="E83" s="205">
        <v>5313</v>
      </c>
      <c r="F83" s="205">
        <v>5476</v>
      </c>
      <c r="G83" s="205">
        <v>5651</v>
      </c>
      <c r="H83" s="245"/>
      <c r="I83" s="205">
        <f>D81</f>
        <v>5839</v>
      </c>
      <c r="J83" s="205">
        <f>E81</f>
        <v>5879</v>
      </c>
      <c r="K83" s="205">
        <f>F81</f>
        <v>5646</v>
      </c>
      <c r="L83" s="113">
        <f>G81</f>
        <v>5860</v>
      </c>
      <c r="M83" s="245"/>
      <c r="N83" s="113">
        <f>I81</f>
        <v>6059</v>
      </c>
      <c r="O83" s="113">
        <f>J81</f>
        <v>6137</v>
      </c>
      <c r="P83" s="113">
        <f>K81</f>
        <v>6254</v>
      </c>
      <c r="Q83" s="113">
        <f>L81</f>
        <v>6429</v>
      </c>
      <c r="R83" s="114"/>
      <c r="S83" s="113">
        <f>N81</f>
        <v>6529</v>
      </c>
      <c r="T83" s="113">
        <f>O81</f>
        <v>6629</v>
      </c>
      <c r="U83" s="113">
        <f>P81</f>
        <v>6729</v>
      </c>
      <c r="V83" s="113">
        <f>Q81</f>
        <v>6829</v>
      </c>
      <c r="W83" s="114"/>
      <c r="X83" s="113">
        <f>S81</f>
        <v>6904</v>
      </c>
      <c r="Y83" s="113">
        <f>T81</f>
        <v>6979</v>
      </c>
      <c r="Z83" s="113">
        <f>U81</f>
        <v>7054</v>
      </c>
      <c r="AA83" s="113">
        <f>V81</f>
        <v>7129</v>
      </c>
      <c r="AB83" s="114"/>
      <c r="AC83" s="113">
        <f>X81</f>
        <v>7204</v>
      </c>
      <c r="AD83" s="113">
        <f>Y81</f>
        <v>7279</v>
      </c>
      <c r="AE83" s="113">
        <f>Z81</f>
        <v>7354</v>
      </c>
      <c r="AF83" s="113">
        <f>AA81</f>
        <v>7429</v>
      </c>
      <c r="AG83" s="114"/>
      <c r="AH83" s="113">
        <f>AC81</f>
        <v>7529</v>
      </c>
      <c r="AI83" s="113">
        <f>AD81</f>
        <v>7629</v>
      </c>
      <c r="AJ83" s="113">
        <f>AE81</f>
        <v>7716.5</v>
      </c>
      <c r="AK83" s="113">
        <f>AF81</f>
        <v>7807.125</v>
      </c>
      <c r="AL83" s="114"/>
    </row>
    <row r="84" spans="1:38" s="109" customFormat="1" outlineLevel="1" x14ac:dyDescent="0.25">
      <c r="A84" s="185"/>
      <c r="B84" s="110" t="s">
        <v>126</v>
      </c>
      <c r="C84" s="111"/>
      <c r="D84" s="115">
        <v>0.17928494231648628</v>
      </c>
      <c r="E84" s="115">
        <v>0.15524456521739133</v>
      </c>
      <c r="F84" s="115">
        <v>0.16818750000000002</v>
      </c>
      <c r="G84" s="115">
        <f>AVERAGE(D84,E84,F84)</f>
        <v>0.16757233584462586</v>
      </c>
      <c r="H84" s="114"/>
      <c r="I84" s="115">
        <f>+D84*(1+I87)</f>
        <v>0.18107779173965116</v>
      </c>
      <c r="J84" s="115">
        <f>+E84*(1+J87)</f>
        <v>0.10711875000000001</v>
      </c>
      <c r="K84" s="115">
        <f>+F84*(1+K87)</f>
        <v>0.10595812500000001</v>
      </c>
      <c r="L84" s="115">
        <f>+G84*(1+L87)</f>
        <v>0.15081510226016329</v>
      </c>
      <c r="M84" s="282"/>
      <c r="N84" s="115">
        <f>+I84*(1+N87)</f>
        <v>0.1846993475744442</v>
      </c>
      <c r="O84" s="115">
        <f>+J84*(1+O87)</f>
        <v>0.1231865625</v>
      </c>
      <c r="P84" s="115">
        <f>+K84*(1+P87)</f>
        <v>0.15363928125000001</v>
      </c>
      <c r="Q84" s="115">
        <f>+L84*(1+Q87)</f>
        <v>0.16589661248617962</v>
      </c>
      <c r="R84" s="114"/>
      <c r="S84" s="115">
        <f>+N84*(1+S87)</f>
        <v>0.19024032800167753</v>
      </c>
      <c r="T84" s="115">
        <f>+O84*(1+T87)</f>
        <v>0.126882159375</v>
      </c>
      <c r="U84" s="115">
        <f>+P84*(1+U87)</f>
        <v>0.15824845968750001</v>
      </c>
      <c r="V84" s="115">
        <f>+Q84*(1+V87)</f>
        <v>0.17087351086076502</v>
      </c>
      <c r="W84" s="114"/>
      <c r="X84" s="115">
        <f>+S84*(1+X87)</f>
        <v>0.19784994112174464</v>
      </c>
      <c r="Y84" s="115">
        <f>+T84*(1+Y87)</f>
        <v>0.13195744575000001</v>
      </c>
      <c r="Z84" s="115">
        <f>+U84*(1+Z87)</f>
        <v>0.16457839807500002</v>
      </c>
      <c r="AA84" s="115">
        <f>+V84*(1+AA87)</f>
        <v>0.17770845129519564</v>
      </c>
      <c r="AB84" s="114"/>
      <c r="AC84" s="115">
        <f>+X84*(1+AC87)</f>
        <v>0.20576393876661445</v>
      </c>
      <c r="AD84" s="115">
        <f>+Y84*(1+AD87)</f>
        <v>0.13723574358000001</v>
      </c>
      <c r="AE84" s="115">
        <f>+Z84*(1+AE87)</f>
        <v>0.17116153399800002</v>
      </c>
      <c r="AF84" s="115">
        <f>+AA84*(1+AF87)</f>
        <v>0.18481678934700346</v>
      </c>
      <c r="AG84" s="114"/>
      <c r="AH84" s="115">
        <f>+AC84*(1+AH87)</f>
        <v>0.21605213570494516</v>
      </c>
      <c r="AI84" s="115">
        <f>+AD84*(1+AI87)</f>
        <v>0.14409753075900003</v>
      </c>
      <c r="AJ84" s="115">
        <f>+AE84*(1+AJ87)</f>
        <v>0.17971961069790002</v>
      </c>
      <c r="AK84" s="115">
        <f>+AF84*(1+AK87)</f>
        <v>0.19405762881435365</v>
      </c>
      <c r="AL84" s="114"/>
    </row>
    <row r="85" spans="1:38" outlineLevel="1" x14ac:dyDescent="0.25">
      <c r="A85" s="166"/>
      <c r="B85" s="36" t="s">
        <v>122</v>
      </c>
      <c r="C85" s="97"/>
      <c r="D85" s="200">
        <v>0.01</v>
      </c>
      <c r="E85" s="200">
        <v>0</v>
      </c>
      <c r="F85" s="200">
        <v>0.01</v>
      </c>
      <c r="G85" s="200">
        <v>0.01</v>
      </c>
      <c r="H85" s="235"/>
      <c r="I85" s="200">
        <v>-0.01</v>
      </c>
      <c r="J85" s="200">
        <v>-0.32</v>
      </c>
      <c r="K85" s="200">
        <v>-0.44</v>
      </c>
      <c r="L85" s="200"/>
      <c r="M85" s="235"/>
      <c r="N85" s="200"/>
      <c r="O85" s="200"/>
      <c r="P85" s="200"/>
      <c r="Q85" s="200"/>
      <c r="R85" s="378"/>
      <c r="S85" s="200"/>
      <c r="T85" s="200"/>
      <c r="U85" s="200"/>
      <c r="V85" s="200"/>
      <c r="W85" s="378"/>
      <c r="X85" s="200"/>
      <c r="Y85" s="200"/>
      <c r="Z85" s="200"/>
      <c r="AA85" s="200"/>
      <c r="AB85" s="378"/>
      <c r="AC85" s="200"/>
      <c r="AD85" s="200"/>
      <c r="AE85" s="200"/>
      <c r="AF85" s="200"/>
      <c r="AG85" s="378"/>
      <c r="AH85" s="200"/>
      <c r="AI85" s="200"/>
      <c r="AJ85" s="200"/>
      <c r="AK85" s="200"/>
      <c r="AL85" s="378"/>
    </row>
    <row r="86" spans="1:38" outlineLevel="1" x14ac:dyDescent="0.25">
      <c r="A86" s="166"/>
      <c r="B86" s="435" t="s">
        <v>121</v>
      </c>
      <c r="C86" s="97"/>
      <c r="D86" s="295">
        <v>0.01</v>
      </c>
      <c r="E86" s="295">
        <v>0.02</v>
      </c>
      <c r="F86" s="295">
        <v>0.03</v>
      </c>
      <c r="G86" s="295">
        <v>0.03</v>
      </c>
      <c r="H86" s="283"/>
      <c r="I86" s="295">
        <v>0.02</v>
      </c>
      <c r="J86" s="295">
        <v>0.01</v>
      </c>
      <c r="K86" s="295">
        <v>0.13</v>
      </c>
      <c r="L86" s="295"/>
      <c r="M86" s="283"/>
      <c r="N86" s="295"/>
      <c r="O86" s="295"/>
      <c r="P86" s="295"/>
      <c r="Q86" s="295"/>
      <c r="R86" s="379"/>
      <c r="S86" s="295"/>
      <c r="T86" s="295"/>
      <c r="U86" s="295"/>
      <c r="V86" s="295"/>
      <c r="W86" s="379"/>
      <c r="X86" s="295"/>
      <c r="Y86" s="295"/>
      <c r="Z86" s="295"/>
      <c r="AA86" s="295"/>
      <c r="AB86" s="379"/>
      <c r="AC86" s="295"/>
      <c r="AD86" s="295"/>
      <c r="AE86" s="295"/>
      <c r="AF86" s="295"/>
      <c r="AG86" s="379"/>
      <c r="AH86" s="295"/>
      <c r="AI86" s="295"/>
      <c r="AJ86" s="295"/>
      <c r="AK86" s="295"/>
      <c r="AL86" s="379"/>
    </row>
    <row r="87" spans="1:38" s="13" customFormat="1" outlineLevel="1" x14ac:dyDescent="0.25">
      <c r="A87" s="181"/>
      <c r="B87" s="434" t="s">
        <v>123</v>
      </c>
      <c r="C87" s="63"/>
      <c r="D87" s="296">
        <v>0.02</v>
      </c>
      <c r="E87" s="296">
        <v>0.02</v>
      </c>
      <c r="F87" s="297">
        <v>0.05</v>
      </c>
      <c r="G87" s="296">
        <v>0.03</v>
      </c>
      <c r="H87" s="253"/>
      <c r="I87" s="296">
        <v>0.01</v>
      </c>
      <c r="J87" s="296">
        <v>-0.31</v>
      </c>
      <c r="K87" s="296">
        <v>-0.37</v>
      </c>
      <c r="L87" s="427">
        <v>-0.1</v>
      </c>
      <c r="M87" s="284"/>
      <c r="N87" s="427">
        <v>0.02</v>
      </c>
      <c r="O87" s="332">
        <v>0.15</v>
      </c>
      <c r="P87" s="331">
        <v>0.45</v>
      </c>
      <c r="Q87" s="332">
        <v>0.1</v>
      </c>
      <c r="R87" s="380"/>
      <c r="S87" s="331">
        <v>0.03</v>
      </c>
      <c r="T87" s="332">
        <v>0.03</v>
      </c>
      <c r="U87" s="331">
        <v>0.03</v>
      </c>
      <c r="V87" s="332">
        <v>0.03</v>
      </c>
      <c r="W87" s="380"/>
      <c r="X87" s="331">
        <v>0.04</v>
      </c>
      <c r="Y87" s="332">
        <v>0.04</v>
      </c>
      <c r="Z87" s="331">
        <v>0.04</v>
      </c>
      <c r="AA87" s="332">
        <v>0.04</v>
      </c>
      <c r="AB87" s="380"/>
      <c r="AC87" s="331">
        <v>0.04</v>
      </c>
      <c r="AD87" s="332">
        <v>0.04</v>
      </c>
      <c r="AE87" s="331">
        <v>0.04</v>
      </c>
      <c r="AF87" s="332">
        <v>0.04</v>
      </c>
      <c r="AG87" s="380"/>
      <c r="AH87" s="331">
        <v>0.05</v>
      </c>
      <c r="AI87" s="332">
        <v>0.05</v>
      </c>
      <c r="AJ87" s="331">
        <v>0.05</v>
      </c>
      <c r="AK87" s="332">
        <v>0.05</v>
      </c>
      <c r="AL87" s="380"/>
    </row>
    <row r="88" spans="1:38" ht="17.25" outlineLevel="1" x14ac:dyDescent="0.4">
      <c r="A88" s="166"/>
      <c r="B88" s="98" t="s">
        <v>155</v>
      </c>
      <c r="C88" s="97"/>
      <c r="D88" s="51">
        <v>348</v>
      </c>
      <c r="E88" s="51">
        <v>485</v>
      </c>
      <c r="F88" s="51">
        <v>432</v>
      </c>
      <c r="G88" s="51">
        <v>369</v>
      </c>
      <c r="H88" s="11"/>
      <c r="I88" s="51">
        <v>252</v>
      </c>
      <c r="J88" s="51">
        <v>272.5</v>
      </c>
      <c r="K88" s="51">
        <v>277.625</v>
      </c>
      <c r="L88" s="51">
        <v>267</v>
      </c>
      <c r="M88" s="249"/>
      <c r="N88" s="330">
        <f>+AVERAGE(I88,J88,K88,L88)</f>
        <v>267.28125</v>
      </c>
      <c r="O88" s="330">
        <f>+AVERAGE(J88,K88,L88,N88)</f>
        <v>271.1015625</v>
      </c>
      <c r="P88" s="330">
        <f>+AVERAGE(K88,L88,O88,N88)</f>
        <v>270.751953125</v>
      </c>
      <c r="Q88" s="330">
        <f>+AVERAGE(L88,P88,N88,O88)</f>
        <v>269.03369140625</v>
      </c>
      <c r="R88" s="11"/>
      <c r="S88" s="330">
        <f>+AVERAGE(N88,O88,P88,Q88)</f>
        <v>269.5421142578125</v>
      </c>
      <c r="T88" s="330">
        <f>+AVERAGE(O88,P88,Q88,S88)</f>
        <v>270.10733032226563</v>
      </c>
      <c r="U88" s="330">
        <f>+AVERAGE(P88,Q88,T88,S88)</f>
        <v>269.85877227783203</v>
      </c>
      <c r="V88" s="330">
        <f>+AVERAGE(Q88,U88,S88,T88)</f>
        <v>269.63547706604004</v>
      </c>
      <c r="W88" s="11"/>
      <c r="X88" s="330">
        <f>+AVERAGE(S88,T88,U88,V88)</f>
        <v>269.78592348098755</v>
      </c>
      <c r="Y88" s="330">
        <f>+AVERAGE(T88,U88,V88,X88)</f>
        <v>269.84687578678131</v>
      </c>
      <c r="Z88" s="330">
        <f>+AVERAGE(U88,V88,Y88,X88)</f>
        <v>269.78176215291023</v>
      </c>
      <c r="AA88" s="330">
        <f>+AVERAGE(V88,Z88,X88,Y88)</f>
        <v>269.76250962167978</v>
      </c>
      <c r="AB88" s="11"/>
      <c r="AC88" s="330">
        <f>+AVERAGE(X88,Y88,Z88,AA88)</f>
        <v>269.79426776058972</v>
      </c>
      <c r="AD88" s="330">
        <f>+AVERAGE(Y88,Z88,AA88,AC88)</f>
        <v>269.79635383049026</v>
      </c>
      <c r="AE88" s="330">
        <f>+AVERAGE(Z88,AA88,AD88,AC88)</f>
        <v>269.7837233414175</v>
      </c>
      <c r="AF88" s="330">
        <f>+AVERAGE(AA88,AE88,AC88,AD88)</f>
        <v>269.78421363854432</v>
      </c>
      <c r="AG88" s="11"/>
      <c r="AH88" s="330">
        <f>+AVERAGE(AC88,AD88,AE88,AF88)</f>
        <v>269.78963964276045</v>
      </c>
      <c r="AI88" s="330">
        <f>+AVERAGE(AD88,AE88,AF88,AH88)</f>
        <v>269.78848261330313</v>
      </c>
      <c r="AJ88" s="330">
        <f>+AVERAGE(AE88,AF88,AI88,AH88)</f>
        <v>269.78651480900635</v>
      </c>
      <c r="AK88" s="330">
        <f>+AVERAGE(AF88,AJ88,AH88,AI88)</f>
        <v>269.78721267590356</v>
      </c>
      <c r="AL88" s="11"/>
    </row>
    <row r="89" spans="1:38" s="13" customFormat="1" outlineLevel="1" x14ac:dyDescent="0.25">
      <c r="A89" s="181"/>
      <c r="B89" s="459" t="s">
        <v>260</v>
      </c>
      <c r="C89" s="460"/>
      <c r="D89" s="103">
        <v>1278.0999999999999</v>
      </c>
      <c r="E89" s="103">
        <v>1309.4000000000001</v>
      </c>
      <c r="F89" s="171">
        <v>1352.8</v>
      </c>
      <c r="G89" s="103">
        <v>1315.9</v>
      </c>
      <c r="H89" s="108"/>
      <c r="I89" s="103">
        <v>1309.7</v>
      </c>
      <c r="J89" s="103">
        <v>902.4</v>
      </c>
      <c r="K89" s="171">
        <v>875.5</v>
      </c>
      <c r="L89" s="171">
        <f>(L83*L84)+L88</f>
        <v>1150.7764992445568</v>
      </c>
      <c r="M89" s="251"/>
      <c r="N89" s="171">
        <f>(N83*N84)+N88</f>
        <v>1386.3745969535573</v>
      </c>
      <c r="O89" s="171">
        <f>(O83*O84)+O88</f>
        <v>1027.0974965625001</v>
      </c>
      <c r="P89" s="171">
        <f>(P83*P84)+P88</f>
        <v>1231.6120180625001</v>
      </c>
      <c r="Q89" s="171">
        <f>(Q83*Q84)+Q88</f>
        <v>1335.5830130798988</v>
      </c>
      <c r="R89" s="108"/>
      <c r="S89" s="171">
        <f>(S83*S84)+S88</f>
        <v>1511.6212157807652</v>
      </c>
      <c r="T89" s="171">
        <f>(T83*T84)+T88</f>
        <v>1111.2091648191406</v>
      </c>
      <c r="U89" s="171">
        <f>(U83*U84)+U88</f>
        <v>1334.7126575150196</v>
      </c>
      <c r="V89" s="171">
        <f>(V83*V84)+V88</f>
        <v>1436.5306827342044</v>
      </c>
      <c r="W89" s="108"/>
      <c r="X89" s="171">
        <f>(X83*X84)+X88</f>
        <v>1635.7419169855125</v>
      </c>
      <c r="Y89" s="171">
        <f>(Y83*Y84)+Y88</f>
        <v>1190.7778896760315</v>
      </c>
      <c r="Z89" s="171">
        <f>(Z83*Z84)+Z88</f>
        <v>1430.7177821739604</v>
      </c>
      <c r="AA89" s="171">
        <f>(AA83*AA84)+AA88</f>
        <v>1536.6460589051294</v>
      </c>
      <c r="AB89" s="108"/>
      <c r="AC89" s="171">
        <f>(AC83*AC84)+AC88</f>
        <v>1752.1176826352803</v>
      </c>
      <c r="AD89" s="171">
        <f>(AD83*AD84)+AD88</f>
        <v>1268.7353313493104</v>
      </c>
      <c r="AE89" s="171">
        <f>(AE83*AE84)+AE88</f>
        <v>1528.5056443627097</v>
      </c>
      <c r="AF89" s="171">
        <f>(AF83*AF84)+AF88</f>
        <v>1642.788141697433</v>
      </c>
      <c r="AG89" s="108"/>
      <c r="AH89" s="171">
        <f>(AH83*AH84)+AH88</f>
        <v>1896.4461693652927</v>
      </c>
      <c r="AI89" s="171">
        <f>(AI83*AI84)+AI88</f>
        <v>1369.1085447737144</v>
      </c>
      <c r="AJ89" s="171">
        <f>(AJ83*AJ84)+AJ88</f>
        <v>1656.5928907593518</v>
      </c>
      <c r="AK89" s="171">
        <f>(AK83*AK84)+AK88</f>
        <v>1784.8193780331644</v>
      </c>
      <c r="AL89" s="108"/>
    </row>
    <row r="90" spans="1:38" s="13" customFormat="1" outlineLevel="1" x14ac:dyDescent="0.25">
      <c r="A90" s="181"/>
      <c r="B90" s="116" t="s">
        <v>129</v>
      </c>
      <c r="C90" s="63"/>
      <c r="D90" s="120">
        <f>+D89/D81</f>
        <v>0.21889022092824112</v>
      </c>
      <c r="E90" s="120">
        <f>+E89/E81</f>
        <v>0.22272495322333732</v>
      </c>
      <c r="F90" s="201">
        <f>+F89/F81</f>
        <v>0.23960325894438539</v>
      </c>
      <c r="G90" s="120">
        <f>+G89/G81</f>
        <v>0.22455631399317408</v>
      </c>
      <c r="H90" s="108"/>
      <c r="I90" s="120">
        <f>+I89/I81</f>
        <v>0.21615778181218023</v>
      </c>
      <c r="J90" s="120">
        <f>+J89/J81</f>
        <v>0.14704252892292652</v>
      </c>
      <c r="K90" s="120">
        <f>+K89/K81</f>
        <v>0.13999040614007036</v>
      </c>
      <c r="L90" s="120">
        <f>+L89/L81</f>
        <v>0.17899774447729924</v>
      </c>
      <c r="M90" s="307"/>
      <c r="N90" s="120">
        <f>+N89/N81</f>
        <v>0.21234103185075162</v>
      </c>
      <c r="O90" s="120">
        <f>+O89/O81</f>
        <v>0.15494003568600093</v>
      </c>
      <c r="P90" s="120">
        <f>+P89/P81</f>
        <v>0.18303046783511667</v>
      </c>
      <c r="Q90" s="120">
        <f>+Q89/Q81</f>
        <v>0.19557519594082573</v>
      </c>
      <c r="R90" s="108"/>
      <c r="S90" s="120">
        <f>+S89/S81</f>
        <v>0.21894861178748046</v>
      </c>
      <c r="T90" s="120">
        <f>+T89/T81</f>
        <v>0.15922183189842967</v>
      </c>
      <c r="U90" s="120">
        <f>+U89/U81</f>
        <v>0.18921358910051314</v>
      </c>
      <c r="V90" s="120">
        <f>+V89/V81</f>
        <v>0.20150521570124905</v>
      </c>
      <c r="W90" s="108"/>
      <c r="X90" s="120">
        <f>+X89/X81</f>
        <v>0.22706023278532933</v>
      </c>
      <c r="Y90" s="120">
        <f>+Y89/Y81</f>
        <v>0.16359086271136578</v>
      </c>
      <c r="Z90" s="120">
        <f>+Z89/Z81</f>
        <v>0.19454960323279308</v>
      </c>
      <c r="AA90" s="120">
        <f>+AA89/AA81</f>
        <v>0.20684426691413776</v>
      </c>
      <c r="AB90" s="108"/>
      <c r="AC90" s="334">
        <f>+AC89/AC81</f>
        <v>0.23271585637339359</v>
      </c>
      <c r="AD90" s="335">
        <f>+AD89/AD81</f>
        <v>0.16630427727740338</v>
      </c>
      <c r="AE90" s="335">
        <f>+AE89/AE81</f>
        <v>0.19808276347602019</v>
      </c>
      <c r="AF90" s="335">
        <f>+AF89/AF81</f>
        <v>0.21042165223400844</v>
      </c>
      <c r="AG90" s="108"/>
      <c r="AH90" s="335">
        <f>+AH89/AH81</f>
        <v>0.24000615938782363</v>
      </c>
      <c r="AI90" s="335">
        <f>+AI89/AI81</f>
        <v>0.17124944542319434</v>
      </c>
      <c r="AJ90" s="335">
        <f>+AJ89/AJ81</f>
        <v>0.20486476291420386</v>
      </c>
      <c r="AK90" s="336">
        <f>+AK89/AK81</f>
        <v>0.21822724634917809</v>
      </c>
      <c r="AL90" s="108"/>
    </row>
    <row r="91" spans="1:38" s="109" customFormat="1" outlineLevel="1" x14ac:dyDescent="0.25">
      <c r="A91" s="185"/>
      <c r="B91" s="116" t="s">
        <v>127</v>
      </c>
      <c r="C91" s="117"/>
      <c r="D91" s="112">
        <f>ROUND((+D89-D88-(D83*D84)),0)</f>
        <v>0</v>
      </c>
      <c r="E91" s="118">
        <f>ROUND((+E89-E88-(E83*E84)),0)</f>
        <v>0</v>
      </c>
      <c r="F91" s="188">
        <f>ROUND((+F89-F88-(F83*F84)),0)</f>
        <v>0</v>
      </c>
      <c r="G91" s="118">
        <f>ROUND((+G89-G88-(G83*G84)),0)</f>
        <v>0</v>
      </c>
      <c r="H91" s="119"/>
      <c r="I91" s="118">
        <f>ROUND((+I89-I88-(I83*I84)),0)</f>
        <v>0</v>
      </c>
      <c r="J91" s="118">
        <f>ROUND((+J89-J88-(J83*J84)),0)</f>
        <v>0</v>
      </c>
      <c r="K91" s="118">
        <f>ROUND((+K89-K88-(K83*K84)),0)</f>
        <v>0</v>
      </c>
      <c r="L91" s="118">
        <f>ROUND((+L89-L88-(L83*L84)),0)</f>
        <v>0</v>
      </c>
      <c r="M91" s="308"/>
      <c r="N91" s="118">
        <f>ROUND((+N89-N88-(N83*N84)),0)</f>
        <v>0</v>
      </c>
      <c r="O91" s="118">
        <f>ROUND((+O89-O88-(O83*O84)),0)</f>
        <v>0</v>
      </c>
      <c r="P91" s="118">
        <f>ROUND((+P89-P88-(P83*P84)),0)</f>
        <v>0</v>
      </c>
      <c r="Q91" s="118">
        <f>ROUND((+Q89-Q88-(Q83*Q84)),0)</f>
        <v>0</v>
      </c>
      <c r="R91" s="119"/>
      <c r="S91" s="118">
        <f>ROUND((+S89-S88-(S83*S84)),0)</f>
        <v>0</v>
      </c>
      <c r="T91" s="118">
        <f>ROUND((+T89-T88-(T83*T84)),0)</f>
        <v>0</v>
      </c>
      <c r="U91" s="118">
        <f>ROUND((+U89-U88-(U83*U84)),0)</f>
        <v>0</v>
      </c>
      <c r="V91" s="118">
        <f>ROUND((+V89-V88-(V83*V84)),0)</f>
        <v>0</v>
      </c>
      <c r="W91" s="119"/>
      <c r="X91" s="118">
        <f>ROUND((+X89-X88-(X83*X84)),0)</f>
        <v>0</v>
      </c>
      <c r="Y91" s="118">
        <f>ROUND((+Y89-Y88-(Y83*Y84)),0)</f>
        <v>0</v>
      </c>
      <c r="Z91" s="118">
        <f>ROUND((+Z89-Z88-(Z83*Z84)),0)</f>
        <v>0</v>
      </c>
      <c r="AA91" s="118">
        <f>ROUND((+AA89-AA88-(AA83*AA84)),0)</f>
        <v>0</v>
      </c>
      <c r="AB91" s="119"/>
      <c r="AC91" s="118">
        <f>ROUND((+AC89-AC88-(AC83*AC84)),0)</f>
        <v>0</v>
      </c>
      <c r="AD91" s="118">
        <f>ROUND((+AD89-AD88-(AD83*AD84)),0)</f>
        <v>0</v>
      </c>
      <c r="AE91" s="118">
        <f>ROUND((+AE89-AE88-(AE83*AE84)),0)</f>
        <v>0</v>
      </c>
      <c r="AF91" s="118">
        <f>ROUND((+AF89-AF88-(AF83*AF84)),0)</f>
        <v>0</v>
      </c>
      <c r="AG91" s="119"/>
      <c r="AH91" s="118">
        <f>ROUND((+AH89-AH88-(AH83*AH84)),0)</f>
        <v>0</v>
      </c>
      <c r="AI91" s="118">
        <f>ROUND((+AI89-AI88-(AI83*AI84)),0)</f>
        <v>0</v>
      </c>
      <c r="AJ91" s="118">
        <f>ROUND((+AJ89-AJ88-(AJ83*AJ84)),0)</f>
        <v>0</v>
      </c>
      <c r="AK91" s="118">
        <f>ROUND((+AK89-AK88-(AK83*AK84)),0)</f>
        <v>0</v>
      </c>
      <c r="AL91" s="119"/>
    </row>
    <row r="92" spans="1:38" s="13" customFormat="1" outlineLevel="1" x14ac:dyDescent="0.25">
      <c r="A92" s="181"/>
      <c r="B92" s="450" t="s">
        <v>261</v>
      </c>
      <c r="C92" s="451"/>
      <c r="D92" s="121">
        <v>6373</v>
      </c>
      <c r="E92" s="121">
        <v>6586</v>
      </c>
      <c r="F92" s="199">
        <v>7127</v>
      </c>
      <c r="G92" s="121">
        <v>7329</v>
      </c>
      <c r="H92" s="122"/>
      <c r="I92" s="121">
        <v>7533</v>
      </c>
      <c r="J92" s="121">
        <v>7642</v>
      </c>
      <c r="K92" s="121">
        <v>7691</v>
      </c>
      <c r="L92" s="199">
        <f>K92+L93</f>
        <v>7854</v>
      </c>
      <c r="M92" s="309"/>
      <c r="N92" s="199">
        <f>L92+N93</f>
        <v>7954</v>
      </c>
      <c r="O92" s="199">
        <f>N92+O93</f>
        <v>8059.25</v>
      </c>
      <c r="P92" s="199">
        <f>O92+P93</f>
        <v>8163.5625</v>
      </c>
      <c r="Q92" s="199">
        <f>P92+Q93</f>
        <v>8281.703125</v>
      </c>
      <c r="R92" s="122"/>
      <c r="S92" s="199">
        <f>Q92+S93</f>
        <v>8388.62890625</v>
      </c>
      <c r="T92" s="199">
        <f>S92+T93</f>
        <v>8497.2861328125</v>
      </c>
      <c r="U92" s="199">
        <f>T92+U93</f>
        <v>8606.795166015625</v>
      </c>
      <c r="V92" s="199">
        <f>U92+V93</f>
        <v>8717.6033325195313</v>
      </c>
      <c r="W92" s="122"/>
      <c r="X92" s="199">
        <f>V92+X93</f>
        <v>8826.5783843994141</v>
      </c>
      <c r="Y92" s="199">
        <f>X92+Y93</f>
        <v>8936.0657539367676</v>
      </c>
      <c r="Z92" s="199">
        <f>Y92+Z93</f>
        <v>9045.7606592178345</v>
      </c>
      <c r="AA92" s="199">
        <f>Z92+AA93</f>
        <v>9155.5020325183868</v>
      </c>
      <c r="AB92" s="122"/>
      <c r="AC92" s="199">
        <f>AA92+AC93</f>
        <v>9264.9767075181007</v>
      </c>
      <c r="AD92" s="199">
        <f>AC92+AD93</f>
        <v>9374.5762882977724</v>
      </c>
      <c r="AE92" s="199">
        <f>AD92+AE93</f>
        <v>9484.2039218880236</v>
      </c>
      <c r="AF92" s="199">
        <f>AE92+AF93</f>
        <v>9593.8147375555709</v>
      </c>
      <c r="AG92" s="122"/>
      <c r="AH92" s="199">
        <f>AF92+AH93</f>
        <v>9703.3929138148669</v>
      </c>
      <c r="AI92" s="199">
        <f>AH92+AI93</f>
        <v>9812.9969653890585</v>
      </c>
      <c r="AJ92" s="199">
        <f>AI92+AJ93</f>
        <v>9922.60213466188</v>
      </c>
      <c r="AK92" s="199">
        <f>AJ92+AK93</f>
        <v>10032.201687855344</v>
      </c>
      <c r="AL92" s="122"/>
    </row>
    <row r="93" spans="1:38" outlineLevel="1" x14ac:dyDescent="0.25">
      <c r="A93" s="166"/>
      <c r="B93" s="36" t="s">
        <v>128</v>
      </c>
      <c r="C93" s="61"/>
      <c r="D93" s="25">
        <f>+D92-6201</f>
        <v>172</v>
      </c>
      <c r="E93" s="25">
        <f>+E92-D92</f>
        <v>213</v>
      </c>
      <c r="F93" s="168">
        <f>+F92-E92</f>
        <v>541</v>
      </c>
      <c r="G93" s="168">
        <f>+G92-F92</f>
        <v>202</v>
      </c>
      <c r="H93" s="206">
        <f>+SUM(D93:G93)</f>
        <v>1128</v>
      </c>
      <c r="I93" s="168">
        <f>+I92-G92</f>
        <v>204</v>
      </c>
      <c r="J93" s="168">
        <f>+J92-I92</f>
        <v>109</v>
      </c>
      <c r="K93" s="168">
        <f>+K92-J92</f>
        <v>49</v>
      </c>
      <c r="L93" s="337">
        <v>163</v>
      </c>
      <c r="M93" s="206">
        <f>+SUM(I93:L93)</f>
        <v>525</v>
      </c>
      <c r="N93" s="330">
        <v>100</v>
      </c>
      <c r="O93" s="330">
        <f>+AVERAGE(J93,K93,L93,N93)</f>
        <v>105.25</v>
      </c>
      <c r="P93" s="330">
        <f>+AVERAGE(K93,L93,O93,N93)</f>
        <v>104.3125</v>
      </c>
      <c r="Q93" s="330">
        <f>+AVERAGE(L93,P93,N93,O93)</f>
        <v>118.140625</v>
      </c>
      <c r="R93" s="41">
        <f>+SUM(N93:Q93)</f>
        <v>427.703125</v>
      </c>
      <c r="S93" s="330">
        <f>+AVERAGE(N93,O93,P93,Q93)</f>
        <v>106.92578125</v>
      </c>
      <c r="T93" s="330">
        <f>+AVERAGE(O93,P93,Q93,S93)</f>
        <v>108.6572265625</v>
      </c>
      <c r="U93" s="330">
        <f>+AVERAGE(P93,Q93,T93,S93)</f>
        <v>109.509033203125</v>
      </c>
      <c r="V93" s="330">
        <f>+AVERAGE(Q93,U93,S93,T93)</f>
        <v>110.80816650390625</v>
      </c>
      <c r="W93" s="41">
        <f>+SUM(S93:V93)</f>
        <v>435.90020751953125</v>
      </c>
      <c r="X93" s="330">
        <f>+AVERAGE(S93,T93,U93,V93)</f>
        <v>108.97505187988281</v>
      </c>
      <c r="Y93" s="330">
        <f>+AVERAGE(T93,U93,V93,X93)</f>
        <v>109.48736953735352</v>
      </c>
      <c r="Z93" s="330">
        <f>+AVERAGE(U93,V93,Y93,X93)</f>
        <v>109.69490528106689</v>
      </c>
      <c r="AA93" s="330">
        <f>+AVERAGE(V93,Z93,X93,Y93)</f>
        <v>109.74137330055237</v>
      </c>
      <c r="AB93" s="41">
        <f>+SUM(X93:AA93)</f>
        <v>437.89869999885559</v>
      </c>
      <c r="AC93" s="330">
        <f>+AVERAGE(X93,Y93,Z93,AA93)</f>
        <v>109.4746749997139</v>
      </c>
      <c r="AD93" s="330">
        <f>+AVERAGE(Y93,Z93,AA93,AC93)</f>
        <v>109.59958077967167</v>
      </c>
      <c r="AE93" s="330">
        <f>+AVERAGE(Z93,AA93,AD93,AC93)</f>
        <v>109.62763359025121</v>
      </c>
      <c r="AF93" s="330">
        <f>+AVERAGE(AA93,AE93,AC93,AD93)</f>
        <v>109.61081566754729</v>
      </c>
      <c r="AG93" s="41">
        <f>+SUM(AC93:AF93)</f>
        <v>438.31270503718406</v>
      </c>
      <c r="AH93" s="330">
        <f>+AVERAGE(AC93,AD93,AE93,AF93)</f>
        <v>109.57817625929601</v>
      </c>
      <c r="AI93" s="330">
        <f>+AVERAGE(AD93,AE93,AF93,AH93)</f>
        <v>109.60405157419154</v>
      </c>
      <c r="AJ93" s="330">
        <f>+AVERAGE(AE93,AF93,AI93,AH93)</f>
        <v>109.60516927282151</v>
      </c>
      <c r="AK93" s="330">
        <f>+AVERAGE(AF93,AJ93,AH93,AI93)</f>
        <v>109.59955319346409</v>
      </c>
      <c r="AL93" s="41">
        <f>+SUM(AH93:AK93)</f>
        <v>438.38695029977316</v>
      </c>
    </row>
    <row r="94" spans="1:38" outlineLevel="1" x14ac:dyDescent="0.25">
      <c r="A94" s="166"/>
      <c r="B94" s="36" t="s">
        <v>131</v>
      </c>
      <c r="C94" s="61"/>
      <c r="D94" s="25">
        <f>AVERAGE(D92,6201)</f>
        <v>6287</v>
      </c>
      <c r="E94" s="25">
        <f>AVERAGE(E92,D92)</f>
        <v>6479.5</v>
      </c>
      <c r="F94" s="25">
        <f>AVERAGE(F92,E92)</f>
        <v>6856.5</v>
      </c>
      <c r="G94" s="25">
        <f>AVERAGE(G92,F92)</f>
        <v>7228</v>
      </c>
      <c r="H94" s="41"/>
      <c r="I94" s="25">
        <f>AVERAGE(I92,G92)</f>
        <v>7431</v>
      </c>
      <c r="J94" s="25">
        <f>AVERAGE(J92,I92)</f>
        <v>7587.5</v>
      </c>
      <c r="K94" s="25">
        <f>AVERAGE(K92,J92)</f>
        <v>7666.5</v>
      </c>
      <c r="L94" s="168">
        <f>AVERAGE(K92,L92)</f>
        <v>7772.5</v>
      </c>
      <c r="M94" s="249"/>
      <c r="N94" s="168">
        <f>AVERAGE(L92,N92)</f>
        <v>7904</v>
      </c>
      <c r="O94" s="168">
        <f>AVERAGE(M92,O92)</f>
        <v>8059.25</v>
      </c>
      <c r="P94" s="168">
        <f>AVERAGE(N92,P92)</f>
        <v>8058.78125</v>
      </c>
      <c r="Q94" s="168">
        <f>AVERAGE(O92,Q92)</f>
        <v>8170.4765625</v>
      </c>
      <c r="R94" s="11"/>
      <c r="S94" s="168">
        <f>AVERAGE(Q92,S92)</f>
        <v>8335.166015625</v>
      </c>
      <c r="T94" s="168">
        <f>AVERAGE(R92,T92)</f>
        <v>8497.2861328125</v>
      </c>
      <c r="U94" s="168">
        <f>AVERAGE(S92,U92)</f>
        <v>8497.7120361328125</v>
      </c>
      <c r="V94" s="168">
        <f>AVERAGE(T92,V92)</f>
        <v>8607.4447326660156</v>
      </c>
      <c r="W94" s="11"/>
      <c r="X94" s="168">
        <f>AVERAGE(V92,X92)</f>
        <v>8772.0908584594727</v>
      </c>
      <c r="Y94" s="168">
        <f>AVERAGE(W92,Y92)</f>
        <v>8936.0657539367676</v>
      </c>
      <c r="Z94" s="168">
        <f>AVERAGE(X92,Z92)</f>
        <v>8936.1695218086243</v>
      </c>
      <c r="AA94" s="168">
        <f>AVERAGE(Y92,AA92)</f>
        <v>9045.7838932275772</v>
      </c>
      <c r="AB94" s="11"/>
      <c r="AC94" s="168">
        <f>AVERAGE(AA92,AC92)</f>
        <v>9210.2393700182438</v>
      </c>
      <c r="AD94" s="168">
        <f>AVERAGE(AB92,AD92)</f>
        <v>9374.5762882977724</v>
      </c>
      <c r="AE94" s="168">
        <f>AVERAGE(AC92,AE92)</f>
        <v>9374.5903147030622</v>
      </c>
      <c r="AF94" s="168">
        <f>AVERAGE(AD92,AF92)</f>
        <v>9484.1955129266717</v>
      </c>
      <c r="AG94" s="11"/>
      <c r="AH94" s="168">
        <f>AVERAGE(AF92,AH92)</f>
        <v>9648.6038256852189</v>
      </c>
      <c r="AI94" s="168">
        <f>AVERAGE(AG92,AI92)</f>
        <v>9812.9969653890585</v>
      </c>
      <c r="AJ94" s="168">
        <f>AVERAGE(AH92,AJ92)</f>
        <v>9812.9975242383734</v>
      </c>
      <c r="AK94" s="168">
        <f>AVERAGE(AI92,AK92)</f>
        <v>9922.5993266222013</v>
      </c>
      <c r="AL94" s="11"/>
    </row>
    <row r="95" spans="1:38" outlineLevel="1" x14ac:dyDescent="0.25">
      <c r="A95" s="166"/>
      <c r="B95" s="36" t="s">
        <v>130</v>
      </c>
      <c r="C95" s="61"/>
      <c r="D95" s="82">
        <f>+D96/D94</f>
        <v>3.5390488309209482E-2</v>
      </c>
      <c r="E95" s="192">
        <f>+E96/E94</f>
        <v>3.3197005941816495E-2</v>
      </c>
      <c r="F95" s="192">
        <f>+F96/F94</f>
        <v>3.335521038430686E-2</v>
      </c>
      <c r="G95" s="192">
        <f>+G96/G94</f>
        <v>3.468456004427227E-2</v>
      </c>
      <c r="H95" s="41"/>
      <c r="I95" s="192">
        <f>+I96/I94</f>
        <v>3.4275333064190554E-2</v>
      </c>
      <c r="J95" s="192">
        <f>+J96/J94</f>
        <v>2.97331136738056E-2</v>
      </c>
      <c r="K95" s="192">
        <f>+K96/K94</f>
        <v>8.4784451835909474E-3</v>
      </c>
      <c r="L95" s="338">
        <v>2.5000000000000001E-2</v>
      </c>
      <c r="M95" s="249"/>
      <c r="N95" s="372">
        <v>3.2000000000000001E-2</v>
      </c>
      <c r="O95" s="338">
        <v>3.3000000000000002E-2</v>
      </c>
      <c r="P95" s="338">
        <v>3.2000000000000001E-2</v>
      </c>
      <c r="Q95" s="338">
        <v>3.3000000000000002E-2</v>
      </c>
      <c r="R95" s="11"/>
      <c r="S95" s="192">
        <f>N95*1.02</f>
        <v>3.2640000000000002E-2</v>
      </c>
      <c r="T95" s="192">
        <f>O95*1.02</f>
        <v>3.3660000000000002E-2</v>
      </c>
      <c r="U95" s="192">
        <f>P95*1.02</f>
        <v>3.2640000000000002E-2</v>
      </c>
      <c r="V95" s="192">
        <f>Q95*1.02</f>
        <v>3.3660000000000002E-2</v>
      </c>
      <c r="W95" s="11"/>
      <c r="X95" s="192">
        <f>S95*1.02</f>
        <v>3.3292800000000004E-2</v>
      </c>
      <c r="Y95" s="192">
        <f>T95*1.02</f>
        <v>3.4333200000000001E-2</v>
      </c>
      <c r="Z95" s="192">
        <f>U95*1.02</f>
        <v>3.3292800000000004E-2</v>
      </c>
      <c r="AA95" s="192">
        <f>V95*1.02</f>
        <v>3.4333200000000001E-2</v>
      </c>
      <c r="AB95" s="11"/>
      <c r="AC95" s="192">
        <f>X95*1.02</f>
        <v>3.3958656000000004E-2</v>
      </c>
      <c r="AD95" s="192">
        <f>Y95*1.02</f>
        <v>3.5019864000000005E-2</v>
      </c>
      <c r="AE95" s="192">
        <f>Z95*1.02</f>
        <v>3.3958656000000004E-2</v>
      </c>
      <c r="AF95" s="192">
        <f>AA95*1.02</f>
        <v>3.5019864000000005E-2</v>
      </c>
      <c r="AG95" s="11"/>
      <c r="AH95" s="192">
        <f>AC95*1.02</f>
        <v>3.4637829120000005E-2</v>
      </c>
      <c r="AI95" s="192">
        <f>AD95*1.02</f>
        <v>3.5720261280000005E-2</v>
      </c>
      <c r="AJ95" s="192">
        <f>AE95*1.02</f>
        <v>3.4637829120000005E-2</v>
      </c>
      <c r="AK95" s="192">
        <f>AF95*1.02</f>
        <v>3.5720261280000005E-2</v>
      </c>
      <c r="AL95" s="11"/>
    </row>
    <row r="96" spans="1:38" s="13" customFormat="1" outlineLevel="1" x14ac:dyDescent="0.25">
      <c r="A96" s="181"/>
      <c r="B96" s="515" t="s">
        <v>262</v>
      </c>
      <c r="C96" s="516"/>
      <c r="D96" s="193">
        <v>222.5</v>
      </c>
      <c r="E96" s="193">
        <v>215.1</v>
      </c>
      <c r="F96" s="193">
        <v>228.7</v>
      </c>
      <c r="G96" s="193">
        <v>250.7</v>
      </c>
      <c r="H96" s="298"/>
      <c r="I96" s="193">
        <v>254.7</v>
      </c>
      <c r="J96" s="193">
        <v>225.6</v>
      </c>
      <c r="K96" s="193">
        <v>65</v>
      </c>
      <c r="L96" s="193">
        <f>L95*L94</f>
        <v>194.3125</v>
      </c>
      <c r="M96" s="298"/>
      <c r="N96" s="193">
        <f>N95*N94</f>
        <v>252.928</v>
      </c>
      <c r="O96" s="193">
        <f>O95*O94</f>
        <v>265.95525000000004</v>
      </c>
      <c r="P96" s="193">
        <f>P95*P94</f>
        <v>257.88100000000003</v>
      </c>
      <c r="Q96" s="193">
        <f>Q95*Q94</f>
        <v>269.62572656250001</v>
      </c>
      <c r="R96" s="381"/>
      <c r="S96" s="193">
        <f>S95*S94</f>
        <v>272.05981875000003</v>
      </c>
      <c r="T96" s="193">
        <f>T95*T94</f>
        <v>286.01865123046878</v>
      </c>
      <c r="U96" s="193">
        <f>U95*U94</f>
        <v>277.365320859375</v>
      </c>
      <c r="V96" s="193">
        <f>V95*V94</f>
        <v>289.7265897015381</v>
      </c>
      <c r="W96" s="381"/>
      <c r="X96" s="193">
        <f>X95*X94</f>
        <v>292.04746653251959</v>
      </c>
      <c r="Y96" s="193">
        <f>Y95*Y94</f>
        <v>306.80373274306186</v>
      </c>
      <c r="Z96" s="193">
        <f>Z95*Z94</f>
        <v>297.5101046556702</v>
      </c>
      <c r="AA96" s="193">
        <f>AA95*AA94</f>
        <v>310.57070756296105</v>
      </c>
      <c r="AB96" s="381"/>
      <c r="AC96" s="193">
        <f>AC95*AC94</f>
        <v>312.76735044410628</v>
      </c>
      <c r="AD96" s="193">
        <f>AD95*AD94</f>
        <v>328.29638667381283</v>
      </c>
      <c r="AE96" s="193">
        <f>AE95*AE94</f>
        <v>318.34848763793309</v>
      </c>
      <c r="AF96" s="193">
        <f>AF95*AF94</f>
        <v>332.13523701210232</v>
      </c>
      <c r="AG96" s="381"/>
      <c r="AH96" s="193">
        <f>AH95*AH94</f>
        <v>334.20669056066293</v>
      </c>
      <c r="AI96" s="193">
        <f>AI95*AI94</f>
        <v>350.52281554354431</v>
      </c>
      <c r="AJ96" s="193">
        <f>AJ95*AJ94</f>
        <v>339.90093139955189</v>
      </c>
      <c r="AK96" s="193">
        <f>AK95*AK94</f>
        <v>354.43784052369716</v>
      </c>
      <c r="AL96" s="381"/>
    </row>
    <row r="97" spans="1:38" s="13" customFormat="1" outlineLevel="1" x14ac:dyDescent="0.25">
      <c r="A97" s="181"/>
      <c r="B97" s="459" t="s">
        <v>263</v>
      </c>
      <c r="C97" s="460"/>
      <c r="D97" s="171">
        <v>3.4</v>
      </c>
      <c r="E97" s="171">
        <v>4.9000000000000004</v>
      </c>
      <c r="F97" s="171">
        <v>3.8</v>
      </c>
      <c r="G97" s="171">
        <v>5.5</v>
      </c>
      <c r="H97" s="299"/>
      <c r="I97" s="171">
        <v>6.7</v>
      </c>
      <c r="J97" s="171">
        <v>6.6</v>
      </c>
      <c r="K97" s="171">
        <v>9.1</v>
      </c>
      <c r="L97" s="171">
        <f>G97*(1+L98)</f>
        <v>9.625</v>
      </c>
      <c r="M97" s="299"/>
      <c r="N97" s="171">
        <f>I97*(1+N98)</f>
        <v>11.725</v>
      </c>
      <c r="O97" s="171">
        <f>J97*(1+O98)</f>
        <v>11.549999999999999</v>
      </c>
      <c r="P97" s="171">
        <f>K97*(1+P98)</f>
        <v>15.924999999999999</v>
      </c>
      <c r="Q97" s="171">
        <f>L97*(1+Q98)</f>
        <v>14.4375</v>
      </c>
      <c r="R97" s="106"/>
      <c r="S97" s="171">
        <f>N97*(1+S98)</f>
        <v>14.65625</v>
      </c>
      <c r="T97" s="171">
        <f>O97*(1+T98)</f>
        <v>14.437499999999998</v>
      </c>
      <c r="U97" s="171">
        <f>P97*(1+U98)</f>
        <v>19.90625</v>
      </c>
      <c r="V97" s="171">
        <f>Q97*(1+V98)</f>
        <v>18.046875</v>
      </c>
      <c r="W97" s="106"/>
      <c r="X97" s="171">
        <f>S97*(1+X98)</f>
        <v>16.121875000000003</v>
      </c>
      <c r="Y97" s="171">
        <f>T97*(1+Y98)</f>
        <v>15.88125</v>
      </c>
      <c r="Z97" s="171">
        <f>U97*(1+Z98)</f>
        <v>21.896875000000001</v>
      </c>
      <c r="AA97" s="171">
        <f>V97*(1+AA98)</f>
        <v>19.8515625</v>
      </c>
      <c r="AB97" s="106"/>
      <c r="AC97" s="171">
        <f>X97*(1+AC98)</f>
        <v>17.734062500000004</v>
      </c>
      <c r="AD97" s="171">
        <f>Y97*(1+AD98)</f>
        <v>17.469374999999999</v>
      </c>
      <c r="AE97" s="171">
        <f>Z97*(1+AE98)</f>
        <v>24.086562500000003</v>
      </c>
      <c r="AF97" s="171">
        <f>AA97*(1+AF98)</f>
        <v>21.836718750000003</v>
      </c>
      <c r="AG97" s="106"/>
      <c r="AH97" s="171">
        <f>AC97*(1+AH98)</f>
        <v>19.507468750000005</v>
      </c>
      <c r="AI97" s="171">
        <f>AD97*(1+AI98)</f>
        <v>19.216312500000001</v>
      </c>
      <c r="AJ97" s="171">
        <f>AE97*(1+AJ98)</f>
        <v>26.495218750000006</v>
      </c>
      <c r="AK97" s="171">
        <f>AF97*(1+AK98)</f>
        <v>24.020390625000005</v>
      </c>
      <c r="AL97" s="106"/>
    </row>
    <row r="98" spans="1:38" outlineLevel="1" x14ac:dyDescent="0.25">
      <c r="A98" s="166"/>
      <c r="B98" s="123" t="s">
        <v>135</v>
      </c>
      <c r="C98" s="124"/>
      <c r="D98" s="204"/>
      <c r="E98" s="204"/>
      <c r="F98" s="204"/>
      <c r="G98" s="204"/>
      <c r="H98" s="300"/>
      <c r="I98" s="204">
        <f>I97/D97-1</f>
        <v>0.97058823529411775</v>
      </c>
      <c r="J98" s="204">
        <f>J97/E97-1</f>
        <v>0.3469387755102038</v>
      </c>
      <c r="K98" s="204">
        <f>K97/F97-1</f>
        <v>1.3947368421052633</v>
      </c>
      <c r="L98" s="339">
        <v>0.75</v>
      </c>
      <c r="M98" s="300"/>
      <c r="N98" s="339">
        <v>0.75</v>
      </c>
      <c r="O98" s="339">
        <v>0.75</v>
      </c>
      <c r="P98" s="339">
        <v>0.75</v>
      </c>
      <c r="Q98" s="339">
        <v>0.5</v>
      </c>
      <c r="R98" s="107"/>
      <c r="S98" s="339">
        <v>0.25</v>
      </c>
      <c r="T98" s="339">
        <v>0.25</v>
      </c>
      <c r="U98" s="339">
        <v>0.25</v>
      </c>
      <c r="V98" s="339">
        <v>0.25</v>
      </c>
      <c r="W98" s="107"/>
      <c r="X98" s="339">
        <v>0.1</v>
      </c>
      <c r="Y98" s="339">
        <v>0.1</v>
      </c>
      <c r="Z98" s="339">
        <v>0.1</v>
      </c>
      <c r="AA98" s="339">
        <v>0.1</v>
      </c>
      <c r="AB98" s="107"/>
      <c r="AC98" s="339">
        <v>0.1</v>
      </c>
      <c r="AD98" s="339">
        <v>0.1</v>
      </c>
      <c r="AE98" s="339">
        <v>0.1</v>
      </c>
      <c r="AF98" s="339">
        <v>0.1</v>
      </c>
      <c r="AG98" s="107"/>
      <c r="AH98" s="339">
        <v>0.1</v>
      </c>
      <c r="AI98" s="339">
        <v>0.1</v>
      </c>
      <c r="AJ98" s="339">
        <v>0.1</v>
      </c>
      <c r="AK98" s="339">
        <v>0.1</v>
      </c>
      <c r="AL98" s="107"/>
    </row>
    <row r="99" spans="1:38" outlineLevel="1" x14ac:dyDescent="0.25">
      <c r="A99" s="166"/>
      <c r="B99" s="36" t="s">
        <v>264</v>
      </c>
      <c r="C99" s="97"/>
      <c r="D99" s="168">
        <f t="shared" ref="D99:G100" si="64">+D92+D81</f>
        <v>12212</v>
      </c>
      <c r="E99" s="168">
        <f t="shared" si="64"/>
        <v>12465</v>
      </c>
      <c r="F99" s="168">
        <f t="shared" si="64"/>
        <v>12773</v>
      </c>
      <c r="G99" s="168">
        <f t="shared" si="64"/>
        <v>13189</v>
      </c>
      <c r="H99" s="206"/>
      <c r="I99" s="168">
        <f t="shared" ref="I99:K100" si="65">+I92+I81</f>
        <v>13592</v>
      </c>
      <c r="J99" s="168">
        <f t="shared" si="65"/>
        <v>13779</v>
      </c>
      <c r="K99" s="168">
        <f t="shared" si="65"/>
        <v>13945</v>
      </c>
      <c r="L99" s="168">
        <f t="shared" ref="L99:AK99" si="66">+L92+L81</f>
        <v>14283</v>
      </c>
      <c r="M99" s="373"/>
      <c r="N99" s="168">
        <f t="shared" si="66"/>
        <v>14483</v>
      </c>
      <c r="O99" s="168">
        <f t="shared" si="66"/>
        <v>14688.25</v>
      </c>
      <c r="P99" s="168">
        <f t="shared" si="66"/>
        <v>14892.5625</v>
      </c>
      <c r="Q99" s="168">
        <f t="shared" si="66"/>
        <v>15110.703125</v>
      </c>
      <c r="R99" s="11"/>
      <c r="S99" s="168">
        <f t="shared" si="66"/>
        <v>15292.62890625</v>
      </c>
      <c r="T99" s="168">
        <f t="shared" si="66"/>
        <v>15476.2861328125</v>
      </c>
      <c r="U99" s="168">
        <f t="shared" si="66"/>
        <v>15660.795166015625</v>
      </c>
      <c r="V99" s="168">
        <f t="shared" si="66"/>
        <v>15846.603332519531</v>
      </c>
      <c r="W99" s="11"/>
      <c r="X99" s="168">
        <f t="shared" si="66"/>
        <v>16030.578384399414</v>
      </c>
      <c r="Y99" s="168">
        <f t="shared" si="66"/>
        <v>16215.065753936768</v>
      </c>
      <c r="Z99" s="168">
        <f t="shared" si="66"/>
        <v>16399.760659217834</v>
      </c>
      <c r="AA99" s="168">
        <f t="shared" si="66"/>
        <v>16584.502032518387</v>
      </c>
      <c r="AB99" s="11"/>
      <c r="AC99" s="168">
        <f t="shared" si="66"/>
        <v>16793.976707518101</v>
      </c>
      <c r="AD99" s="168">
        <f t="shared" si="66"/>
        <v>17003.576288297772</v>
      </c>
      <c r="AE99" s="168">
        <f t="shared" si="66"/>
        <v>17200.703921888024</v>
      </c>
      <c r="AF99" s="168">
        <f t="shared" si="66"/>
        <v>17400.939737555571</v>
      </c>
      <c r="AG99" s="11"/>
      <c r="AH99" s="168">
        <f t="shared" si="66"/>
        <v>17605.049163814867</v>
      </c>
      <c r="AI99" s="168">
        <f t="shared" si="66"/>
        <v>17807.817277889058</v>
      </c>
      <c r="AJ99" s="168">
        <f t="shared" si="66"/>
        <v>18008.87752528688</v>
      </c>
      <c r="AK99" s="168">
        <f t="shared" si="66"/>
        <v>18210.920926136594</v>
      </c>
      <c r="AL99" s="11"/>
    </row>
    <row r="100" spans="1:38" outlineLevel="1" x14ac:dyDescent="0.25">
      <c r="A100" s="166"/>
      <c r="B100" s="36" t="s">
        <v>265</v>
      </c>
      <c r="C100" s="97"/>
      <c r="D100" s="168">
        <f t="shared" si="64"/>
        <v>360</v>
      </c>
      <c r="E100" s="168">
        <f t="shared" si="64"/>
        <v>253</v>
      </c>
      <c r="F100" s="168">
        <f t="shared" si="64"/>
        <v>308</v>
      </c>
      <c r="G100" s="168">
        <f t="shared" si="64"/>
        <v>416</v>
      </c>
      <c r="H100" s="206">
        <f>+H93+H82</f>
        <v>1337</v>
      </c>
      <c r="I100" s="168">
        <f t="shared" si="65"/>
        <v>403</v>
      </c>
      <c r="J100" s="168">
        <f t="shared" si="65"/>
        <v>187</v>
      </c>
      <c r="K100" s="168">
        <f t="shared" si="65"/>
        <v>166</v>
      </c>
      <c r="L100" s="168">
        <f t="shared" ref="L100:AK100" si="67">+L93+L82</f>
        <v>338</v>
      </c>
      <c r="M100" s="361">
        <f>+M93+M82</f>
        <v>1094</v>
      </c>
      <c r="N100" s="168">
        <f t="shared" si="67"/>
        <v>200</v>
      </c>
      <c r="O100" s="168">
        <f t="shared" si="67"/>
        <v>205.25</v>
      </c>
      <c r="P100" s="168">
        <f t="shared" si="67"/>
        <v>204.3125</v>
      </c>
      <c r="Q100" s="168">
        <f t="shared" si="67"/>
        <v>218.140625</v>
      </c>
      <c r="R100" s="41">
        <f>+R93+R82</f>
        <v>827.703125</v>
      </c>
      <c r="S100" s="168">
        <f t="shared" si="67"/>
        <v>181.92578125</v>
      </c>
      <c r="T100" s="168">
        <f t="shared" si="67"/>
        <v>183.6572265625</v>
      </c>
      <c r="U100" s="168">
        <f t="shared" si="67"/>
        <v>184.509033203125</v>
      </c>
      <c r="V100" s="168">
        <f t="shared" si="67"/>
        <v>185.80816650390625</v>
      </c>
      <c r="W100" s="41">
        <f>+W93+W82</f>
        <v>735.90020751953125</v>
      </c>
      <c r="X100" s="168">
        <f t="shared" si="67"/>
        <v>183.97505187988281</v>
      </c>
      <c r="Y100" s="168">
        <f t="shared" si="67"/>
        <v>184.48736953735352</v>
      </c>
      <c r="Z100" s="168">
        <f t="shared" si="67"/>
        <v>184.69490528106689</v>
      </c>
      <c r="AA100" s="168">
        <f t="shared" si="67"/>
        <v>184.74137330055237</v>
      </c>
      <c r="AB100" s="41">
        <f>+AB93+AB82</f>
        <v>737.89869999885559</v>
      </c>
      <c r="AC100" s="168">
        <f t="shared" si="67"/>
        <v>209.4746749997139</v>
      </c>
      <c r="AD100" s="168">
        <f t="shared" si="67"/>
        <v>209.59958077967167</v>
      </c>
      <c r="AE100" s="168">
        <f t="shared" si="67"/>
        <v>197.12763359025121</v>
      </c>
      <c r="AF100" s="168">
        <f t="shared" si="67"/>
        <v>200.23581566754729</v>
      </c>
      <c r="AG100" s="41">
        <f>+AG93+AG82</f>
        <v>816.43770503718406</v>
      </c>
      <c r="AH100" s="168">
        <f t="shared" si="67"/>
        <v>204.10942625929601</v>
      </c>
      <c r="AI100" s="168">
        <f t="shared" si="67"/>
        <v>202.76811407419154</v>
      </c>
      <c r="AJ100" s="168">
        <f t="shared" si="67"/>
        <v>201.06024739782151</v>
      </c>
      <c r="AK100" s="168">
        <f t="shared" si="67"/>
        <v>202.04340084971409</v>
      </c>
      <c r="AL100" s="41">
        <f>+AL93+AL82</f>
        <v>809.98118858102316</v>
      </c>
    </row>
    <row r="101" spans="1:38" outlineLevel="1" x14ac:dyDescent="0.25">
      <c r="A101" s="166"/>
      <c r="B101" s="513" t="s">
        <v>266</v>
      </c>
      <c r="C101" s="514"/>
      <c r="D101" s="193">
        <f>+D97+D96+D89</f>
        <v>1504</v>
      </c>
      <c r="E101" s="193">
        <f>+E97+E96+E89</f>
        <v>1529.4</v>
      </c>
      <c r="F101" s="193">
        <f>+F97+F96+F89</f>
        <v>1585.3</v>
      </c>
      <c r="G101" s="193">
        <f>+G97+G96+G89</f>
        <v>1572.1000000000001</v>
      </c>
      <c r="H101" s="247">
        <f>SUM(D101:G101)</f>
        <v>6190.8</v>
      </c>
      <c r="I101" s="193">
        <f>+I97+I96+I89</f>
        <v>1571.1</v>
      </c>
      <c r="J101" s="193">
        <f>+J97+J96+J89</f>
        <v>1134.5999999999999</v>
      </c>
      <c r="K101" s="193">
        <f>+K97+K96+K89</f>
        <v>949.6</v>
      </c>
      <c r="L101" s="193">
        <f t="shared" ref="L101:AK101" si="68">+L97+L96+L89</f>
        <v>1354.7139992445568</v>
      </c>
      <c r="M101" s="374">
        <f>SUM(I101:L101)</f>
        <v>5010.0139992445565</v>
      </c>
      <c r="N101" s="193">
        <f t="shared" si="68"/>
        <v>1651.0275969535573</v>
      </c>
      <c r="O101" s="193">
        <f t="shared" si="68"/>
        <v>1304.6027465625002</v>
      </c>
      <c r="P101" s="193">
        <f t="shared" si="68"/>
        <v>1505.4180180625001</v>
      </c>
      <c r="Q101" s="193">
        <f t="shared" si="68"/>
        <v>1619.6462396423988</v>
      </c>
      <c r="R101" s="382">
        <f>SUM(N101:Q101)</f>
        <v>6080.6946012209564</v>
      </c>
      <c r="S101" s="193">
        <f t="shared" si="68"/>
        <v>1798.3372845307651</v>
      </c>
      <c r="T101" s="193">
        <f t="shared" si="68"/>
        <v>1411.6653160496094</v>
      </c>
      <c r="U101" s="193">
        <f t="shared" si="68"/>
        <v>1631.9842283743947</v>
      </c>
      <c r="V101" s="193">
        <f t="shared" si="68"/>
        <v>1744.3041474357426</v>
      </c>
      <c r="W101" s="382">
        <f>SUM(S101:V101)</f>
        <v>6586.2909763905118</v>
      </c>
      <c r="X101" s="193">
        <f t="shared" si="68"/>
        <v>1943.9112585180321</v>
      </c>
      <c r="Y101" s="193">
        <f t="shared" si="68"/>
        <v>1513.4628724190934</v>
      </c>
      <c r="Z101" s="193">
        <f t="shared" si="68"/>
        <v>1750.1247618296306</v>
      </c>
      <c r="AA101" s="193">
        <f t="shared" si="68"/>
        <v>1867.0683289680906</v>
      </c>
      <c r="AB101" s="382">
        <f>SUM(X101:AA101)</f>
        <v>7074.5672217348474</v>
      </c>
      <c r="AC101" s="193">
        <f t="shared" si="68"/>
        <v>2082.6190955793863</v>
      </c>
      <c r="AD101" s="193">
        <f t="shared" si="68"/>
        <v>1614.5010930231233</v>
      </c>
      <c r="AE101" s="193">
        <f t="shared" si="68"/>
        <v>1870.9406945006428</v>
      </c>
      <c r="AF101" s="193">
        <f t="shared" si="68"/>
        <v>1996.7600974595352</v>
      </c>
      <c r="AG101" s="382">
        <f>SUM(AC101:AF101)</f>
        <v>7564.8209805626875</v>
      </c>
      <c r="AH101" s="193">
        <f t="shared" si="68"/>
        <v>2250.1603286759555</v>
      </c>
      <c r="AI101" s="193">
        <f t="shared" si="68"/>
        <v>1738.8476728172586</v>
      </c>
      <c r="AJ101" s="193">
        <f t="shared" si="68"/>
        <v>2022.9890409089037</v>
      </c>
      <c r="AK101" s="193">
        <f t="shared" si="68"/>
        <v>2163.2776091818614</v>
      </c>
      <c r="AL101" s="382">
        <f>SUM(AH101:AK101)</f>
        <v>8175.274651583979</v>
      </c>
    </row>
    <row r="102" spans="1:38" outlineLevel="1" x14ac:dyDescent="0.25">
      <c r="A102" s="166"/>
      <c r="B102" s="478" t="s">
        <v>230</v>
      </c>
      <c r="C102" s="479"/>
      <c r="D102" s="173">
        <v>462.7</v>
      </c>
      <c r="E102" s="173">
        <v>470.2</v>
      </c>
      <c r="F102" s="173">
        <v>476.1</v>
      </c>
      <c r="G102" s="173">
        <v>486.1</v>
      </c>
      <c r="H102" s="248"/>
      <c r="I102" s="173">
        <v>488.5</v>
      </c>
      <c r="J102" s="173">
        <v>387.7</v>
      </c>
      <c r="K102" s="173">
        <v>337.7</v>
      </c>
      <c r="L102" s="173">
        <f>+(L101*L113)*(K102/K112)</f>
        <v>435.46618435857278</v>
      </c>
      <c r="M102" s="186"/>
      <c r="N102" s="173">
        <f>+(N101*N113)*(L102/L112)</f>
        <v>482.46794547644475</v>
      </c>
      <c r="O102" s="173">
        <f>+(O101*O113)*(N102/N112)</f>
        <v>371.70383024450177</v>
      </c>
      <c r="P102" s="173">
        <f>+(P101*P113)*(O102/O112)</f>
        <v>439.91750325555984</v>
      </c>
      <c r="Q102" s="173">
        <f>+(Q101*Q113)*(P102/P112)</f>
        <v>449.63271681633415</v>
      </c>
      <c r="R102" s="132"/>
      <c r="S102" s="173">
        <f>+(S101*S113)*(Q102/Q112)</f>
        <v>525.51519825725427</v>
      </c>
      <c r="T102" s="173">
        <f>+(T101*T113)*(S102/S112)</f>
        <v>402.20780339574196</v>
      </c>
      <c r="U102" s="173">
        <f>+(U101*U113)*(T102/T112)</f>
        <v>476.90303854800055</v>
      </c>
      <c r="V102" s="173">
        <f>+(V101*V113)*(U102/U112)</f>
        <v>484.23920827223179</v>
      </c>
      <c r="W102" s="132"/>
      <c r="X102" s="173">
        <f>+(X101*X113)*(V102/V112)</f>
        <v>568.05523591263568</v>
      </c>
      <c r="Y102" s="173">
        <f>+(Y101*Y113)*(X102/X112)</f>
        <v>431.21168347476873</v>
      </c>
      <c r="Z102" s="173">
        <f>+(Z101*Z113)*(Y102/Y112)</f>
        <v>511.42639876245886</v>
      </c>
      <c r="AA102" s="173">
        <f>+(AA101*AA113)*(Z102/Z112)</f>
        <v>518.31997919558512</v>
      </c>
      <c r="AB102" s="132"/>
      <c r="AC102" s="173">
        <f>+(AC101*AC113)*(AA102/AA112)</f>
        <v>608.58883165140855</v>
      </c>
      <c r="AD102" s="173">
        <f>+(AD101*AD113)*(AC102/AC112)</f>
        <v>459.9992156937252</v>
      </c>
      <c r="AE102" s="173">
        <f>+(AE101*AE113)*(AD102/AD112)</f>
        <v>546.73157168879811</v>
      </c>
      <c r="AF102" s="173">
        <f>+(AF101*AF113)*(AE102/AE112)</f>
        <v>554.32392918678727</v>
      </c>
      <c r="AG102" s="132"/>
      <c r="AH102" s="173">
        <f>+(AH101*AH113)*(AF102/AF112)</f>
        <v>657.54820378052614</v>
      </c>
      <c r="AI102" s="173">
        <f>+(AI101*AI113)*(AH102/AH112)</f>
        <v>495.42770157501667</v>
      </c>
      <c r="AJ102" s="173">
        <f>+(AJ101*AJ113)*(AI102/AI112)</f>
        <v>591.1635687311516</v>
      </c>
      <c r="AK102" s="173">
        <f>+(AK101*AK113)*(AJ102/AJ112)</f>
        <v>600.55113569685591</v>
      </c>
      <c r="AL102" s="132"/>
    </row>
    <row r="103" spans="1:38" outlineLevel="1" x14ac:dyDescent="0.25">
      <c r="A103" s="166"/>
      <c r="B103" s="36" t="s">
        <v>107</v>
      </c>
      <c r="C103" s="27"/>
      <c r="D103" s="173">
        <v>603.70000000000005</v>
      </c>
      <c r="E103" s="173">
        <v>618.4</v>
      </c>
      <c r="F103" s="173">
        <v>609.20000000000005</v>
      </c>
      <c r="G103" s="173">
        <v>597.29999999999995</v>
      </c>
      <c r="H103" s="186"/>
      <c r="I103" s="173">
        <v>607.1</v>
      </c>
      <c r="J103" s="173">
        <v>562.79999999999995</v>
      </c>
      <c r="K103" s="173">
        <v>483.4</v>
      </c>
      <c r="L103" s="173">
        <f>+(L101*L113)*(K103/K112)</f>
        <v>623.34721207857297</v>
      </c>
      <c r="M103" s="186"/>
      <c r="N103" s="173">
        <f>+(N101*N113)*(L103/L112)</f>
        <v>690.62779047472122</v>
      </c>
      <c r="O103" s="173">
        <f>+(O101*O113)*(N103/N112)</f>
        <v>532.07471584303266</v>
      </c>
      <c r="P103" s="173">
        <f>+(P101*P113)*(O103/O112)</f>
        <v>629.71904374811254</v>
      </c>
      <c r="Q103" s="173">
        <f>+(Q101*Q113)*(P103/P112)</f>
        <v>643.62586706845104</v>
      </c>
      <c r="R103" s="102"/>
      <c r="S103" s="173">
        <f>+(S101*S113)*(Q103/Q112)</f>
        <v>752.24769569901298</v>
      </c>
      <c r="T103" s="173">
        <f>+(T101*T113)*(S103/S112)</f>
        <v>575.7395681418468</v>
      </c>
      <c r="U103" s="173">
        <f>+(U101*U113)*(T103/T112)</f>
        <v>682.66191541043361</v>
      </c>
      <c r="V103" s="173">
        <f>+(V101*V113)*(U103/U112)</f>
        <v>693.16326111577382</v>
      </c>
      <c r="W103" s="102"/>
      <c r="X103" s="173">
        <f>+(X101*X113)*(V103/V112)</f>
        <v>813.14154883082028</v>
      </c>
      <c r="Y103" s="173">
        <f>+(Y101*Y113)*(X103/X112)</f>
        <v>617.25711516642912</v>
      </c>
      <c r="Z103" s="173">
        <f>+(Z101*Z113)*(Y103/Y112)</f>
        <v>732.08031140590026</v>
      </c>
      <c r="AA103" s="173">
        <f>+(AA101*AA113)*(Z103/Z112)</f>
        <v>741.94811354203648</v>
      </c>
      <c r="AB103" s="102"/>
      <c r="AC103" s="173">
        <f>+(AC101*AC113)*(AA103/AA112)</f>
        <v>871.16328463219054</v>
      </c>
      <c r="AD103" s="173">
        <f>+(AD101*AD113)*(AC103/AC112)</f>
        <v>658.46497147274692</v>
      </c>
      <c r="AE103" s="173">
        <f>+(AE101*AE113)*(AD103/AD112)</f>
        <v>782.61783166824068</v>
      </c>
      <c r="AF103" s="173">
        <f>+(AF101*AF113)*(AE103/AE112)</f>
        <v>793.48589685784088</v>
      </c>
      <c r="AG103" s="102"/>
      <c r="AH103" s="173">
        <f>+(AH101*AH113)*(AF103/AF112)</f>
        <v>941.2460814554521</v>
      </c>
      <c r="AI103" s="173">
        <f>+(AI101*AI113)*(AH103/AH112)</f>
        <v>709.17900782162553</v>
      </c>
      <c r="AJ103" s="173">
        <f>+(AJ101*AJ113)*(AI103/AI112)</f>
        <v>846.21992633887635</v>
      </c>
      <c r="AK103" s="173">
        <f>+(AK101*AK113)*(AJ103/AJ112)</f>
        <v>859.65774058590455</v>
      </c>
      <c r="AL103" s="102"/>
    </row>
    <row r="104" spans="1:38" outlineLevel="1" x14ac:dyDescent="0.25">
      <c r="A104" s="166"/>
      <c r="B104" s="36" t="s">
        <v>108</v>
      </c>
      <c r="C104" s="27"/>
      <c r="D104" s="173">
        <v>31.3</v>
      </c>
      <c r="E104" s="173">
        <v>26.3</v>
      </c>
      <c r="F104" s="173">
        <v>26.7</v>
      </c>
      <c r="G104" s="173">
        <v>31.9</v>
      </c>
      <c r="H104" s="186"/>
      <c r="I104" s="173">
        <v>35.9</v>
      </c>
      <c r="J104" s="173">
        <v>31.8</v>
      </c>
      <c r="K104" s="173">
        <v>37.5</v>
      </c>
      <c r="L104" s="173">
        <f>+(L101*L113)*(K104/K112)</f>
        <v>48.356475905971216</v>
      </c>
      <c r="M104" s="186"/>
      <c r="N104" s="173">
        <f>+(N101*N113)*(L104/L112)</f>
        <v>53.575800874642219</v>
      </c>
      <c r="O104" s="173">
        <f>+(O101*O113)*(N104/N112)</f>
        <v>41.275965751166176</v>
      </c>
      <c r="P104" s="173">
        <f>+(P101*P113)*(O104/O112)</f>
        <v>48.850773977149821</v>
      </c>
      <c r="Q104" s="173">
        <f>+(Q101*Q113)*(P104/P112)</f>
        <v>49.929602844573679</v>
      </c>
      <c r="R104" s="102"/>
      <c r="S104" s="173">
        <f>+(S101*S113)*(Q104/Q112)</f>
        <v>58.355996253026461</v>
      </c>
      <c r="T104" s="173">
        <f>+(T101*T113)*(S104/S112)</f>
        <v>44.66328879875725</v>
      </c>
      <c r="U104" s="173">
        <f>+(U101*U113)*(T104/T112)</f>
        <v>52.957844079212379</v>
      </c>
      <c r="V104" s="173">
        <f>+(V101*V113)*(U104/U112)</f>
        <v>53.772491294665947</v>
      </c>
      <c r="W104" s="102"/>
      <c r="X104" s="173">
        <f>+(X101*X113)*(V104/V112)</f>
        <v>63.079867772353673</v>
      </c>
      <c r="Y104" s="173">
        <f>+(Y101*Y113)*(X104/X112)</f>
        <v>47.884033551388285</v>
      </c>
      <c r="Z104" s="173">
        <f>+(Z101*Z113)*(Y104/Y112)</f>
        <v>56.791501195120524</v>
      </c>
      <c r="AA104" s="173">
        <f>+(AA101*AA113)*(Z104/Z112)</f>
        <v>57.557000947096348</v>
      </c>
      <c r="AB104" s="102"/>
      <c r="AC104" s="173">
        <f>+(AC101*AC113)*(AA104/AA112)</f>
        <v>67.580933334106646</v>
      </c>
      <c r="AD104" s="173">
        <f>+(AD101*AD113)*(AC104/AC112)</f>
        <v>51.080753889590433</v>
      </c>
      <c r="AE104" s="173">
        <f>+(AE101*AE113)*(AD104/AD112)</f>
        <v>60.711974943233407</v>
      </c>
      <c r="AF104" s="173">
        <f>+(AF101*AF113)*(AE104/AE112)</f>
        <v>61.555070608541655</v>
      </c>
      <c r="AG104" s="102"/>
      <c r="AH104" s="173">
        <f>+(AH101*AH113)*(AF104/AF112)</f>
        <v>73.017641817499921</v>
      </c>
      <c r="AI104" s="173">
        <f>+(AI101*AI113)*(AH104/AH112)</f>
        <v>55.014920962579581</v>
      </c>
      <c r="AJ104" s="173">
        <f>+(AJ101*AJ113)*(AI104/AI112)</f>
        <v>65.645939672544216</v>
      </c>
      <c r="AK104" s="173">
        <f>+(AK101*AK113)*(AJ104/AJ112)</f>
        <v>66.688384923399738</v>
      </c>
      <c r="AL104" s="102"/>
    </row>
    <row r="105" spans="1:38" outlineLevel="1" x14ac:dyDescent="0.25">
      <c r="A105" s="166"/>
      <c r="B105" s="36" t="s">
        <v>109</v>
      </c>
      <c r="C105" s="27"/>
      <c r="D105" s="202">
        <v>127</v>
      </c>
      <c r="E105" s="202">
        <v>130.4</v>
      </c>
      <c r="F105" s="202">
        <v>127.7</v>
      </c>
      <c r="G105" s="202">
        <v>126.5</v>
      </c>
      <c r="H105" s="249"/>
      <c r="I105" s="202">
        <v>126.6</v>
      </c>
      <c r="J105" s="202">
        <v>130</v>
      </c>
      <c r="K105" s="202">
        <v>128.5</v>
      </c>
      <c r="L105" s="173">
        <f>L242*(K105/(K72+K105+K119+K133))</f>
        <v>133.2635214525819</v>
      </c>
      <c r="M105" s="249"/>
      <c r="N105" s="173">
        <f>N242*(L105/(L72+L105+L119+L133))</f>
        <v>133.03621745624059</v>
      </c>
      <c r="O105" s="173">
        <f>O242*(N105/(N72+N105+N119+N133))</f>
        <v>134.13675260122088</v>
      </c>
      <c r="P105" s="173">
        <f>P242*(O105/(O72+O105+O119+O133))</f>
        <v>134.77367344278542</v>
      </c>
      <c r="Q105" s="173">
        <f>Q242*(P105/(P72+P105+P119+P133))</f>
        <v>135.68621458870692</v>
      </c>
      <c r="R105" s="11"/>
      <c r="S105" s="173">
        <f>S242*(Q105/(Q72+Q105+Q119+Q133))</f>
        <v>136.74297797594986</v>
      </c>
      <c r="T105" s="173">
        <f>T242*(S105/(S72+S105+S119+S133))</f>
        <v>138.67575581844605</v>
      </c>
      <c r="U105" s="173">
        <f>U242*(T105/(T72+T105+T119+T133))</f>
        <v>139.44808351893516</v>
      </c>
      <c r="V105" s="173">
        <f>V242*(U105/(U72+U105+U119+U133))</f>
        <v>140.60010934520301</v>
      </c>
      <c r="W105" s="11"/>
      <c r="X105" s="173">
        <f>X242*(V105/(V72+V105+V119+V133))</f>
        <v>141.92401198133086</v>
      </c>
      <c r="Y105" s="173">
        <f>Y242*(X105/(X72+X105+X119+X133))</f>
        <v>144.04737196350553</v>
      </c>
      <c r="Z105" s="173">
        <f>Z242*(Y105/(Y72+Y105+Y119+Y133))</f>
        <v>144.92252754987172</v>
      </c>
      <c r="AA105" s="173">
        <f>AA242*(Z105/(Z72+Z105+Z119+Z133))</f>
        <v>146.25922601542428</v>
      </c>
      <c r="AB105" s="11"/>
      <c r="AC105" s="173">
        <f>AC242*(AA105/(AA72+AA105+AA119+AA133))</f>
        <v>147.70428680004602</v>
      </c>
      <c r="AD105" s="173">
        <f>AD242*(AC105/(AC72+AC105+AC119+AC133))</f>
        <v>150.1186692771204</v>
      </c>
      <c r="AE105" s="173">
        <f>AE242*(AD105/(AD72+AD105+AD119+AD133))</f>
        <v>151.13084833277156</v>
      </c>
      <c r="AF105" s="173">
        <f>AF242*(AE105/(AE72+AE105+AE119+AE133))</f>
        <v>152.69418389768077</v>
      </c>
      <c r="AG105" s="11"/>
      <c r="AH105" s="173">
        <f>AH242*(AF105/(AF72+AF105+AF119+AF133))</f>
        <v>154.30596976970514</v>
      </c>
      <c r="AI105" s="173">
        <f>AI242*(AH105/(AH72+AH105+AH119+AH133))</f>
        <v>156.96678747315508</v>
      </c>
      <c r="AJ105" s="173">
        <f>AJ242*(AI105/(AI72+AI105+AI119+AI133))</f>
        <v>158.05962362772911</v>
      </c>
      <c r="AK105" s="173">
        <f>AK242*(AJ105/(AJ72+AJ105+AJ119+AJ133))</f>
        <v>159.8105179213625</v>
      </c>
      <c r="AL105" s="11"/>
    </row>
    <row r="106" spans="1:38" outlineLevel="1" x14ac:dyDescent="0.25">
      <c r="A106" s="166"/>
      <c r="B106" s="36" t="s">
        <v>110</v>
      </c>
      <c r="C106" s="27"/>
      <c r="D106" s="173">
        <v>69.3</v>
      </c>
      <c r="E106" s="173">
        <v>80.2</v>
      </c>
      <c r="F106" s="173">
        <v>86</v>
      </c>
      <c r="G106" s="173">
        <v>82.4</v>
      </c>
      <c r="H106" s="186"/>
      <c r="I106" s="173">
        <v>67.2</v>
      </c>
      <c r="J106" s="173">
        <v>63.7</v>
      </c>
      <c r="K106" s="173">
        <v>66.099999999999994</v>
      </c>
      <c r="L106" s="173">
        <f>+(L101*L113)*(K106/K112)</f>
        <v>85.236348196925263</v>
      </c>
      <c r="M106" s="186"/>
      <c r="N106" s="173">
        <f>+(N101*N113)*(L106/L112)</f>
        <v>94.436278341702675</v>
      </c>
      <c r="O106" s="173">
        <f>+(O101*O113)*(N106/N112)</f>
        <v>72.755768964055576</v>
      </c>
      <c r="P106" s="173">
        <f>+(P101*P113)*(O106/O112)</f>
        <v>86.107630930389433</v>
      </c>
      <c r="Q106" s="173">
        <f>+(Q101*Q113)*(P106/P112)</f>
        <v>88.00924661403522</v>
      </c>
      <c r="R106" s="102"/>
      <c r="S106" s="173">
        <f>+(S101*S113)*(Q106/Q112)</f>
        <v>102.86216939533466</v>
      </c>
      <c r="T106" s="173">
        <f>+(T101*T113)*(S106/S112)</f>
        <v>78.726490389276123</v>
      </c>
      <c r="U106" s="173">
        <f>+(U101*U113)*(T106/T112)</f>
        <v>93.347026496958364</v>
      </c>
      <c r="V106" s="173">
        <f>+(V101*V113)*(U106/U112)</f>
        <v>94.78297798873119</v>
      </c>
      <c r="W106" s="102"/>
      <c r="X106" s="173">
        <f>+(X101*X113)*(V106/V112)</f>
        <v>111.18878026006875</v>
      </c>
      <c r="Y106" s="173">
        <f>+(Y101*Y113)*(X106/X112)</f>
        <v>84.403589806580428</v>
      </c>
      <c r="Z106" s="173">
        <f>+(Z101*Z113)*(Y106/Y112)</f>
        <v>100.10448610659913</v>
      </c>
      <c r="AA106" s="173">
        <f>+(AA101*AA113)*(Z106/Z112)</f>
        <v>101.4538070027485</v>
      </c>
      <c r="AB106" s="102"/>
      <c r="AC106" s="173">
        <f>+(AC101*AC113)*(AA106/AA112)</f>
        <v>119.12265849025198</v>
      </c>
      <c r="AD106" s="173">
        <f>+(AD101*AD113)*(AC106/AC112)</f>
        <v>90.03834218938475</v>
      </c>
      <c r="AE106" s="173">
        <f>+(AE101*AE113)*(AD106/AD112)</f>
        <v>107.01497449993943</v>
      </c>
      <c r="AF106" s="173">
        <f>+(AF101*AF113)*(AE106/AE112)</f>
        <v>108.50107112598944</v>
      </c>
      <c r="AG106" s="102"/>
      <c r="AH106" s="173">
        <f>+(AH101*AH113)*(AF106/AF112)</f>
        <v>128.70576331031322</v>
      </c>
      <c r="AI106" s="173">
        <f>+(AI101*AI113)*(AH106/AH112)</f>
        <v>96.972967350040278</v>
      </c>
      <c r="AJ106" s="173">
        <f>+(AJ101*AJ113)*(AI106/AI112)</f>
        <v>115.71190966280463</v>
      </c>
      <c r="AK106" s="173">
        <f>+(AK101*AK113)*(AJ106/AJ112)</f>
        <v>117.54939315831264</v>
      </c>
      <c r="AL106" s="102"/>
    </row>
    <row r="107" spans="1:38" ht="17.25" outlineLevel="1" x14ac:dyDescent="0.4">
      <c r="A107" s="166"/>
      <c r="B107" s="36" t="s">
        <v>118</v>
      </c>
      <c r="C107" s="27"/>
      <c r="D107" s="203">
        <v>6.4</v>
      </c>
      <c r="E107" s="203">
        <v>24.2</v>
      </c>
      <c r="F107" s="203">
        <v>16.600000000000001</v>
      </c>
      <c r="G107" s="203">
        <v>12</v>
      </c>
      <c r="H107" s="250"/>
      <c r="I107" s="203">
        <v>0.8</v>
      </c>
      <c r="J107" s="203">
        <v>-1.2</v>
      </c>
      <c r="K107" s="203">
        <v>-0.2</v>
      </c>
      <c r="L107" s="173">
        <f>+(L101*L113)*(K107/K112)</f>
        <v>-0.25790120483184653</v>
      </c>
      <c r="M107" s="250"/>
      <c r="N107" s="173">
        <f>+(N101*N113)*(L107/L112)</f>
        <v>-0.28573760466475856</v>
      </c>
      <c r="O107" s="173">
        <f>+(O101*O113)*(N107/N112)</f>
        <v>-0.22013848400621963</v>
      </c>
      <c r="P107" s="173">
        <f>+(P101*P113)*(O107/O112)</f>
        <v>-0.26053746121146576</v>
      </c>
      <c r="Q107" s="173">
        <f>+(Q101*Q113)*(P107/P112)</f>
        <v>-0.26629121517105964</v>
      </c>
      <c r="R107" s="133"/>
      <c r="S107" s="173">
        <f>+(S101*S113)*(Q107/Q112)</f>
        <v>-0.31123198001614111</v>
      </c>
      <c r="T107" s="173">
        <f>+(T101*T113)*(S107/S112)</f>
        <v>-0.23820420692670533</v>
      </c>
      <c r="U107" s="173">
        <f>+(U101*U113)*(T107/T112)</f>
        <v>-0.28244183508913268</v>
      </c>
      <c r="V107" s="173">
        <f>+(V101*V113)*(U107/U112)</f>
        <v>-0.28678662023821838</v>
      </c>
      <c r="W107" s="133"/>
      <c r="X107" s="173">
        <f>+(X101*X113)*(V107/V112)</f>
        <v>-0.33642596145255288</v>
      </c>
      <c r="Y107" s="173">
        <f>+(Y101*Y113)*(X107/X112)</f>
        <v>-0.2553815122740708</v>
      </c>
      <c r="Z107" s="173">
        <f>+(Z101*Z113)*(Y107/Y112)</f>
        <v>-0.30288800637397606</v>
      </c>
      <c r="AA107" s="173">
        <f>+(AA101*AA113)*(Z107/Z112)</f>
        <v>-0.30697067171784714</v>
      </c>
      <c r="AB107" s="133"/>
      <c r="AC107" s="173">
        <f>+(AC101*AC113)*(AA107/AA112)</f>
        <v>-0.36043164444856868</v>
      </c>
      <c r="AD107" s="173">
        <f>+(AD101*AD113)*(AC107/AC112)</f>
        <v>-0.2724306874111489</v>
      </c>
      <c r="AE107" s="173">
        <f>+(AE101*AE113)*(AD107/AD112)</f>
        <v>-0.32379719969724474</v>
      </c>
      <c r="AF107" s="173">
        <f>+(AF101*AF113)*(AE107/AE112)</f>
        <v>-0.32829370991222206</v>
      </c>
      <c r="AG107" s="133"/>
      <c r="AH107" s="173">
        <f>+(AH101*AH113)*(AF107/AF112)</f>
        <v>-0.38942742302666611</v>
      </c>
      <c r="AI107" s="173">
        <f>+(AI101*AI113)*(AH107/AH112)</f>
        <v>-0.29341291180042428</v>
      </c>
      <c r="AJ107" s="173">
        <f>+(AJ101*AJ113)*(AI107/AI112)</f>
        <v>-0.35011167825356904</v>
      </c>
      <c r="AK107" s="173">
        <f>+(AK101*AK113)*(AJ107/AJ112)</f>
        <v>-0.35567138625813177</v>
      </c>
      <c r="AL107" s="133"/>
    </row>
    <row r="108" spans="1:38" outlineLevel="1" x14ac:dyDescent="0.25">
      <c r="A108" s="166"/>
      <c r="B108" s="99" t="s">
        <v>267</v>
      </c>
      <c r="C108" s="30"/>
      <c r="D108" s="171">
        <f>SUM(D102:D107)</f>
        <v>1300.4000000000001</v>
      </c>
      <c r="E108" s="171">
        <f>SUM(E102:E107)</f>
        <v>1349.7</v>
      </c>
      <c r="F108" s="171">
        <f>SUM(F102:F107)</f>
        <v>1342.3000000000002</v>
      </c>
      <c r="G108" s="171">
        <f>SUM(G102:G107)</f>
        <v>1336.2000000000003</v>
      </c>
      <c r="H108" s="249"/>
      <c r="I108" s="171">
        <f>SUM(I102:I107)</f>
        <v>1326.1</v>
      </c>
      <c r="J108" s="171">
        <f>SUM(J102:J107)</f>
        <v>1174.8</v>
      </c>
      <c r="K108" s="171">
        <f>SUM(K102:K107)</f>
        <v>1052.9999999999998</v>
      </c>
      <c r="L108" s="171">
        <f>SUM(L102:L107)</f>
        <v>1325.4118407877922</v>
      </c>
      <c r="M108" s="187"/>
      <c r="N108" s="171">
        <f>SUM(N102:N107)</f>
        <v>1453.8582950190869</v>
      </c>
      <c r="O108" s="171">
        <f>SUM(O102:O107)</f>
        <v>1151.7268949199708</v>
      </c>
      <c r="P108" s="171">
        <f>SUM(P102:P107)</f>
        <v>1339.1080878927855</v>
      </c>
      <c r="Q108" s="171">
        <f>SUM(Q102:Q107)</f>
        <v>1366.6173567169299</v>
      </c>
      <c r="R108" s="11"/>
      <c r="S108" s="171">
        <f>SUM(S102:S107)</f>
        <v>1575.412805600562</v>
      </c>
      <c r="T108" s="171">
        <f>SUM(T102:T107)</f>
        <v>1239.7747023371414</v>
      </c>
      <c r="U108" s="171">
        <f>SUM(U102:U107)</f>
        <v>1445.0354662184509</v>
      </c>
      <c r="V108" s="171">
        <f>SUM(V102:V107)</f>
        <v>1466.2712613963674</v>
      </c>
      <c r="W108" s="11"/>
      <c r="X108" s="171">
        <f>SUM(X102:X107)</f>
        <v>1697.053018795757</v>
      </c>
      <c r="Y108" s="171">
        <f>SUM(Y102:Y107)</f>
        <v>1324.548412450398</v>
      </c>
      <c r="Z108" s="171">
        <f>SUM(Z102:Z107)</f>
        <v>1545.0223370135766</v>
      </c>
      <c r="AA108" s="171">
        <f>SUM(AA102:AA107)</f>
        <v>1565.231156031173</v>
      </c>
      <c r="AB108" s="11"/>
      <c r="AC108" s="171">
        <f>SUM(AC102:AC107)</f>
        <v>1813.7995632635552</v>
      </c>
      <c r="AD108" s="171">
        <f>SUM(AD102:AD107)</f>
        <v>1409.4295218351567</v>
      </c>
      <c r="AE108" s="171">
        <f>SUM(AE102:AE107)</f>
        <v>1647.8834039332858</v>
      </c>
      <c r="AF108" s="171">
        <f>SUM(AF102:AF107)</f>
        <v>1670.2318579669277</v>
      </c>
      <c r="AG108" s="11"/>
      <c r="AH108" s="171">
        <f>SUM(AH102:AH107)</f>
        <v>1954.4342327104698</v>
      </c>
      <c r="AI108" s="171">
        <f>SUM(AI102:AI107)</f>
        <v>1513.2679722706166</v>
      </c>
      <c r="AJ108" s="171">
        <f>SUM(AJ102:AJ107)</f>
        <v>1776.4508563548522</v>
      </c>
      <c r="AK108" s="171">
        <f>SUM(AK102:AK107)</f>
        <v>1803.9015008995773</v>
      </c>
      <c r="AL108" s="11"/>
    </row>
    <row r="109" spans="1:38" ht="17.25" outlineLevel="1" x14ac:dyDescent="0.4">
      <c r="A109" s="166"/>
      <c r="B109" s="36" t="s">
        <v>111</v>
      </c>
      <c r="C109" s="27"/>
      <c r="D109" s="203">
        <v>26.4</v>
      </c>
      <c r="E109" s="172">
        <v>22.1</v>
      </c>
      <c r="F109" s="172">
        <v>27.2</v>
      </c>
      <c r="G109" s="172">
        <v>26.8</v>
      </c>
      <c r="H109" s="246"/>
      <c r="I109" s="172">
        <v>30.9</v>
      </c>
      <c r="J109" s="172">
        <v>24.8</v>
      </c>
      <c r="K109" s="172">
        <v>17.399999999999999</v>
      </c>
      <c r="L109" s="330">
        <f>+AVERAGE(G109,K109,I109,J109)</f>
        <v>24.974999999999998</v>
      </c>
      <c r="M109" s="351"/>
      <c r="N109" s="330">
        <f>+AVERAGE(I109,J109,K109,L109)</f>
        <v>24.518749999999997</v>
      </c>
      <c r="O109" s="330">
        <f>+AVERAGE(J109,K109,L109,N109)</f>
        <v>22.923437499999999</v>
      </c>
      <c r="P109" s="330">
        <f>+AVERAGE(K109,L109,O109,N109)</f>
        <v>22.454296875000001</v>
      </c>
      <c r="Q109" s="330">
        <f>+AVERAGE(L109,P109,N109,O109)</f>
        <v>23.717871093749999</v>
      </c>
      <c r="R109" s="383"/>
      <c r="S109" s="330">
        <f>+AVERAGE(N109,O109,P109,Q109)</f>
        <v>23.403588867187501</v>
      </c>
      <c r="T109" s="330">
        <f>+AVERAGE(O109,P109,Q109,S109)</f>
        <v>23.124798583984372</v>
      </c>
      <c r="U109" s="330">
        <f>+AVERAGE(P109,Q109,T109,S109)</f>
        <v>23.175138854980467</v>
      </c>
      <c r="V109" s="330">
        <f>+AVERAGE(Q109,U109,S109,T109)</f>
        <v>23.355349349975587</v>
      </c>
      <c r="W109" s="383"/>
      <c r="X109" s="330">
        <f>+AVERAGE(S109,T109,U109,V109)</f>
        <v>23.264718914031981</v>
      </c>
      <c r="Y109" s="330">
        <f>+AVERAGE(T109,U109,V109,X109)</f>
        <v>23.230001425743104</v>
      </c>
      <c r="Z109" s="330">
        <f>+AVERAGE(U109,V109,Y109,X109)</f>
        <v>23.256302136182789</v>
      </c>
      <c r="AA109" s="330">
        <f>+AVERAGE(V109,Z109,X109,Y109)</f>
        <v>23.276592956483363</v>
      </c>
      <c r="AB109" s="383"/>
      <c r="AC109" s="330">
        <f>+AVERAGE(X109,Y109,Z109,AA109)</f>
        <v>23.256903858110313</v>
      </c>
      <c r="AD109" s="330">
        <f>+AVERAGE(Y109,Z109,AA109,AC109)</f>
        <v>23.254950094129896</v>
      </c>
      <c r="AE109" s="330">
        <f>+AVERAGE(Z109,AA109,AD109,AC109)</f>
        <v>23.261187261226588</v>
      </c>
      <c r="AF109" s="330">
        <f>+AVERAGE(AA109,AE109,AC109,AD109)</f>
        <v>23.262408542487542</v>
      </c>
      <c r="AG109" s="383"/>
      <c r="AH109" s="330">
        <f>+AVERAGE(AC109,AD109,AE109,AF109)</f>
        <v>23.258862438988587</v>
      </c>
      <c r="AI109" s="330">
        <f>+AVERAGE(AD109,AE109,AF109,AH109)</f>
        <v>23.259352084208153</v>
      </c>
      <c r="AJ109" s="330">
        <f>+AVERAGE(AE109,AF109,AI109,AH109)</f>
        <v>23.260452581727719</v>
      </c>
      <c r="AK109" s="330">
        <f>+AVERAGE(AF109,AJ109,AH109,AI109)</f>
        <v>23.260268911853004</v>
      </c>
      <c r="AL109" s="383"/>
    </row>
    <row r="110" spans="1:38" outlineLevel="1" x14ac:dyDescent="0.25">
      <c r="A110" s="166"/>
      <c r="B110" s="99" t="s">
        <v>268</v>
      </c>
      <c r="C110" s="89"/>
      <c r="D110" s="301">
        <f t="shared" ref="D110:J110" si="69">+D101-D108+D109</f>
        <v>229.99999999999991</v>
      </c>
      <c r="E110" s="301">
        <f t="shared" si="69"/>
        <v>201.80000000000004</v>
      </c>
      <c r="F110" s="301">
        <f t="shared" si="69"/>
        <v>270.19999999999976</v>
      </c>
      <c r="G110" s="301">
        <f t="shared" si="69"/>
        <v>262.69999999999987</v>
      </c>
      <c r="H110" s="251">
        <f>SUM(D110:G110)</f>
        <v>964.69999999999959</v>
      </c>
      <c r="I110" s="301">
        <f t="shared" si="69"/>
        <v>275.89999999999998</v>
      </c>
      <c r="J110" s="301">
        <f t="shared" si="69"/>
        <v>-15.400000000000045</v>
      </c>
      <c r="K110" s="301">
        <f>+K101-K108+K109</f>
        <v>-85.999999999999744</v>
      </c>
      <c r="L110" s="301">
        <f t="shared" ref="L110:Q110" si="70">+L101-L108+L109</f>
        <v>54.277158456764568</v>
      </c>
      <c r="M110" s="351">
        <f>SUM(I110:L110)</f>
        <v>228.77715845676477</v>
      </c>
      <c r="N110" s="301">
        <f t="shared" si="70"/>
        <v>221.68805193447048</v>
      </c>
      <c r="O110" s="301">
        <f t="shared" si="70"/>
        <v>175.79928914252937</v>
      </c>
      <c r="P110" s="301">
        <f t="shared" si="70"/>
        <v>188.76422704471457</v>
      </c>
      <c r="Q110" s="301">
        <f t="shared" si="70"/>
        <v>276.74675401921888</v>
      </c>
      <c r="R110" s="151">
        <f>SUM(N110:Q110)</f>
        <v>862.99832214093328</v>
      </c>
      <c r="S110" s="301">
        <f>+S101-S108+S109</f>
        <v>246.32806779739062</v>
      </c>
      <c r="T110" s="301">
        <f>+T101-T108+T109</f>
        <v>195.01541229645233</v>
      </c>
      <c r="U110" s="301">
        <f>+U101-U108+U109</f>
        <v>210.12390101092424</v>
      </c>
      <c r="V110" s="301">
        <f>+V101-V108+V109</f>
        <v>301.38823538935077</v>
      </c>
      <c r="W110" s="151">
        <f>SUM(S110:V110)</f>
        <v>952.85561649411784</v>
      </c>
      <c r="X110" s="301">
        <f>+X101-X108+X109</f>
        <v>270.12295863630709</v>
      </c>
      <c r="Y110" s="301">
        <f>+Y101-Y108+Y109</f>
        <v>212.14446139443848</v>
      </c>
      <c r="Z110" s="301">
        <f>+Z101-Z108+Z109</f>
        <v>228.35872695223685</v>
      </c>
      <c r="AA110" s="301">
        <f>+AA101-AA108+AA109</f>
        <v>325.11376589340091</v>
      </c>
      <c r="AB110" s="151">
        <f>SUM(X110:AA110)</f>
        <v>1035.7399128763832</v>
      </c>
      <c r="AC110" s="301">
        <f>+AC101-AC108+AC109</f>
        <v>292.07643617394143</v>
      </c>
      <c r="AD110" s="301">
        <f>+AD101-AD108+AD109</f>
        <v>228.32652128209648</v>
      </c>
      <c r="AE110" s="301">
        <f>+AE101-AE108+AE109</f>
        <v>246.31847782858367</v>
      </c>
      <c r="AF110" s="301">
        <f>+AF101-AF108+AF109</f>
        <v>349.7906480350951</v>
      </c>
      <c r="AG110" s="151">
        <f>SUM(AC110:AF110)</f>
        <v>1116.5120833197168</v>
      </c>
      <c r="AH110" s="301">
        <f>+AH101-AH108+AH109</f>
        <v>318.98495840447424</v>
      </c>
      <c r="AI110" s="301">
        <f>+AI101-AI108+AI109</f>
        <v>248.83905263085018</v>
      </c>
      <c r="AJ110" s="301">
        <f>+AJ101-AJ108+AJ109</f>
        <v>269.79863713577913</v>
      </c>
      <c r="AK110" s="301">
        <f>+AK101-AK108+AK109</f>
        <v>382.63637719413714</v>
      </c>
      <c r="AL110" s="151">
        <f>SUM(AH110:AK110)</f>
        <v>1220.2590253652406</v>
      </c>
    </row>
    <row r="111" spans="1:38" outlineLevel="1" x14ac:dyDescent="0.25">
      <c r="A111" s="166"/>
      <c r="B111" s="99" t="s">
        <v>269</v>
      </c>
      <c r="C111" s="89"/>
      <c r="D111" s="302">
        <f>+D110/D101</f>
        <v>0.15292553191489355</v>
      </c>
      <c r="E111" s="302">
        <f>+E110/E101</f>
        <v>0.1319471688243756</v>
      </c>
      <c r="F111" s="302">
        <f>+F110/F101</f>
        <v>0.17044092600769556</v>
      </c>
      <c r="G111" s="302">
        <f>+G110/G101</f>
        <v>0.16710132943196987</v>
      </c>
      <c r="H111" s="252">
        <f>H110/H101</f>
        <v>0.15582800284292814</v>
      </c>
      <c r="I111" s="302">
        <f>+I110/I101</f>
        <v>0.17560944561135511</v>
      </c>
      <c r="J111" s="302">
        <f>+J110/J101</f>
        <v>-1.3573065397496956E-2</v>
      </c>
      <c r="K111" s="302">
        <f>+K110/K101</f>
        <v>-9.0564448188710761E-2</v>
      </c>
      <c r="L111" s="302">
        <f>+L110/L101</f>
        <v>4.0065400141307835E-2</v>
      </c>
      <c r="M111" s="352">
        <f>M110/M101</f>
        <v>4.5663975887345089E-2</v>
      </c>
      <c r="N111" s="302">
        <f>+N110/N101</f>
        <v>0.13427277190491835</v>
      </c>
      <c r="O111" s="302">
        <f>+O110/O101</f>
        <v>0.13475311899023912</v>
      </c>
      <c r="P111" s="302">
        <f>+P110/P101</f>
        <v>0.12538990817159046</v>
      </c>
      <c r="Q111" s="302">
        <f>+Q110/Q101</f>
        <v>0.17086864232792076</v>
      </c>
      <c r="R111" s="377">
        <f>R110/R101</f>
        <v>0.14192429956400868</v>
      </c>
      <c r="S111" s="302">
        <f>+S110/S101</f>
        <v>0.13697545500296085</v>
      </c>
      <c r="T111" s="302">
        <f>+T110/T101</f>
        <v>0.13814564265287865</v>
      </c>
      <c r="U111" s="302">
        <f>+U110/U101</f>
        <v>0.1287536345986792</v>
      </c>
      <c r="V111" s="302">
        <f>+V110/V101</f>
        <v>0.17278422219680781</v>
      </c>
      <c r="W111" s="377">
        <f>W110/W101</f>
        <v>0.14467256607850504</v>
      </c>
      <c r="X111" s="302">
        <f>+X110/X101</f>
        <v>0.13895848251953594</v>
      </c>
      <c r="Y111" s="302">
        <f>+Y110/Y101</f>
        <v>0.14017156632019018</v>
      </c>
      <c r="Z111" s="302">
        <f>+Z110/Z101</f>
        <v>0.13048139877382461</v>
      </c>
      <c r="AA111" s="302">
        <f>+AA110/AA101</f>
        <v>0.17413062010059799</v>
      </c>
      <c r="AB111" s="377">
        <f>AB110/AB101</f>
        <v>0.14640328947533782</v>
      </c>
      <c r="AC111" s="302">
        <f>+AC110/AC101</f>
        <v>0.14024477005608438</v>
      </c>
      <c r="AD111" s="302">
        <f>+AD110/AD101</f>
        <v>0.14142233924076156</v>
      </c>
      <c r="AE111" s="302">
        <f>+AE110/AE101</f>
        <v>0.13165488278308388</v>
      </c>
      <c r="AF111" s="302">
        <f>+AF110/AF101</f>
        <v>0.17517910563223466</v>
      </c>
      <c r="AG111" s="377">
        <f>AG110/AG101</f>
        <v>0.14759266427963352</v>
      </c>
      <c r="AH111" s="302">
        <f>+AH110/AH101</f>
        <v>0.14176099113442822</v>
      </c>
      <c r="AI111" s="302">
        <f>+AI110/AI101</f>
        <v>0.14310572255457221</v>
      </c>
      <c r="AJ111" s="302">
        <f>+AJ110/AJ101</f>
        <v>0.13336633648522483</v>
      </c>
      <c r="AK111" s="302">
        <f>+AK110/AK101</f>
        <v>0.17687807407152331</v>
      </c>
      <c r="AL111" s="377">
        <f>AL110/AL101</f>
        <v>0.14926214437686353</v>
      </c>
    </row>
    <row r="112" spans="1:38" s="127" customFormat="1" outlineLevel="1" x14ac:dyDescent="0.25">
      <c r="A112" s="182"/>
      <c r="B112" s="130" t="s">
        <v>139</v>
      </c>
      <c r="C112" s="128"/>
      <c r="D112" s="112">
        <f>+D108-D105</f>
        <v>1173.4000000000001</v>
      </c>
      <c r="E112" s="112">
        <f>+E108-E105</f>
        <v>1219.3</v>
      </c>
      <c r="F112" s="112">
        <f>+F108-F105</f>
        <v>1214.6000000000001</v>
      </c>
      <c r="G112" s="112">
        <f>+G108-G105</f>
        <v>1209.7000000000003</v>
      </c>
      <c r="H112" s="114"/>
      <c r="I112" s="112">
        <f t="shared" ref="I112:Q112" si="71">+I108-I105</f>
        <v>1199.5</v>
      </c>
      <c r="J112" s="112">
        <f t="shared" si="71"/>
        <v>1044.8</v>
      </c>
      <c r="K112" s="112">
        <f t="shared" si="71"/>
        <v>924.49999999999977</v>
      </c>
      <c r="L112" s="205">
        <f t="shared" si="71"/>
        <v>1192.1483193352103</v>
      </c>
      <c r="M112" s="254"/>
      <c r="N112" s="205">
        <f t="shared" si="71"/>
        <v>1320.8220775628463</v>
      </c>
      <c r="O112" s="205">
        <f t="shared" si="71"/>
        <v>1017.5901423187499</v>
      </c>
      <c r="P112" s="205">
        <f t="shared" si="71"/>
        <v>1204.3344144500002</v>
      </c>
      <c r="Q112" s="205">
        <f t="shared" si="71"/>
        <v>1230.931142128223</v>
      </c>
      <c r="R112" s="129"/>
      <c r="S112" s="205">
        <f>+S108-S105</f>
        <v>1438.6698276246123</v>
      </c>
      <c r="T112" s="205">
        <f>+T108-T105</f>
        <v>1101.0989465186954</v>
      </c>
      <c r="U112" s="205">
        <f>+U108-U105</f>
        <v>1305.5873826995157</v>
      </c>
      <c r="V112" s="205">
        <f>+V108-V105</f>
        <v>1325.6711520511644</v>
      </c>
      <c r="W112" s="129"/>
      <c r="X112" s="205">
        <f>+X108-X105</f>
        <v>1555.1290068144262</v>
      </c>
      <c r="Y112" s="205">
        <f>+Y108-Y105</f>
        <v>1180.5010404868924</v>
      </c>
      <c r="Z112" s="205">
        <f>+Z108-Z105</f>
        <v>1400.0998094637048</v>
      </c>
      <c r="AA112" s="205">
        <f>+AA108-AA105</f>
        <v>1418.9719300157487</v>
      </c>
      <c r="AB112" s="129"/>
      <c r="AC112" s="205">
        <f>+AC108-AC105</f>
        <v>1666.0952764635092</v>
      </c>
      <c r="AD112" s="205">
        <f>+AD108-AD105</f>
        <v>1259.3108525580362</v>
      </c>
      <c r="AE112" s="205">
        <f>+AE108-AE105</f>
        <v>1496.7525556005141</v>
      </c>
      <c r="AF112" s="205">
        <f>+AF108-AF105</f>
        <v>1517.5376740692468</v>
      </c>
      <c r="AG112" s="129"/>
      <c r="AH112" s="205">
        <f>+AH108-AH105</f>
        <v>1800.1282629407647</v>
      </c>
      <c r="AI112" s="205">
        <f>+AI108-AI105</f>
        <v>1356.3011847974615</v>
      </c>
      <c r="AJ112" s="205">
        <f>+AJ108-AJ105</f>
        <v>1618.3912327271232</v>
      </c>
      <c r="AK112" s="205">
        <f>+AK108-AK105</f>
        <v>1644.0909829782147</v>
      </c>
      <c r="AL112" s="129"/>
    </row>
    <row r="113" spans="1:38" s="127" customFormat="1" outlineLevel="1" x14ac:dyDescent="0.25">
      <c r="A113" s="182"/>
      <c r="B113" s="130" t="s">
        <v>140</v>
      </c>
      <c r="C113" s="128"/>
      <c r="D113" s="131">
        <f t="shared" ref="D113:K113" si="72">+D112/D101</f>
        <v>0.78018617021276604</v>
      </c>
      <c r="E113" s="131">
        <f t="shared" si="72"/>
        <v>0.79724074800575384</v>
      </c>
      <c r="F113" s="196">
        <f t="shared" si="72"/>
        <v>0.7661641329716774</v>
      </c>
      <c r="G113" s="196">
        <f t="shared" si="72"/>
        <v>0.7694803129571911</v>
      </c>
      <c r="H113" s="254"/>
      <c r="I113" s="196">
        <f t="shared" si="72"/>
        <v>0.76347781808923687</v>
      </c>
      <c r="J113" s="196">
        <f t="shared" si="72"/>
        <v>0.92085316411069984</v>
      </c>
      <c r="K113" s="196">
        <f t="shared" si="72"/>
        <v>0.97356781802864334</v>
      </c>
      <c r="L113" s="350">
        <v>0.88</v>
      </c>
      <c r="M113" s="254"/>
      <c r="N113" s="350">
        <v>0.8</v>
      </c>
      <c r="O113" s="350">
        <v>0.78</v>
      </c>
      <c r="P113" s="350">
        <v>0.8</v>
      </c>
      <c r="Q113" s="350">
        <v>0.76</v>
      </c>
      <c r="R113" s="129"/>
      <c r="S113" s="350">
        <v>0.8</v>
      </c>
      <c r="T113" s="350">
        <v>0.78</v>
      </c>
      <c r="U113" s="350">
        <v>0.8</v>
      </c>
      <c r="V113" s="350">
        <v>0.76</v>
      </c>
      <c r="W113" s="254"/>
      <c r="X113" s="350">
        <v>0.8</v>
      </c>
      <c r="Y113" s="350">
        <v>0.78</v>
      </c>
      <c r="Z113" s="350">
        <v>0.8</v>
      </c>
      <c r="AA113" s="350">
        <v>0.76</v>
      </c>
      <c r="AB113" s="254"/>
      <c r="AC113" s="350">
        <v>0.8</v>
      </c>
      <c r="AD113" s="350">
        <v>0.78</v>
      </c>
      <c r="AE113" s="350">
        <v>0.8</v>
      </c>
      <c r="AF113" s="350">
        <v>0.76</v>
      </c>
      <c r="AG113" s="254"/>
      <c r="AH113" s="350">
        <v>0.8</v>
      </c>
      <c r="AI113" s="350">
        <v>0.78</v>
      </c>
      <c r="AJ113" s="350">
        <v>0.8</v>
      </c>
      <c r="AK113" s="350">
        <v>0.76</v>
      </c>
      <c r="AL113" s="254"/>
    </row>
    <row r="114" spans="1:38" ht="18" x14ac:dyDescent="0.4">
      <c r="A114" s="166"/>
      <c r="B114" s="448" t="s">
        <v>141</v>
      </c>
      <c r="C114" s="467"/>
      <c r="D114" s="23" t="s">
        <v>72</v>
      </c>
      <c r="E114" s="23" t="s">
        <v>211</v>
      </c>
      <c r="F114" s="23" t="s">
        <v>215</v>
      </c>
      <c r="G114" s="23" t="s">
        <v>225</v>
      </c>
      <c r="H114" s="77" t="s">
        <v>226</v>
      </c>
      <c r="I114" s="23" t="s">
        <v>227</v>
      </c>
      <c r="J114" s="23" t="s">
        <v>228</v>
      </c>
      <c r="K114" s="23" t="s">
        <v>229</v>
      </c>
      <c r="L114" s="21" t="s">
        <v>90</v>
      </c>
      <c r="M114" s="79" t="s">
        <v>91</v>
      </c>
      <c r="N114" s="21" t="s">
        <v>92</v>
      </c>
      <c r="O114" s="21" t="s">
        <v>93</v>
      </c>
      <c r="P114" s="21" t="s">
        <v>94</v>
      </c>
      <c r="Q114" s="21" t="s">
        <v>95</v>
      </c>
      <c r="R114" s="79" t="s">
        <v>96</v>
      </c>
      <c r="S114" s="21" t="s">
        <v>97</v>
      </c>
      <c r="T114" s="21" t="s">
        <v>98</v>
      </c>
      <c r="U114" s="21" t="s">
        <v>99</v>
      </c>
      <c r="V114" s="21" t="s">
        <v>100</v>
      </c>
      <c r="W114" s="79" t="s">
        <v>101</v>
      </c>
      <c r="X114" s="21" t="s">
        <v>102</v>
      </c>
      <c r="Y114" s="21" t="s">
        <v>103</v>
      </c>
      <c r="Z114" s="21" t="s">
        <v>104</v>
      </c>
      <c r="AA114" s="21" t="s">
        <v>105</v>
      </c>
      <c r="AB114" s="79" t="s">
        <v>106</v>
      </c>
      <c r="AC114" s="21" t="s">
        <v>220</v>
      </c>
      <c r="AD114" s="21" t="s">
        <v>221</v>
      </c>
      <c r="AE114" s="21" t="s">
        <v>222</v>
      </c>
      <c r="AF114" s="21" t="s">
        <v>223</v>
      </c>
      <c r="AG114" s="79" t="s">
        <v>224</v>
      </c>
      <c r="AH114" s="21" t="s">
        <v>253</v>
      </c>
      <c r="AI114" s="21" t="s">
        <v>254</v>
      </c>
      <c r="AJ114" s="21" t="s">
        <v>255</v>
      </c>
      <c r="AK114" s="21" t="s">
        <v>256</v>
      </c>
      <c r="AL114" s="79" t="s">
        <v>257</v>
      </c>
    </row>
    <row r="115" spans="1:38" s="13" customFormat="1" outlineLevel="1" x14ac:dyDescent="0.25">
      <c r="A115" s="181"/>
      <c r="B115" s="459" t="s">
        <v>270</v>
      </c>
      <c r="C115" s="460"/>
      <c r="D115" s="103">
        <v>504.6</v>
      </c>
      <c r="E115" s="103">
        <v>446.6</v>
      </c>
      <c r="F115" s="171">
        <v>533.29999999999995</v>
      </c>
      <c r="G115" s="103">
        <v>508.1</v>
      </c>
      <c r="H115" s="50">
        <f>SUM(D115:G115)</f>
        <v>1992.6</v>
      </c>
      <c r="I115" s="103">
        <v>494.6</v>
      </c>
      <c r="J115" s="103">
        <v>519.1</v>
      </c>
      <c r="K115" s="103">
        <v>447.3</v>
      </c>
      <c r="L115" s="171">
        <f>G115*(1+L116)</f>
        <v>442.04700000000003</v>
      </c>
      <c r="M115" s="50">
        <f>SUM(I115:L115)</f>
        <v>1903.047</v>
      </c>
      <c r="N115" s="171">
        <f>I115*(1+N116)</f>
        <v>568.79</v>
      </c>
      <c r="O115" s="171">
        <f>J115*(1+O116)</f>
        <v>565.81900000000007</v>
      </c>
      <c r="P115" s="171">
        <f>K115*(1+P116)</f>
        <v>474.13800000000003</v>
      </c>
      <c r="Q115" s="171">
        <f>L115*(1+Q116)</f>
        <v>464.14935000000003</v>
      </c>
      <c r="R115" s="50">
        <f>SUM(N115:Q115)</f>
        <v>2072.89635</v>
      </c>
      <c r="S115" s="171">
        <f>N115*(1+S116)</f>
        <v>597.22950000000003</v>
      </c>
      <c r="T115" s="171">
        <f>O115*(1+T116)</f>
        <v>594.10995000000014</v>
      </c>
      <c r="U115" s="171">
        <f>P115*(1+U116)</f>
        <v>497.84490000000005</v>
      </c>
      <c r="V115" s="171">
        <f>Q115*(1+V116)</f>
        <v>487.35681750000003</v>
      </c>
      <c r="W115" s="50">
        <f>SUM(S115:V115)</f>
        <v>2176.5411675000005</v>
      </c>
      <c r="X115" s="171">
        <f>S115*(1+X116)</f>
        <v>627.09097500000007</v>
      </c>
      <c r="Y115" s="171">
        <f>T115*(1+Y116)</f>
        <v>623.81544750000012</v>
      </c>
      <c r="Z115" s="171">
        <f>U115*(1+Z116)</f>
        <v>522.73714500000006</v>
      </c>
      <c r="AA115" s="171">
        <f>V115*(1+AA116)</f>
        <v>511.72465837500005</v>
      </c>
      <c r="AB115" s="50">
        <f>SUM(X115:AA115)</f>
        <v>2285.3682258750005</v>
      </c>
      <c r="AC115" s="171">
        <f>X115*(1+AC116)</f>
        <v>658.44552375000012</v>
      </c>
      <c r="AD115" s="171">
        <f>Y115*(1+AD116)</f>
        <v>655.00621987500017</v>
      </c>
      <c r="AE115" s="171">
        <f>Z115*(1+AE116)</f>
        <v>548.8740022500001</v>
      </c>
      <c r="AF115" s="171">
        <f>AA115*(1+AF116)</f>
        <v>537.31089129375005</v>
      </c>
      <c r="AG115" s="50">
        <f>SUM(AC115:AF115)</f>
        <v>2399.6366371687504</v>
      </c>
      <c r="AH115" s="171">
        <f>AC115*(1+AH116)</f>
        <v>691.36779993750019</v>
      </c>
      <c r="AI115" s="171">
        <f>AD115*(1+AI116)</f>
        <v>687.75653086875025</v>
      </c>
      <c r="AJ115" s="171">
        <f>AE115*(1+AJ116)</f>
        <v>576.31770236250009</v>
      </c>
      <c r="AK115" s="171">
        <f>AF115*(1+AK116)</f>
        <v>564.17643585843757</v>
      </c>
      <c r="AL115" s="50">
        <f>SUM(AH115:AK115)</f>
        <v>2519.618469027188</v>
      </c>
    </row>
    <row r="116" spans="1:38" outlineLevel="1" x14ac:dyDescent="0.25">
      <c r="A116" s="166"/>
      <c r="B116" s="430" t="s">
        <v>148</v>
      </c>
      <c r="C116" s="124"/>
      <c r="D116" s="204"/>
      <c r="E116" s="204"/>
      <c r="F116" s="204"/>
      <c r="G116" s="204"/>
      <c r="H116" s="107"/>
      <c r="I116" s="204">
        <f>I115/D115-1</f>
        <v>-1.9817677368212494E-2</v>
      </c>
      <c r="J116" s="204">
        <f>J115/E115-1</f>
        <v>0.16233766233766223</v>
      </c>
      <c r="K116" s="204">
        <f>K115/F115-1</f>
        <v>-0.1612600787549221</v>
      </c>
      <c r="L116" s="432">
        <v>-0.13</v>
      </c>
      <c r="M116" s="387">
        <f>(M115/H115-1)</f>
        <v>-4.4942788316772009E-2</v>
      </c>
      <c r="N116" s="432">
        <v>0.15</v>
      </c>
      <c r="O116" s="432">
        <v>0.09</v>
      </c>
      <c r="P116" s="432">
        <v>0.06</v>
      </c>
      <c r="Q116" s="339">
        <v>0.05</v>
      </c>
      <c r="R116" s="107"/>
      <c r="S116" s="339">
        <v>0.05</v>
      </c>
      <c r="T116" s="339">
        <v>0.05</v>
      </c>
      <c r="U116" s="339">
        <v>0.05</v>
      </c>
      <c r="V116" s="339">
        <v>0.05</v>
      </c>
      <c r="W116" s="107"/>
      <c r="X116" s="339">
        <v>0.05</v>
      </c>
      <c r="Y116" s="339">
        <v>0.05</v>
      </c>
      <c r="Z116" s="339">
        <v>0.05</v>
      </c>
      <c r="AA116" s="339">
        <v>0.05</v>
      </c>
      <c r="AB116" s="107"/>
      <c r="AC116" s="339">
        <v>0.05</v>
      </c>
      <c r="AD116" s="339">
        <v>0.05</v>
      </c>
      <c r="AE116" s="339">
        <v>0.05</v>
      </c>
      <c r="AF116" s="339">
        <v>0.05</v>
      </c>
      <c r="AG116" s="107"/>
      <c r="AH116" s="339">
        <v>0.05</v>
      </c>
      <c r="AI116" s="339">
        <v>0.05</v>
      </c>
      <c r="AJ116" s="339">
        <v>0.05</v>
      </c>
      <c r="AK116" s="339">
        <v>0.05</v>
      </c>
      <c r="AL116" s="107"/>
    </row>
    <row r="117" spans="1:38" outlineLevel="1" x14ac:dyDescent="0.25">
      <c r="A117" s="166"/>
      <c r="B117" s="478" t="s">
        <v>230</v>
      </c>
      <c r="C117" s="479"/>
      <c r="D117" s="101">
        <v>348.4</v>
      </c>
      <c r="E117" s="101">
        <v>305.39999999999998</v>
      </c>
      <c r="F117" s="101">
        <v>377.1</v>
      </c>
      <c r="G117" s="101">
        <v>359.1</v>
      </c>
      <c r="H117" s="132"/>
      <c r="I117" s="101">
        <v>338.8</v>
      </c>
      <c r="J117" s="101">
        <v>351.6</v>
      </c>
      <c r="K117" s="101">
        <v>319.89999999999998</v>
      </c>
      <c r="L117" s="173">
        <f>(L115*L127)*(K117/K126)</f>
        <v>279.94654393258429</v>
      </c>
      <c r="M117" s="248"/>
      <c r="N117" s="173">
        <f>(N115*N127)*(L117/L126)</f>
        <v>355.34462902621721</v>
      </c>
      <c r="O117" s="173">
        <f>(O115*O127)*(N117/N126)</f>
        <v>353.48853294007495</v>
      </c>
      <c r="P117" s="173">
        <f>(P115*P127)*(O117/O126)</f>
        <v>304.32733988764051</v>
      </c>
      <c r="Q117" s="173">
        <f>(Q115*Q127)*(P117/P126)</f>
        <v>297.91608560393257</v>
      </c>
      <c r="R117" s="132"/>
      <c r="S117" s="173">
        <f>(S115*S127)*(Q117/Q126)</f>
        <v>373.11186047752813</v>
      </c>
      <c r="T117" s="173">
        <f>(T115*T127)*(S117/S126)</f>
        <v>371.16295958707872</v>
      </c>
      <c r="U117" s="173">
        <f>(U115*U127)*(T117/T126)</f>
        <v>319.54370688202243</v>
      </c>
      <c r="V117" s="173">
        <f>(V115*V127)*(U117/U126)</f>
        <v>312.81188988412924</v>
      </c>
      <c r="W117" s="132"/>
      <c r="X117" s="173">
        <f>(X115*X127)*(V117/V126)</f>
        <v>391.76745350140453</v>
      </c>
      <c r="Y117" s="173">
        <f>(Y115*Y127)*(X117/X126)</f>
        <v>389.72110756643269</v>
      </c>
      <c r="Z117" s="173">
        <f>(Z115*Z127)*(Y117/Y126)</f>
        <v>335.52089222612364</v>
      </c>
      <c r="AA117" s="173">
        <f>(AA115*AA127)*(Z117/Z126)</f>
        <v>328.45248437833573</v>
      </c>
      <c r="AB117" s="132"/>
      <c r="AC117" s="173">
        <f>(AC115*AC127)*(AA117/AA126)</f>
        <v>411.35582617647469</v>
      </c>
      <c r="AD117" s="173">
        <f>(AD115*AD127)*(AC117/AC126)</f>
        <v>409.20716294475432</v>
      </c>
      <c r="AE117" s="173">
        <f>(AE115*AE127)*(AD117/AD126)</f>
        <v>352.29693683742983</v>
      </c>
      <c r="AF117" s="173">
        <f>(AF115*AF127)*(AE117/AE126)</f>
        <v>344.87510859725251</v>
      </c>
      <c r="AG117" s="132"/>
      <c r="AH117" s="173">
        <f>(AH115*AH127)*(AF117/AF126)</f>
        <v>431.92361748529862</v>
      </c>
      <c r="AI117" s="173">
        <f>(AI115*AI127)*(AH117/AH126)</f>
        <v>429.66752109199206</v>
      </c>
      <c r="AJ117" s="173">
        <f>(AJ115*AJ127)*(AI117/AI126)</f>
        <v>369.91178367930132</v>
      </c>
      <c r="AK117" s="173">
        <f>(AK115*AK127)*(AJ117/AJ126)</f>
        <v>362.11886402711514</v>
      </c>
      <c r="AL117" s="132"/>
    </row>
    <row r="118" spans="1:38" outlineLevel="1" x14ac:dyDescent="0.25">
      <c r="A118" s="166"/>
      <c r="B118" s="36" t="s">
        <v>108</v>
      </c>
      <c r="C118" s="27"/>
      <c r="D118" s="101">
        <v>18.600000000000001</v>
      </c>
      <c r="E118" s="101">
        <v>17.100000000000001</v>
      </c>
      <c r="F118" s="101">
        <v>20.2</v>
      </c>
      <c r="G118" s="101">
        <v>20.3</v>
      </c>
      <c r="H118" s="102"/>
      <c r="I118" s="101">
        <v>20.6</v>
      </c>
      <c r="J118" s="101">
        <v>17.7</v>
      </c>
      <c r="K118" s="101">
        <v>51.4</v>
      </c>
      <c r="L118" s="173">
        <f>(L115*L127)*(K118/K126)</f>
        <v>44.98047001605137</v>
      </c>
      <c r="M118" s="186"/>
      <c r="N118" s="173">
        <f>(N115*N127)*(L118/L126)</f>
        <v>57.095073247726056</v>
      </c>
      <c r="O118" s="173">
        <f>(O115*O127)*(N118/N126)</f>
        <v>56.796844617442488</v>
      </c>
      <c r="P118" s="173">
        <f>(P115*P127)*(O118/O126)</f>
        <v>48.897859550561805</v>
      </c>
      <c r="Q118" s="173">
        <f>(Q115*Q127)*(P118/P126)</f>
        <v>47.867729915730337</v>
      </c>
      <c r="R118" s="102"/>
      <c r="S118" s="173">
        <f>(S115*S127)*(Q118/Q126)</f>
        <v>59.949826910112371</v>
      </c>
      <c r="T118" s="173">
        <f>(T115*T127)*(S118/S126)</f>
        <v>59.636686848314632</v>
      </c>
      <c r="U118" s="173">
        <f>(U115*U127)*(T118/T126)</f>
        <v>51.342752528089903</v>
      </c>
      <c r="V118" s="173">
        <f>(V115*V127)*(U118/U126)</f>
        <v>50.261116411516873</v>
      </c>
      <c r="W118" s="102"/>
      <c r="X118" s="173">
        <f>(X115*X127)*(V118/V126)</f>
        <v>62.947318255618001</v>
      </c>
      <c r="Y118" s="173">
        <f>(Y115*Y127)*(X118/X126)</f>
        <v>62.61852119073037</v>
      </c>
      <c r="Z118" s="173">
        <f>(Z115*Z127)*(Y118/Y126)</f>
        <v>53.909890154494406</v>
      </c>
      <c r="AA118" s="173">
        <f>(AA115*AA127)*(Z118/Z126)</f>
        <v>52.774172232092724</v>
      </c>
      <c r="AB118" s="102"/>
      <c r="AC118" s="173">
        <f>(AC115*AC127)*(AA118/AA126)</f>
        <v>66.094684168398899</v>
      </c>
      <c r="AD118" s="173">
        <f>(AD115*AD127)*(AC118/AC126)</f>
        <v>65.749447250266897</v>
      </c>
      <c r="AE118" s="173">
        <f>(AE115*AE127)*(AD118/AD126)</f>
        <v>56.60538466221913</v>
      </c>
      <c r="AF118" s="173">
        <f>(AF115*AF127)*(AE118/AE126)</f>
        <v>55.412880843697359</v>
      </c>
      <c r="AG118" s="102"/>
      <c r="AH118" s="173">
        <f>(AH115*AH127)*(AF118/AF126)</f>
        <v>69.399418376818858</v>
      </c>
      <c r="AI118" s="173">
        <f>(AI115*AI127)*(AH118/AH126)</f>
        <v>69.036919612780224</v>
      </c>
      <c r="AJ118" s="173">
        <f>(AJ115*AJ127)*(AI118/AI126)</f>
        <v>59.435653895330063</v>
      </c>
      <c r="AK118" s="173">
        <f>(AK115*AK127)*(AJ118/AJ126)</f>
        <v>58.1835248858822</v>
      </c>
      <c r="AL118" s="102"/>
    </row>
    <row r="119" spans="1:38" outlineLevel="1" x14ac:dyDescent="0.25">
      <c r="A119" s="166"/>
      <c r="B119" s="36" t="s">
        <v>109</v>
      </c>
      <c r="C119" s="27"/>
      <c r="D119" s="125">
        <v>0</v>
      </c>
      <c r="E119" s="125">
        <v>12.3</v>
      </c>
      <c r="F119" s="125">
        <v>0.2</v>
      </c>
      <c r="G119" s="125">
        <v>0.3</v>
      </c>
      <c r="H119" s="11"/>
      <c r="I119" s="125">
        <v>0.3</v>
      </c>
      <c r="J119" s="125">
        <v>0.3</v>
      </c>
      <c r="K119" s="125">
        <v>0.3</v>
      </c>
      <c r="L119" s="330">
        <f>L242*(K119/(K72+K105+K119+K133))</f>
        <v>0.31112106175700049</v>
      </c>
      <c r="M119" s="351"/>
      <c r="N119" s="330">
        <f>N242*(L119/(L72+L105+L119+L133))</f>
        <v>0.31059039094842156</v>
      </c>
      <c r="O119" s="330">
        <f>O242*(N119/(N72+N105+N119+N133))</f>
        <v>0.31315973369934824</v>
      </c>
      <c r="P119" s="330">
        <f>P242*(O119/(O72+O105+O119+O133))</f>
        <v>0.31464670842673625</v>
      </c>
      <c r="Q119" s="330">
        <f>Q242*(P119/(P72+P105+P119+P133))</f>
        <v>0.31677715468180595</v>
      </c>
      <c r="R119" s="11"/>
      <c r="S119" s="330">
        <f>S242*(Q119/(Q72+Q105+Q119+Q133))</f>
        <v>0.31924430655863772</v>
      </c>
      <c r="T119" s="330">
        <f>T242*(S119/(S72+S105+S119+S133))</f>
        <v>0.32375662836991287</v>
      </c>
      <c r="U119" s="330">
        <f>U242*(T119/(T72+T105+T119+T133))</f>
        <v>0.32555972805977074</v>
      </c>
      <c r="V119" s="330">
        <f>V242*(U119/(U72+U105+U119+U133))</f>
        <v>0.32824928251798363</v>
      </c>
      <c r="W119" s="11"/>
      <c r="X119" s="330">
        <f>X242*(V119/(V72+V105+V119+V133))</f>
        <v>0.33134010579299028</v>
      </c>
      <c r="Y119" s="330">
        <f>Y242*(X119/(X72+X105+X119+X133))</f>
        <v>0.33629736645176384</v>
      </c>
      <c r="Z119" s="330">
        <f>Z242*(Y119/(Y72+Y105+Y119+Y133))</f>
        <v>0.33834053124483665</v>
      </c>
      <c r="AA119" s="330">
        <f>AA242*(Z119/(Z72+Z105+Z119+Z133))</f>
        <v>0.34146122805157414</v>
      </c>
      <c r="AB119" s="11"/>
      <c r="AC119" s="330">
        <f>AC242*(AA119/(AA72+AA105+AA119+AA133))</f>
        <v>0.34483491081722806</v>
      </c>
      <c r="AD119" s="330">
        <f>AD242*(AC119/(AC72+AC105+AC119+AC133))</f>
        <v>0.3504716014251838</v>
      </c>
      <c r="AE119" s="330">
        <f>AE242*(AD119/(AD72+AD105+AD119+AD133))</f>
        <v>0.35283466536833824</v>
      </c>
      <c r="AF119" s="330">
        <f>AF242*(AE119/(AE72+AE105+AE119+AE133))</f>
        <v>0.35648447602571387</v>
      </c>
      <c r="AG119" s="11"/>
      <c r="AH119" s="330">
        <f>AH242*(AF119/(AF72+AF105+AF119+AF133))</f>
        <v>0.36024740024055674</v>
      </c>
      <c r="AI119" s="330">
        <f>AI242*(AH119/(AH72+AH105+AH119+AH133))</f>
        <v>0.36645942600736592</v>
      </c>
      <c r="AJ119" s="330">
        <f>AJ242*(AI119/(AI72+AI105+AI119+AI133))</f>
        <v>0.36901079446162438</v>
      </c>
      <c r="AK119" s="330">
        <f>AK242*(AJ119/(AJ72+AJ105+AJ119+AJ133))</f>
        <v>0.37309848541952334</v>
      </c>
      <c r="AL119" s="11"/>
    </row>
    <row r="120" spans="1:38" outlineLevel="1" x14ac:dyDescent="0.25">
      <c r="A120" s="166"/>
      <c r="B120" s="36" t="s">
        <v>110</v>
      </c>
      <c r="C120" s="27"/>
      <c r="D120" s="101">
        <v>3.2</v>
      </c>
      <c r="E120" s="101">
        <v>3.1</v>
      </c>
      <c r="F120" s="101">
        <v>2.7</v>
      </c>
      <c r="G120" s="101">
        <v>2.6</v>
      </c>
      <c r="H120" s="102"/>
      <c r="I120" s="101">
        <v>2.4</v>
      </c>
      <c r="J120" s="101">
        <v>3</v>
      </c>
      <c r="K120" s="101">
        <v>2.5</v>
      </c>
      <c r="L120" s="173">
        <f>(L115*L127)*(K120/K126)</f>
        <v>2.1877660513643664</v>
      </c>
      <c r="M120" s="186"/>
      <c r="N120" s="173">
        <f>(N115*N127)*(L120/L126)</f>
        <v>2.7769977260567154</v>
      </c>
      <c r="O120" s="173">
        <f>(O115*O127)*(N120/N126)</f>
        <v>2.7624924424826118</v>
      </c>
      <c r="P120" s="173">
        <f>(P115*P127)*(O120/O126)</f>
        <v>2.3783005617977535</v>
      </c>
      <c r="Q120" s="173">
        <f>(Q115*Q127)*(P120/P126)</f>
        <v>2.3281969803370788</v>
      </c>
      <c r="R120" s="102"/>
      <c r="S120" s="173">
        <f>(S115*S127)*(Q120/Q126)</f>
        <v>2.9158476123595514</v>
      </c>
      <c r="T120" s="173">
        <f>(T115*T127)*(S120/S126)</f>
        <v>2.9006170646067426</v>
      </c>
      <c r="U120" s="173">
        <f>(U115*U127)*(T120/T126)</f>
        <v>2.4972155898876411</v>
      </c>
      <c r="V120" s="173">
        <f>(V115*V127)*(U120/U126)</f>
        <v>2.4446068293539338</v>
      </c>
      <c r="W120" s="102"/>
      <c r="X120" s="173">
        <f>(X115*X127)*(V120/V126)</f>
        <v>3.0616399929775295</v>
      </c>
      <c r="Y120" s="173">
        <f>(Y115*Y127)*(X120/X126)</f>
        <v>3.0456479178370803</v>
      </c>
      <c r="Z120" s="173">
        <f>(Z115*Z127)*(Y120/Y126)</f>
        <v>2.6220763693820235</v>
      </c>
      <c r="AA120" s="173">
        <f>(AA115*AA127)*(Z120/Z126)</f>
        <v>2.5668371708216302</v>
      </c>
      <c r="AB120" s="102"/>
      <c r="AC120" s="173">
        <f>(AC115*AC127)*(AA120/AA126)</f>
        <v>3.2147219926264055</v>
      </c>
      <c r="AD120" s="173">
        <f>(AD115*AD127)*(AC120/AC126)</f>
        <v>3.1979303137289348</v>
      </c>
      <c r="AE120" s="173">
        <f>(AE115*AE127)*(AD120/AD126)</f>
        <v>2.7531801878511253</v>
      </c>
      <c r="AF120" s="173">
        <f>(AF115*AF127)*(AE120/AE126)</f>
        <v>2.6951790293627118</v>
      </c>
      <c r="AG120" s="102"/>
      <c r="AH120" s="173">
        <f>(AH115*AH127)*(AF120/AF126)</f>
        <v>3.3754580922577269</v>
      </c>
      <c r="AI120" s="173">
        <f>(AI115*AI127)*(AH120/AH126)</f>
        <v>3.357826829415381</v>
      </c>
      <c r="AJ120" s="173">
        <f>(AJ115*AJ127)*(AI120/AI126)</f>
        <v>2.8908391972436807</v>
      </c>
      <c r="AK120" s="173">
        <f>(AK115*AK127)*(AJ120/AJ126)</f>
        <v>2.8299379808308469</v>
      </c>
      <c r="AL120" s="102"/>
    </row>
    <row r="121" spans="1:38" ht="17.25" outlineLevel="1" x14ac:dyDescent="0.4">
      <c r="A121" s="166"/>
      <c r="B121" s="36" t="s">
        <v>118</v>
      </c>
      <c r="C121" s="27"/>
      <c r="D121" s="126">
        <v>0</v>
      </c>
      <c r="E121" s="126">
        <v>0</v>
      </c>
      <c r="F121" s="126">
        <v>0</v>
      </c>
      <c r="G121" s="126">
        <v>0</v>
      </c>
      <c r="H121" s="133"/>
      <c r="I121" s="126">
        <v>0</v>
      </c>
      <c r="J121" s="126">
        <v>0</v>
      </c>
      <c r="K121" s="126">
        <v>0</v>
      </c>
      <c r="L121" s="173">
        <f>(L115*L127)*(K121/K126)</f>
        <v>0</v>
      </c>
      <c r="M121" s="250"/>
      <c r="N121" s="173">
        <f>(N115*N127)*(L121/L126)</f>
        <v>0</v>
      </c>
      <c r="O121" s="173">
        <f>(O115*O127)*(N121/N126)</f>
        <v>0</v>
      </c>
      <c r="P121" s="173">
        <f>(P115*P127)*(O121/O126)</f>
        <v>0</v>
      </c>
      <c r="Q121" s="173">
        <f>(Q115*Q127)*(P121/P126)</f>
        <v>0</v>
      </c>
      <c r="R121" s="133"/>
      <c r="S121" s="173">
        <f>(S115*S127)*(Q121/Q126)</f>
        <v>0</v>
      </c>
      <c r="T121" s="173">
        <f>(T115*T127)*(S121/S126)</f>
        <v>0</v>
      </c>
      <c r="U121" s="173">
        <f>(U115*U127)*(T121/T126)</f>
        <v>0</v>
      </c>
      <c r="V121" s="173">
        <f>(V115*V127)*(U121/U126)</f>
        <v>0</v>
      </c>
      <c r="W121" s="133"/>
      <c r="X121" s="173">
        <f>(X115*X127)*(V121/V126)</f>
        <v>0</v>
      </c>
      <c r="Y121" s="173">
        <f>(Y115*Y127)*(X121/X126)</f>
        <v>0</v>
      </c>
      <c r="Z121" s="173">
        <f>(Z115*Z127)*(Y121/Y126)</f>
        <v>0</v>
      </c>
      <c r="AA121" s="173">
        <f>(AA115*AA127)*(Z121/Z126)</f>
        <v>0</v>
      </c>
      <c r="AB121" s="133"/>
      <c r="AC121" s="173">
        <f>(AC115*AC127)*(AA121/AA126)</f>
        <v>0</v>
      </c>
      <c r="AD121" s="173">
        <f>(AD115*AD127)*(AC121/AC126)</f>
        <v>0</v>
      </c>
      <c r="AE121" s="173">
        <f>(AE115*AE127)*(AD121/AD126)</f>
        <v>0</v>
      </c>
      <c r="AF121" s="173">
        <f>(AF115*AF127)*(AE121/AE126)</f>
        <v>0</v>
      </c>
      <c r="AG121" s="133"/>
      <c r="AH121" s="173">
        <f>(AH115*AH127)*(AF121/AF126)</f>
        <v>0</v>
      </c>
      <c r="AI121" s="173">
        <f>(AI115*AI127)*(AH121/AH126)</f>
        <v>0</v>
      </c>
      <c r="AJ121" s="173">
        <f>(AJ115*AJ127)*(AI121/AI126)</f>
        <v>0</v>
      </c>
      <c r="AK121" s="173">
        <f>(AK115*AK127)*(AJ121/AJ126)</f>
        <v>0</v>
      </c>
      <c r="AL121" s="133"/>
    </row>
    <row r="122" spans="1:38" outlineLevel="1" x14ac:dyDescent="0.25">
      <c r="A122" s="166"/>
      <c r="B122" s="99" t="s">
        <v>142</v>
      </c>
      <c r="C122" s="30"/>
      <c r="D122" s="103">
        <f>SUM(D117:D121)</f>
        <v>370.2</v>
      </c>
      <c r="E122" s="103">
        <f>SUM(E117:E121)</f>
        <v>337.90000000000003</v>
      </c>
      <c r="F122" s="103">
        <f>SUM(F117:F121)</f>
        <v>400.2</v>
      </c>
      <c r="G122" s="103">
        <f>SUM(G117:G121)</f>
        <v>382.30000000000007</v>
      </c>
      <c r="H122" s="11"/>
      <c r="I122" s="103">
        <f>SUM(I117:I121)</f>
        <v>362.1</v>
      </c>
      <c r="J122" s="103">
        <f>SUM(J117:J121)</f>
        <v>372.6</v>
      </c>
      <c r="K122" s="103">
        <f>SUM(K117:K121)</f>
        <v>374.09999999999997</v>
      </c>
      <c r="L122" s="103">
        <f t="shared" ref="L122:Q122" si="73">SUM(L117:L121)</f>
        <v>327.42590106175697</v>
      </c>
      <c r="M122" s="104"/>
      <c r="N122" s="103">
        <f t="shared" si="73"/>
        <v>415.52729039094845</v>
      </c>
      <c r="O122" s="103">
        <f t="shared" si="73"/>
        <v>413.36102973369941</v>
      </c>
      <c r="P122" s="103">
        <f t="shared" si="73"/>
        <v>355.91814670842678</v>
      </c>
      <c r="Q122" s="103">
        <f t="shared" si="73"/>
        <v>348.42878965468174</v>
      </c>
      <c r="R122" s="11"/>
      <c r="S122" s="103">
        <f>SUM(S117:S121)</f>
        <v>436.29677930655868</v>
      </c>
      <c r="T122" s="103">
        <f>SUM(T117:T121)</f>
        <v>434.02402012837001</v>
      </c>
      <c r="U122" s="103">
        <f>SUM(U117:U121)</f>
        <v>373.70923472805976</v>
      </c>
      <c r="V122" s="103">
        <f>SUM(V117:V121)</f>
        <v>365.84586240751798</v>
      </c>
      <c r="W122" s="11"/>
      <c r="X122" s="103">
        <f>SUM(X117:X121)</f>
        <v>458.10775185579303</v>
      </c>
      <c r="Y122" s="103">
        <f>SUM(Y117:Y121)</f>
        <v>455.7215740414519</v>
      </c>
      <c r="Z122" s="103">
        <f>SUM(Z117:Z121)</f>
        <v>392.39119928124489</v>
      </c>
      <c r="AA122" s="103">
        <f>SUM(AA117:AA121)</f>
        <v>384.13495500930168</v>
      </c>
      <c r="AB122" s="11"/>
      <c r="AC122" s="103">
        <f>SUM(AC117:AC121)</f>
        <v>481.01006724831717</v>
      </c>
      <c r="AD122" s="103">
        <f>SUM(AD117:AD121)</f>
        <v>478.5050121101753</v>
      </c>
      <c r="AE122" s="103">
        <f>SUM(AE117:AE121)</f>
        <v>412.00833635286841</v>
      </c>
      <c r="AF122" s="103">
        <f>SUM(AF117:AF121)</f>
        <v>403.33965294633828</v>
      </c>
      <c r="AG122" s="11"/>
      <c r="AH122" s="103">
        <f>SUM(AH117:AH121)</f>
        <v>505.05874135461573</v>
      </c>
      <c r="AI122" s="103">
        <f>SUM(AI117:AI121)</f>
        <v>502.42872696019504</v>
      </c>
      <c r="AJ122" s="103">
        <f>SUM(AJ117:AJ121)</f>
        <v>432.60728756633671</v>
      </c>
      <c r="AK122" s="103">
        <f>SUM(AK117:AK121)</f>
        <v>423.5054253792477</v>
      </c>
      <c r="AL122" s="11"/>
    </row>
    <row r="123" spans="1:38" ht="17.25" outlineLevel="1" x14ac:dyDescent="0.4">
      <c r="A123" s="166"/>
      <c r="B123" s="100" t="s">
        <v>111</v>
      </c>
      <c r="C123" s="89"/>
      <c r="D123" s="105">
        <v>41.4</v>
      </c>
      <c r="E123" s="172">
        <v>40.200000000000003</v>
      </c>
      <c r="F123" s="172">
        <v>48.8</v>
      </c>
      <c r="G123" s="172">
        <v>65.099999999999994</v>
      </c>
      <c r="H123" s="246"/>
      <c r="I123" s="172">
        <v>43</v>
      </c>
      <c r="J123" s="172">
        <v>43.1</v>
      </c>
      <c r="K123" s="172">
        <v>51</v>
      </c>
      <c r="L123" s="330">
        <f>+AVERAGE(G123,K123,I123,J123)</f>
        <v>50.55</v>
      </c>
      <c r="M123" s="351"/>
      <c r="N123" s="330">
        <f>+AVERAGE(I123,J123,K123,L123)</f>
        <v>46.912499999999994</v>
      </c>
      <c r="O123" s="330">
        <f>+AVERAGE(J123,K123,L123,N123)</f>
        <v>47.890624999999993</v>
      </c>
      <c r="P123" s="330">
        <f>+AVERAGE(K123,L123,O123,N123)</f>
        <v>49.088281249999994</v>
      </c>
      <c r="Q123" s="330">
        <f>+AVERAGE(L123,P123,N123,O123)</f>
        <v>48.6103515625</v>
      </c>
      <c r="R123" s="383"/>
      <c r="S123" s="330">
        <f>+AVERAGE(N123,O123,P123,Q123)</f>
        <v>48.125439453124997</v>
      </c>
      <c r="T123" s="330">
        <f>+AVERAGE(O123,P123,Q123,S123)</f>
        <v>48.428674316406244</v>
      </c>
      <c r="U123" s="330">
        <f>+AVERAGE(P123,Q123,T123,S123)</f>
        <v>48.563186645507813</v>
      </c>
      <c r="V123" s="330">
        <f>+AVERAGE(Q123,U123,S123,T123)</f>
        <v>48.431912994384767</v>
      </c>
      <c r="W123" s="383"/>
      <c r="X123" s="330">
        <f>+AVERAGE(S123,T123,U123,V123)</f>
        <v>48.38730335235595</v>
      </c>
      <c r="Y123" s="330">
        <f>+AVERAGE(T123,U123,V123,X123)</f>
        <v>48.452769327163693</v>
      </c>
      <c r="Z123" s="330">
        <f>+AVERAGE(U123,V123,Y123,X123)</f>
        <v>48.458793079853052</v>
      </c>
      <c r="AA123" s="330">
        <f>+AVERAGE(V123,Z123,X123,Y123)</f>
        <v>48.432694688439369</v>
      </c>
      <c r="AB123" s="383"/>
      <c r="AC123" s="330">
        <f>+AVERAGE(X123,Y123,Z123,AA123)</f>
        <v>48.432890111953014</v>
      </c>
      <c r="AD123" s="330">
        <f>+AVERAGE(Y123,Z123,AA123,AC123)</f>
        <v>48.444286801852279</v>
      </c>
      <c r="AE123" s="330">
        <f>+AVERAGE(Z123,AA123,AD123,AC123)</f>
        <v>48.44216617052443</v>
      </c>
      <c r="AF123" s="330">
        <f>+AVERAGE(AA123,AE123,AC123,AD123)</f>
        <v>48.438009443192271</v>
      </c>
      <c r="AG123" s="383"/>
      <c r="AH123" s="330">
        <f>+AVERAGE(AC123,AD123,AE123,AF123)</f>
        <v>48.439338131880497</v>
      </c>
      <c r="AI123" s="330">
        <f>+AVERAGE(AD123,AE123,AF123,AH123)</f>
        <v>48.440950136862369</v>
      </c>
      <c r="AJ123" s="330">
        <f>+AVERAGE(AE123,AF123,AI123,AH123)</f>
        <v>48.440115970614897</v>
      </c>
      <c r="AK123" s="330">
        <f>+AVERAGE(AF123,AJ123,AH123,AI123)</f>
        <v>48.439603420637511</v>
      </c>
      <c r="AL123" s="383"/>
    </row>
    <row r="124" spans="1:38" outlineLevel="1" x14ac:dyDescent="0.25">
      <c r="A124" s="166"/>
      <c r="B124" s="99" t="s">
        <v>143</v>
      </c>
      <c r="C124" s="89"/>
      <c r="D124" s="301">
        <f>D115-D122+D123</f>
        <v>175.80000000000004</v>
      </c>
      <c r="E124" s="301">
        <f>E115-E122+E123</f>
        <v>148.89999999999998</v>
      </c>
      <c r="F124" s="301">
        <f>F115-F122+F123</f>
        <v>181.89999999999998</v>
      </c>
      <c r="G124" s="301">
        <f>G115-G122+G123</f>
        <v>190.89999999999995</v>
      </c>
      <c r="H124" s="233">
        <f>SUM(D124:G124)</f>
        <v>697.5</v>
      </c>
      <c r="I124" s="301">
        <f>I115-I122+I123</f>
        <v>175.5</v>
      </c>
      <c r="J124" s="301">
        <f>J115-J122+J123</f>
        <v>189.6</v>
      </c>
      <c r="K124" s="301">
        <f>K115-K122+K123</f>
        <v>124.20000000000005</v>
      </c>
      <c r="L124" s="301">
        <f t="shared" ref="L124:Q124" si="74">L115-L122+L123</f>
        <v>165.17109893824306</v>
      </c>
      <c r="M124" s="351">
        <f>SUM(I124:L124)</f>
        <v>654.47109893824313</v>
      </c>
      <c r="N124" s="301">
        <f t="shared" si="74"/>
        <v>200.17520960905151</v>
      </c>
      <c r="O124" s="301">
        <f t="shared" si="74"/>
        <v>200.34859526630066</v>
      </c>
      <c r="P124" s="301">
        <f t="shared" si="74"/>
        <v>167.30813454157325</v>
      </c>
      <c r="Q124" s="301">
        <f t="shared" si="74"/>
        <v>164.33091190781829</v>
      </c>
      <c r="R124" s="50">
        <f>SUM(N124:Q124)</f>
        <v>732.16285132474377</v>
      </c>
      <c r="S124" s="301">
        <f>S115-S122+S123</f>
        <v>209.05816014656637</v>
      </c>
      <c r="T124" s="301">
        <f>T115-T122+T123</f>
        <v>208.51460418803637</v>
      </c>
      <c r="U124" s="301">
        <f>U115-U122+U123</f>
        <v>172.69885191744811</v>
      </c>
      <c r="V124" s="301">
        <f>V115-V122+V123</f>
        <v>169.94286808686681</v>
      </c>
      <c r="W124" s="50">
        <f>SUM(S124:V124)</f>
        <v>760.21448433891771</v>
      </c>
      <c r="X124" s="301">
        <f>X115-X122+X123</f>
        <v>217.370526496563</v>
      </c>
      <c r="Y124" s="301">
        <f>Y115-Y122+Y123</f>
        <v>216.54664278571192</v>
      </c>
      <c r="Z124" s="301">
        <f>Z115-Z122+Z123</f>
        <v>178.80473879860821</v>
      </c>
      <c r="AA124" s="301">
        <f>AA115-AA122+AA123</f>
        <v>176.02239805413774</v>
      </c>
      <c r="AB124" s="50">
        <f>SUM(X124:AA124)</f>
        <v>788.74430613502091</v>
      </c>
      <c r="AC124" s="301">
        <f>AC115-AC122+AC123</f>
        <v>225.86834661363596</v>
      </c>
      <c r="AD124" s="301">
        <f>AD115-AD122+AD123</f>
        <v>224.94549456667716</v>
      </c>
      <c r="AE124" s="301">
        <f>AE115-AE122+AE123</f>
        <v>185.30783206765614</v>
      </c>
      <c r="AF124" s="301">
        <f>AF115-AF122+AF123</f>
        <v>182.40924779060404</v>
      </c>
      <c r="AG124" s="50">
        <f>SUM(AC124:AF124)</f>
        <v>818.5309210385733</v>
      </c>
      <c r="AH124" s="301">
        <f>AH115-AH122+AH123</f>
        <v>234.74839671476497</v>
      </c>
      <c r="AI124" s="301">
        <f>AI115-AI122+AI123</f>
        <v>233.76875404541758</v>
      </c>
      <c r="AJ124" s="301">
        <f>AJ115-AJ122+AJ123</f>
        <v>192.15053076677827</v>
      </c>
      <c r="AK124" s="301">
        <f>AK115-AK122+AK123</f>
        <v>189.1106138998274</v>
      </c>
      <c r="AL124" s="50">
        <f>SUM(AH124:AK124)</f>
        <v>849.77829542678819</v>
      </c>
    </row>
    <row r="125" spans="1:38" outlineLevel="1" x14ac:dyDescent="0.25">
      <c r="A125" s="166"/>
      <c r="B125" s="99" t="s">
        <v>144</v>
      </c>
      <c r="C125" s="89"/>
      <c r="D125" s="302">
        <f>+D124/D115</f>
        <v>0.34839476813317488</v>
      </c>
      <c r="E125" s="302">
        <f>+E124/E115</f>
        <v>0.33340797133900574</v>
      </c>
      <c r="F125" s="302">
        <f>+F124/F115</f>
        <v>0.34108381773860863</v>
      </c>
      <c r="G125" s="302">
        <f>+G124/G115</f>
        <v>0.37571344223578024</v>
      </c>
      <c r="H125" s="230">
        <f>H124/H115</f>
        <v>0.35004516711833789</v>
      </c>
      <c r="I125" s="302">
        <f>+I124/I115</f>
        <v>0.3548321876263647</v>
      </c>
      <c r="J125" s="302">
        <f>+J124/J115</f>
        <v>0.36524754382585239</v>
      </c>
      <c r="K125" s="302">
        <f>+K124/K115</f>
        <v>0.27766599597585523</v>
      </c>
      <c r="L125" s="302">
        <f t="shared" ref="L125:Q125" si="75">+L124/L115</f>
        <v>0.37365053702036899</v>
      </c>
      <c r="M125" s="352">
        <f>M124/M115</f>
        <v>0.34390695497181262</v>
      </c>
      <c r="N125" s="302">
        <f t="shared" si="75"/>
        <v>0.35193166126171616</v>
      </c>
      <c r="O125" s="302">
        <f t="shared" si="75"/>
        <v>0.35408601560976327</v>
      </c>
      <c r="P125" s="302">
        <f t="shared" si="75"/>
        <v>0.35286801425233422</v>
      </c>
      <c r="Q125" s="302">
        <f t="shared" si="75"/>
        <v>0.35404748904165928</v>
      </c>
      <c r="R125" s="384">
        <f>R124/R115</f>
        <v>0.35320765137376203</v>
      </c>
      <c r="S125" s="302">
        <f>+S124/S115</f>
        <v>0.3500466071193174</v>
      </c>
      <c r="T125" s="302">
        <f>+T124/T115</f>
        <v>0.35096972233512724</v>
      </c>
      <c r="U125" s="302">
        <f>+U124/U115</f>
        <v>0.34689288153287917</v>
      </c>
      <c r="V125" s="302">
        <f>+V124/V115</f>
        <v>0.34870317185388877</v>
      </c>
      <c r="W125" s="384">
        <f>W124/W115</f>
        <v>0.34927640960364126</v>
      </c>
      <c r="X125" s="302">
        <f>+X124/X115</f>
        <v>0.3466331603585317</v>
      </c>
      <c r="Y125" s="302">
        <f>+Y124/Y115</f>
        <v>0.34713254321216835</v>
      </c>
      <c r="Z125" s="302">
        <f>+Z124/Z115</f>
        <v>0.34205477936450868</v>
      </c>
      <c r="AA125" s="302">
        <f>+AA124/AA115</f>
        <v>0.34397872991523049</v>
      </c>
      <c r="AB125" s="384">
        <f>AB124/AB115</f>
        <v>0.3451278867032615</v>
      </c>
      <c r="AC125" s="302">
        <f>+AC124/AC115</f>
        <v>0.34303270121309853</v>
      </c>
      <c r="AD125" s="302">
        <f>+AD124/AD115</f>
        <v>0.34342497481872036</v>
      </c>
      <c r="AE125" s="302">
        <f>+AE124/AE115</f>
        <v>0.33761451864730962</v>
      </c>
      <c r="AF125" s="302">
        <f>+AF124/AF115</f>
        <v>0.33948548363014691</v>
      </c>
      <c r="AG125" s="384">
        <f>AG124/AG115</f>
        <v>0.34110619431295652</v>
      </c>
      <c r="AH125" s="302">
        <f>+AH124/AH115</f>
        <v>0.33954198725481033</v>
      </c>
      <c r="AI125" s="302">
        <f>+AI124/AI115</f>
        <v>0.33990044958225113</v>
      </c>
      <c r="AJ125" s="302">
        <f>+AJ124/AJ115</f>
        <v>0.33341077322299018</v>
      </c>
      <c r="AK125" s="302">
        <f>+AK124/AK115</f>
        <v>0.33519764719006945</v>
      </c>
      <c r="AL125" s="384">
        <f>AL124/AL115</f>
        <v>0.3372646715654864</v>
      </c>
    </row>
    <row r="126" spans="1:38" s="127" customFormat="1" outlineLevel="1" x14ac:dyDescent="0.25">
      <c r="A126" s="182"/>
      <c r="B126" s="130" t="s">
        <v>139</v>
      </c>
      <c r="C126" s="128"/>
      <c r="D126" s="205">
        <f>+D122-D119</f>
        <v>370.2</v>
      </c>
      <c r="E126" s="205">
        <f>+E122-E119</f>
        <v>325.60000000000002</v>
      </c>
      <c r="F126" s="205">
        <f>+F122-F119</f>
        <v>400</v>
      </c>
      <c r="G126" s="205">
        <f>+G122-G119</f>
        <v>382.00000000000006</v>
      </c>
      <c r="H126" s="245"/>
      <c r="I126" s="205">
        <f>+I122-I119</f>
        <v>361.8</v>
      </c>
      <c r="J126" s="205">
        <f>+J122-J119</f>
        <v>372.3</v>
      </c>
      <c r="K126" s="205">
        <f>+K122-K119</f>
        <v>373.79999999999995</v>
      </c>
      <c r="L126" s="205">
        <f t="shared" ref="L126:Q126" si="76">+L122-L119</f>
        <v>327.11478</v>
      </c>
      <c r="M126" s="353"/>
      <c r="N126" s="205">
        <f t="shared" si="76"/>
        <v>415.2167</v>
      </c>
      <c r="O126" s="205">
        <f t="shared" si="76"/>
        <v>413.04787000000005</v>
      </c>
      <c r="P126" s="205">
        <f t="shared" si="76"/>
        <v>355.60350000000005</v>
      </c>
      <c r="Q126" s="205">
        <f t="shared" si="76"/>
        <v>348.11201249999993</v>
      </c>
      <c r="R126" s="129"/>
      <c r="S126" s="205">
        <f>+S122-S119</f>
        <v>435.97753500000005</v>
      </c>
      <c r="T126" s="205">
        <f>+T122-T119</f>
        <v>433.70026350000012</v>
      </c>
      <c r="U126" s="205">
        <f>+U122-U119</f>
        <v>373.38367499999998</v>
      </c>
      <c r="V126" s="205">
        <f>+V122-V119</f>
        <v>365.51761312500003</v>
      </c>
      <c r="W126" s="129"/>
      <c r="X126" s="205">
        <f>+X122-X119</f>
        <v>457.77641175000002</v>
      </c>
      <c r="Y126" s="205">
        <f>+Y122-Y119</f>
        <v>455.38527667500011</v>
      </c>
      <c r="Z126" s="205">
        <f>+Z122-Z119</f>
        <v>392.05285875000004</v>
      </c>
      <c r="AA126" s="205">
        <f>+AA122-AA119</f>
        <v>383.79349378125011</v>
      </c>
      <c r="AB126" s="129"/>
      <c r="AC126" s="205">
        <f>+AC122-AC119</f>
        <v>480.66523233749996</v>
      </c>
      <c r="AD126" s="205">
        <f>+AD122-AD119</f>
        <v>478.15454050875013</v>
      </c>
      <c r="AE126" s="205">
        <f>+AE122-AE119</f>
        <v>411.65550168750008</v>
      </c>
      <c r="AF126" s="205">
        <f>+AF122-AF119</f>
        <v>402.98316847031253</v>
      </c>
      <c r="AG126" s="129"/>
      <c r="AH126" s="205">
        <f>+AH122-AH119</f>
        <v>504.69849395437518</v>
      </c>
      <c r="AI126" s="205">
        <f>+AI122-AI119</f>
        <v>502.0622675341877</v>
      </c>
      <c r="AJ126" s="205">
        <f>+AJ122-AJ119</f>
        <v>432.23827677187506</v>
      </c>
      <c r="AK126" s="205">
        <f>+AK122-AK119</f>
        <v>423.13232689382818</v>
      </c>
      <c r="AL126" s="129"/>
    </row>
    <row r="127" spans="1:38" s="127" customFormat="1" outlineLevel="1" x14ac:dyDescent="0.25">
      <c r="A127" s="182"/>
      <c r="B127" s="130" t="s">
        <v>140</v>
      </c>
      <c r="C127" s="128"/>
      <c r="D127" s="131">
        <f>+D126/D115</f>
        <v>0.73365041617122473</v>
      </c>
      <c r="E127" s="131">
        <f>+E126/E115</f>
        <v>0.72906403940886699</v>
      </c>
      <c r="F127" s="131">
        <f>+F126/F115</f>
        <v>0.75004687792987068</v>
      </c>
      <c r="G127" s="196">
        <f>+G126/G115</f>
        <v>0.75182050777406029</v>
      </c>
      <c r="H127" s="129"/>
      <c r="I127" s="196">
        <f>+I126/I115</f>
        <v>0.73150020218358269</v>
      </c>
      <c r="J127" s="196">
        <f>+J126/J115</f>
        <v>0.7172028510884223</v>
      </c>
      <c r="K127" s="196">
        <f>+K126/K115</f>
        <v>0.83568075117370877</v>
      </c>
      <c r="L127" s="350">
        <v>0.74</v>
      </c>
      <c r="M127" s="254"/>
      <c r="N127" s="350">
        <v>0.73</v>
      </c>
      <c r="O127" s="350">
        <v>0.73</v>
      </c>
      <c r="P127" s="350">
        <v>0.75</v>
      </c>
      <c r="Q127" s="350">
        <v>0.75</v>
      </c>
      <c r="R127" s="129"/>
      <c r="S127" s="350">
        <v>0.73</v>
      </c>
      <c r="T127" s="350">
        <v>0.73</v>
      </c>
      <c r="U127" s="350">
        <v>0.75</v>
      </c>
      <c r="V127" s="350">
        <v>0.75</v>
      </c>
      <c r="W127" s="129"/>
      <c r="X127" s="350">
        <v>0.73</v>
      </c>
      <c r="Y127" s="350">
        <v>0.73</v>
      </c>
      <c r="Z127" s="350">
        <v>0.75</v>
      </c>
      <c r="AA127" s="350">
        <v>0.75</v>
      </c>
      <c r="AB127" s="129"/>
      <c r="AC127" s="350">
        <v>0.73</v>
      </c>
      <c r="AD127" s="350">
        <v>0.73</v>
      </c>
      <c r="AE127" s="350">
        <v>0.75</v>
      </c>
      <c r="AF127" s="350">
        <v>0.75</v>
      </c>
      <c r="AG127" s="129"/>
      <c r="AH127" s="350">
        <v>0.73</v>
      </c>
      <c r="AI127" s="350">
        <v>0.73</v>
      </c>
      <c r="AJ127" s="350">
        <v>0.75</v>
      </c>
      <c r="AK127" s="350">
        <v>0.75</v>
      </c>
      <c r="AL127" s="129"/>
    </row>
    <row r="128" spans="1:38" ht="18" x14ac:dyDescent="0.4">
      <c r="A128" s="166"/>
      <c r="B128" s="448" t="s">
        <v>145</v>
      </c>
      <c r="C128" s="467"/>
      <c r="D128" s="23" t="s">
        <v>72</v>
      </c>
      <c r="E128" s="23" t="s">
        <v>211</v>
      </c>
      <c r="F128" s="23" t="s">
        <v>215</v>
      </c>
      <c r="G128" s="23" t="s">
        <v>225</v>
      </c>
      <c r="H128" s="77" t="s">
        <v>226</v>
      </c>
      <c r="I128" s="23" t="s">
        <v>227</v>
      </c>
      <c r="J128" s="23" t="s">
        <v>228</v>
      </c>
      <c r="K128" s="23" t="s">
        <v>229</v>
      </c>
      <c r="L128" s="21" t="s">
        <v>90</v>
      </c>
      <c r="M128" s="79" t="s">
        <v>91</v>
      </c>
      <c r="N128" s="21" t="s">
        <v>92</v>
      </c>
      <c r="O128" s="21" t="s">
        <v>93</v>
      </c>
      <c r="P128" s="21" t="s">
        <v>94</v>
      </c>
      <c r="Q128" s="21" t="s">
        <v>95</v>
      </c>
      <c r="R128" s="79" t="s">
        <v>96</v>
      </c>
      <c r="S128" s="21" t="s">
        <v>97</v>
      </c>
      <c r="T128" s="21" t="s">
        <v>98</v>
      </c>
      <c r="U128" s="21" t="s">
        <v>99</v>
      </c>
      <c r="V128" s="21" t="s">
        <v>100</v>
      </c>
      <c r="W128" s="79" t="s">
        <v>101</v>
      </c>
      <c r="X128" s="21" t="s">
        <v>102</v>
      </c>
      <c r="Y128" s="21" t="s">
        <v>103</v>
      </c>
      <c r="Z128" s="21" t="s">
        <v>104</v>
      </c>
      <c r="AA128" s="21" t="s">
        <v>105</v>
      </c>
      <c r="AB128" s="79" t="s">
        <v>106</v>
      </c>
      <c r="AC128" s="21" t="s">
        <v>220</v>
      </c>
      <c r="AD128" s="21" t="s">
        <v>221</v>
      </c>
      <c r="AE128" s="21" t="s">
        <v>222</v>
      </c>
      <c r="AF128" s="21" t="s">
        <v>223</v>
      </c>
      <c r="AG128" s="79" t="s">
        <v>224</v>
      </c>
      <c r="AH128" s="21" t="s">
        <v>253</v>
      </c>
      <c r="AI128" s="21" t="s">
        <v>254</v>
      </c>
      <c r="AJ128" s="21" t="s">
        <v>255</v>
      </c>
      <c r="AK128" s="21" t="s">
        <v>256</v>
      </c>
      <c r="AL128" s="79" t="s">
        <v>257</v>
      </c>
    </row>
    <row r="129" spans="1:38" s="13" customFormat="1" outlineLevel="1" x14ac:dyDescent="0.25">
      <c r="A129" s="181"/>
      <c r="B129" s="452" t="s">
        <v>271</v>
      </c>
      <c r="C129" s="453"/>
      <c r="D129" s="101">
        <v>11.6</v>
      </c>
      <c r="E129" s="101">
        <v>15.8</v>
      </c>
      <c r="F129" s="101">
        <v>23.3</v>
      </c>
      <c r="G129" s="101">
        <v>15.4</v>
      </c>
      <c r="H129" s="11"/>
      <c r="I129" s="101">
        <v>20.5</v>
      </c>
      <c r="J129" s="101">
        <v>12</v>
      </c>
      <c r="K129" s="101">
        <v>19.7</v>
      </c>
      <c r="L129" s="171">
        <f>G129*(1+L130)</f>
        <v>13.09</v>
      </c>
      <c r="M129" s="299"/>
      <c r="N129" s="171">
        <f>I129*(1+N130)</f>
        <v>19.474999999999998</v>
      </c>
      <c r="O129" s="171">
        <f>J129*(1+O130)</f>
        <v>12.600000000000001</v>
      </c>
      <c r="P129" s="171">
        <f>K129*(1+P130)</f>
        <v>20.684999999999999</v>
      </c>
      <c r="Q129" s="171">
        <f>L129*(1+Q130)</f>
        <v>13.7445</v>
      </c>
      <c r="R129" s="249"/>
      <c r="S129" s="171">
        <f>N129*(1+S130)</f>
        <v>20.448749999999997</v>
      </c>
      <c r="T129" s="171">
        <f>O129*(1+T130)</f>
        <v>13.230000000000002</v>
      </c>
      <c r="U129" s="171">
        <f>P129*(1+U130)</f>
        <v>21.719249999999999</v>
      </c>
      <c r="V129" s="171">
        <f>Q129*(1+V130)</f>
        <v>14.431725</v>
      </c>
      <c r="W129" s="233"/>
      <c r="X129" s="171">
        <f>S129*(1+X130)</f>
        <v>21.471187499999999</v>
      </c>
      <c r="Y129" s="171">
        <f>T129*(1+Y130)</f>
        <v>13.891500000000002</v>
      </c>
      <c r="Z129" s="171">
        <f>U129*(1+Z130)</f>
        <v>22.8052125</v>
      </c>
      <c r="AA129" s="171">
        <f>V129*(1+AA130)</f>
        <v>15.153311250000002</v>
      </c>
      <c r="AB129" s="233"/>
      <c r="AC129" s="171">
        <f>X129*(1+AC130)</f>
        <v>22.544746875000001</v>
      </c>
      <c r="AD129" s="171">
        <f>Y129*(1+AD130)</f>
        <v>14.586075000000003</v>
      </c>
      <c r="AE129" s="171">
        <f>Z129*(1+AE130)</f>
        <v>23.945473124999999</v>
      </c>
      <c r="AF129" s="171">
        <f>AA129*(1+AF130)</f>
        <v>15.910976812500003</v>
      </c>
      <c r="AG129" s="233"/>
      <c r="AH129" s="171">
        <f>AC129*(1+AH130)</f>
        <v>23.671984218750001</v>
      </c>
      <c r="AI129" s="171">
        <f>AD129*(1+AI130)</f>
        <v>15.315378750000004</v>
      </c>
      <c r="AJ129" s="171">
        <f>AE129*(1+AJ130)</f>
        <v>25.142746781250001</v>
      </c>
      <c r="AK129" s="171">
        <f>AF129*(1+AK130)</f>
        <v>16.706525653125002</v>
      </c>
      <c r="AL129" s="233"/>
    </row>
    <row r="130" spans="1:38" s="13" customFormat="1" outlineLevel="1" x14ac:dyDescent="0.25">
      <c r="A130" s="181"/>
      <c r="B130" s="69" t="s">
        <v>272</v>
      </c>
      <c r="C130" s="61"/>
      <c r="D130" s="47"/>
      <c r="E130" s="47"/>
      <c r="F130" s="47"/>
      <c r="G130" s="200"/>
      <c r="H130" s="249"/>
      <c r="I130" s="200">
        <f>I129/D129-1</f>
        <v>0.76724137931034497</v>
      </c>
      <c r="J130" s="200">
        <f>J129/E129-1</f>
        <v>-0.24050632911392411</v>
      </c>
      <c r="K130" s="200">
        <f>K129/F129-1</f>
        <v>-0.15450643776824036</v>
      </c>
      <c r="L130" s="340">
        <v>-0.15</v>
      </c>
      <c r="M130" s="249"/>
      <c r="N130" s="340">
        <v>-0.05</v>
      </c>
      <c r="O130" s="340">
        <v>0.05</v>
      </c>
      <c r="P130" s="340">
        <v>0.05</v>
      </c>
      <c r="Q130" s="341">
        <v>0.05</v>
      </c>
      <c r="R130" s="249"/>
      <c r="S130" s="339">
        <v>0.05</v>
      </c>
      <c r="T130" s="339">
        <v>0.05</v>
      </c>
      <c r="U130" s="339">
        <v>0.05</v>
      </c>
      <c r="V130" s="339">
        <v>0.05</v>
      </c>
      <c r="W130" s="300"/>
      <c r="X130" s="339">
        <v>0.05</v>
      </c>
      <c r="Y130" s="339">
        <v>0.05</v>
      </c>
      <c r="Z130" s="339">
        <v>0.05</v>
      </c>
      <c r="AA130" s="339">
        <v>0.05</v>
      </c>
      <c r="AB130" s="300"/>
      <c r="AC130" s="339">
        <v>0.05</v>
      </c>
      <c r="AD130" s="339">
        <v>0.05</v>
      </c>
      <c r="AE130" s="339">
        <v>0.05</v>
      </c>
      <c r="AF130" s="339">
        <v>0.05</v>
      </c>
      <c r="AG130" s="300"/>
      <c r="AH130" s="339">
        <v>0.05</v>
      </c>
      <c r="AI130" s="339">
        <v>0.05</v>
      </c>
      <c r="AJ130" s="339">
        <v>0.05</v>
      </c>
      <c r="AK130" s="339">
        <v>0.05</v>
      </c>
      <c r="AL130" s="300"/>
    </row>
    <row r="131" spans="1:38" outlineLevel="1" x14ac:dyDescent="0.25">
      <c r="A131" s="166"/>
      <c r="B131" s="478" t="s">
        <v>230</v>
      </c>
      <c r="C131" s="479"/>
      <c r="D131" s="101">
        <v>13.4</v>
      </c>
      <c r="E131" s="101">
        <v>15.9</v>
      </c>
      <c r="F131" s="101">
        <v>22.4</v>
      </c>
      <c r="G131" s="173">
        <v>15.5</v>
      </c>
      <c r="H131" s="186"/>
      <c r="I131" s="173">
        <v>20.7</v>
      </c>
      <c r="J131" s="173">
        <v>10.199999999999999</v>
      </c>
      <c r="K131" s="173">
        <v>20.8</v>
      </c>
      <c r="L131" s="330">
        <f>+AVERAGE(G131,K131,I131,J131)</f>
        <v>16.8</v>
      </c>
      <c r="M131" s="351"/>
      <c r="N131" s="330">
        <f>+AVERAGE(I131,J131,K131,L131)</f>
        <v>17.125</v>
      </c>
      <c r="O131" s="330">
        <f>+AVERAGE(J131,K131,L131,N131)</f>
        <v>16.231249999999999</v>
      </c>
      <c r="P131" s="330">
        <f>+AVERAGE(K131,L131,O131,N131)</f>
        <v>17.739062499999999</v>
      </c>
      <c r="Q131" s="330">
        <f>+AVERAGE(L131,P131,N131,O131)</f>
        <v>16.973828125000001</v>
      </c>
      <c r="R131" s="249"/>
      <c r="S131" s="330">
        <f>+AVERAGE(N131,O131,P131,Q131)</f>
        <v>17.017285156250001</v>
      </c>
      <c r="T131" s="330">
        <f>+AVERAGE(O131,P131,Q131,S131)</f>
        <v>16.9903564453125</v>
      </c>
      <c r="U131" s="330">
        <f>+AVERAGE(P131,Q131,T131,S131)</f>
        <v>17.180133056640624</v>
      </c>
      <c r="V131" s="330">
        <f>+AVERAGE(Q131,U131,S131,T131)</f>
        <v>17.040400695800781</v>
      </c>
      <c r="W131" s="249"/>
      <c r="X131" s="330">
        <f>+AVERAGE(S131,T131,U131,V131)</f>
        <v>17.057043838500977</v>
      </c>
      <c r="Y131" s="330">
        <f>+AVERAGE(T131,U131,V131,X131)</f>
        <v>17.066983509063721</v>
      </c>
      <c r="Z131" s="330">
        <f>+AVERAGE(U131,V131,Y131,X131)</f>
        <v>17.086140275001526</v>
      </c>
      <c r="AA131" s="330">
        <f>+AVERAGE(V131,Z131,X131,Y131)</f>
        <v>17.06264207959175</v>
      </c>
      <c r="AB131" s="249"/>
      <c r="AC131" s="330">
        <f>+AVERAGE(X131,Y131,Z131,AA131)</f>
        <v>17.068202425539493</v>
      </c>
      <c r="AD131" s="330">
        <f>+AVERAGE(Y131,Z131,AA131,AC131)</f>
        <v>17.070992072299124</v>
      </c>
      <c r="AE131" s="330">
        <f>+AVERAGE(Z131,AA131,AD131,AC131)</f>
        <v>17.071994213107974</v>
      </c>
      <c r="AF131" s="330">
        <f>+AVERAGE(AA131,AE131,AC131,AD131)</f>
        <v>17.068457697634585</v>
      </c>
      <c r="AG131" s="249"/>
      <c r="AH131" s="330">
        <f>+AVERAGE(AC131,AD131,AE131,AF131)</f>
        <v>17.069911602145293</v>
      </c>
      <c r="AI131" s="330">
        <f>+AVERAGE(AD131,AE131,AF131,AH131)</f>
        <v>17.070338896296743</v>
      </c>
      <c r="AJ131" s="330">
        <f>+AVERAGE(AE131,AF131,AI131,AH131)</f>
        <v>17.07017560229615</v>
      </c>
      <c r="AK131" s="330">
        <f>+AVERAGE(AF131,AJ131,AH131,AI131)</f>
        <v>17.069720949593194</v>
      </c>
      <c r="AL131" s="249"/>
    </row>
    <row r="132" spans="1:38" outlineLevel="1" x14ac:dyDescent="0.25">
      <c r="A132" s="166"/>
      <c r="B132" s="36" t="s">
        <v>108</v>
      </c>
      <c r="C132" s="27"/>
      <c r="D132" s="101">
        <v>3.2</v>
      </c>
      <c r="E132" s="101">
        <v>4.3</v>
      </c>
      <c r="F132" s="101">
        <v>5.8</v>
      </c>
      <c r="G132" s="173">
        <f>5.2+0.1</f>
        <v>5.3</v>
      </c>
      <c r="H132" s="186"/>
      <c r="I132" s="173">
        <v>2.8</v>
      </c>
      <c r="J132" s="173">
        <v>3.7</v>
      </c>
      <c r="K132" s="173">
        <v>4</v>
      </c>
      <c r="L132" s="330">
        <f>+AVERAGE(G132,K132,I132,J132)</f>
        <v>3.95</v>
      </c>
      <c r="M132" s="351"/>
      <c r="N132" s="330">
        <f>+AVERAGE(I132,J132,K132,L132)</f>
        <v>3.6124999999999998</v>
      </c>
      <c r="O132" s="330">
        <f>+AVERAGE(J132,K132,L132,N132)</f>
        <v>3.8156249999999998</v>
      </c>
      <c r="P132" s="330">
        <f>+AVERAGE(K132,L132,O132,N132)</f>
        <v>3.8445312500000002</v>
      </c>
      <c r="Q132" s="330">
        <f>+AVERAGE(L132,P132,N132,O132)</f>
        <v>3.8056640625</v>
      </c>
      <c r="R132" s="249"/>
      <c r="S132" s="330">
        <f>+AVERAGE(N132,O132,P132,Q132)</f>
        <v>3.7695800781250002</v>
      </c>
      <c r="T132" s="330">
        <f>+AVERAGE(O132,P132,Q132,S132)</f>
        <v>3.8088500976562498</v>
      </c>
      <c r="U132" s="330">
        <f>+AVERAGE(P132,Q132,T132,S132)</f>
        <v>3.8071563720703123</v>
      </c>
      <c r="V132" s="330">
        <f>+AVERAGE(Q132,U132,S132,T132)</f>
        <v>3.7978126525878908</v>
      </c>
      <c r="W132" s="249"/>
      <c r="X132" s="330">
        <f>+AVERAGE(S132,T132,U132,V132)</f>
        <v>3.7958498001098633</v>
      </c>
      <c r="Y132" s="330">
        <f>+AVERAGE(T132,U132,V132,X132)</f>
        <v>3.8024172306060793</v>
      </c>
      <c r="Z132" s="330">
        <f>+AVERAGE(U132,V132,Y132,X132)</f>
        <v>3.8008090138435362</v>
      </c>
      <c r="AA132" s="330">
        <f>+AVERAGE(V132,Z132,X132,Y132)</f>
        <v>3.7992221742868422</v>
      </c>
      <c r="AB132" s="249"/>
      <c r="AC132" s="330">
        <f>+AVERAGE(X132,Y132,Z132,AA132)</f>
        <v>3.7995745547115805</v>
      </c>
      <c r="AD132" s="330">
        <f>+AVERAGE(Y132,Z132,AA132,AC132)</f>
        <v>3.8005057433620095</v>
      </c>
      <c r="AE132" s="330">
        <f>+AVERAGE(Z132,AA132,AD132,AC132)</f>
        <v>3.8000278715509923</v>
      </c>
      <c r="AF132" s="330">
        <f>+AVERAGE(AA132,AE132,AC132,AD132)</f>
        <v>3.7998325859778559</v>
      </c>
      <c r="AG132" s="249"/>
      <c r="AH132" s="330">
        <f>+AVERAGE(AC132,AD132,AE132,AF132)</f>
        <v>3.7999851889006093</v>
      </c>
      <c r="AI132" s="330">
        <f>+AVERAGE(AD132,AE132,AF132,AH132)</f>
        <v>3.800087847447867</v>
      </c>
      <c r="AJ132" s="330">
        <f>+AVERAGE(AE132,AF132,AI132,AH132)</f>
        <v>3.7999833734693311</v>
      </c>
      <c r="AK132" s="330">
        <f>+AVERAGE(AF132,AJ132,AH132,AI132)</f>
        <v>3.7999722489489161</v>
      </c>
      <c r="AL132" s="249"/>
    </row>
    <row r="133" spans="1:38" outlineLevel="1" x14ac:dyDescent="0.25">
      <c r="A133" s="166"/>
      <c r="B133" s="36" t="s">
        <v>109</v>
      </c>
      <c r="C133" s="27"/>
      <c r="D133" s="125">
        <v>39.5</v>
      </c>
      <c r="E133" s="125">
        <v>40.5</v>
      </c>
      <c r="F133" s="125">
        <v>39.6</v>
      </c>
      <c r="G133" s="202">
        <v>37.299999999999997</v>
      </c>
      <c r="H133" s="249"/>
      <c r="I133" s="202">
        <v>34.9</v>
      </c>
      <c r="J133" s="202">
        <v>34.5</v>
      </c>
      <c r="K133" s="202">
        <v>40.9</v>
      </c>
      <c r="L133" s="330">
        <f>L242*(K133/(K72+K105+K119+K133))</f>
        <v>42.41617141953774</v>
      </c>
      <c r="M133" s="351"/>
      <c r="N133" s="330">
        <f>N242*(L133/(L72+L105+L119+L133))</f>
        <v>42.343823299301476</v>
      </c>
      <c r="O133" s="330">
        <f>O242*(N133/(N72+N105+N119+N133))</f>
        <v>42.694110361011148</v>
      </c>
      <c r="P133" s="330">
        <f>P242*(O133/(O72+O105+O119+O133))</f>
        <v>42.896834582178379</v>
      </c>
      <c r="Q133" s="330">
        <f>Q242*(P133/(P72+P105+P119+P133))</f>
        <v>43.187285421619542</v>
      </c>
      <c r="R133" s="249"/>
      <c r="S133" s="330">
        <f>S242*(Q133/(Q72+Q105+Q119+Q133))</f>
        <v>43.523640460827615</v>
      </c>
      <c r="T133" s="330">
        <f>T242*(S133/(S72+S105+S119+S133))</f>
        <v>44.138820334431458</v>
      </c>
      <c r="U133" s="330">
        <f>U242*(T133/(T72+T105+T119+T133))</f>
        <v>44.384642925482076</v>
      </c>
      <c r="V133" s="330">
        <f>V242*(U133/(U72+U105+U119+U133))</f>
        <v>44.751318849951765</v>
      </c>
      <c r="W133" s="249"/>
      <c r="X133" s="330">
        <f>X242*(V133/(V72+V105+V119+V133))</f>
        <v>45.172701089777675</v>
      </c>
      <c r="Y133" s="330">
        <f>Y242*(X133/(X72+X105+X119+X133))</f>
        <v>45.848540959590466</v>
      </c>
      <c r="Z133" s="330">
        <f>Z242*(Y133/(Y72+Y105+Y119+Y133))</f>
        <v>46.127092426379399</v>
      </c>
      <c r="AA133" s="330">
        <f>AA242*(Z133/(Z72+Z105+Z119+Z133))</f>
        <v>46.552547424364619</v>
      </c>
      <c r="AB133" s="249"/>
      <c r="AC133" s="330">
        <f>AC242*(AA133/(AA72+AA105+AA119+AA133))</f>
        <v>47.012492841415437</v>
      </c>
      <c r="AD133" s="330">
        <f>AD242*(AC133/(AC72+AC105+AC119+AC133))</f>
        <v>47.780961660966732</v>
      </c>
      <c r="AE133" s="330">
        <f>AE242*(AD133/(AD72+AD105+AD119+AD133))</f>
        <v>48.10312604521679</v>
      </c>
      <c r="AF133" s="330">
        <f>AF242*(AE133/(AE72+AE105+AE119+AE133))</f>
        <v>48.60071689817233</v>
      </c>
      <c r="AG133" s="249"/>
      <c r="AH133" s="330">
        <f>AH242*(AF133/(AF72+AF105+AF119+AF133))</f>
        <v>49.113728899462579</v>
      </c>
      <c r="AI133" s="330">
        <f>AI242*(AH133/(AH72+AH105+AH119+AH133))</f>
        <v>49.960635079004227</v>
      </c>
      <c r="AJ133" s="330">
        <f>AJ242*(AI133/(AI72+AI105+AI119+AI133))</f>
        <v>50.308471644934791</v>
      </c>
      <c r="AK133" s="330">
        <f>AK242*(AJ133/(AJ72+AJ105+AJ119+AJ133))</f>
        <v>50.865760178861684</v>
      </c>
      <c r="AL133" s="249"/>
    </row>
    <row r="134" spans="1:38" outlineLevel="1" x14ac:dyDescent="0.25">
      <c r="A134" s="166"/>
      <c r="B134" s="36" t="s">
        <v>110</v>
      </c>
      <c r="C134" s="27"/>
      <c r="D134" s="101">
        <v>300.39999999999998</v>
      </c>
      <c r="E134" s="101">
        <v>303.89999999999998</v>
      </c>
      <c r="F134" s="101">
        <v>299</v>
      </c>
      <c r="G134" s="173">
        <v>267.39999999999998</v>
      </c>
      <c r="H134" s="186"/>
      <c r="I134" s="173">
        <v>292.2</v>
      </c>
      <c r="J134" s="173">
        <v>271.60000000000002</v>
      </c>
      <c r="K134" s="173">
        <v>269.10000000000002</v>
      </c>
      <c r="L134" s="330">
        <f>+AVERAGE(G134,K134,I134,J134)</f>
        <v>275.07500000000005</v>
      </c>
      <c r="M134" s="351"/>
      <c r="N134" s="330">
        <f>+AVERAGE(I134,J134,K134,L134)</f>
        <v>276.99374999999998</v>
      </c>
      <c r="O134" s="330">
        <f>+AVERAGE(J134,K134,L134,N134)</f>
        <v>273.19218750000005</v>
      </c>
      <c r="P134" s="330">
        <f>+AVERAGE(K134,L134,O134,N134)</f>
        <v>273.59023437500002</v>
      </c>
      <c r="Q134" s="330">
        <f>+AVERAGE(L134,P134,N134,O134)</f>
        <v>274.71279296875002</v>
      </c>
      <c r="R134" s="249"/>
      <c r="S134" s="330">
        <f>+AVERAGE(N134,O134,P134,Q134)</f>
        <v>274.62224121093755</v>
      </c>
      <c r="T134" s="330">
        <f>+AVERAGE(O134,P134,Q134,S134)</f>
        <v>274.02936401367191</v>
      </c>
      <c r="U134" s="330">
        <f>+AVERAGE(P134,Q134,T134,S134)</f>
        <v>274.23865814208989</v>
      </c>
      <c r="V134" s="330">
        <f>+AVERAGE(Q134,U134,S134,T134)</f>
        <v>274.40076408386233</v>
      </c>
      <c r="W134" s="249"/>
      <c r="X134" s="330">
        <f>+AVERAGE(S134,T134,U134,V134)</f>
        <v>274.3227568626404</v>
      </c>
      <c r="Y134" s="330">
        <f>+AVERAGE(T134,U134,V134,X134)</f>
        <v>274.24788577556615</v>
      </c>
      <c r="Z134" s="330">
        <f>+AVERAGE(U134,V134,Y134,X134)</f>
        <v>274.30251621603969</v>
      </c>
      <c r="AA134" s="330">
        <f>+AVERAGE(V134,Z134,X134,Y134)</f>
        <v>274.31848073452716</v>
      </c>
      <c r="AB134" s="249"/>
      <c r="AC134" s="330">
        <f>+AVERAGE(X134,Y134,Z134,AA134)</f>
        <v>274.29790989719334</v>
      </c>
      <c r="AD134" s="330">
        <f>+AVERAGE(Y134,Z134,AA134,AC134)</f>
        <v>274.29169815583157</v>
      </c>
      <c r="AE134" s="330">
        <f>+AVERAGE(Z134,AA134,AD134,AC134)</f>
        <v>274.30265125089795</v>
      </c>
      <c r="AF134" s="330">
        <f>+AVERAGE(AA134,AE134,AC134,AD134)</f>
        <v>274.3026850096125</v>
      </c>
      <c r="AG134" s="249"/>
      <c r="AH134" s="330">
        <f>+AVERAGE(AC134,AD134,AE134,AF134)</f>
        <v>274.29873607838385</v>
      </c>
      <c r="AI134" s="330">
        <f>+AVERAGE(AD134,AE134,AF134,AH134)</f>
        <v>274.29894262368146</v>
      </c>
      <c r="AJ134" s="330">
        <f>+AVERAGE(AE134,AF134,AI134,AH134)</f>
        <v>274.30075374064393</v>
      </c>
      <c r="AK134" s="330">
        <f>+AVERAGE(AF134,AJ134,AH134,AI134)</f>
        <v>274.30027936308045</v>
      </c>
      <c r="AL134" s="249"/>
    </row>
    <row r="135" spans="1:38" ht="17.25" outlineLevel="1" x14ac:dyDescent="0.4">
      <c r="A135" s="166"/>
      <c r="B135" s="36" t="s">
        <v>118</v>
      </c>
      <c r="C135" s="27"/>
      <c r="D135" s="203">
        <v>13.9</v>
      </c>
      <c r="E135" s="203">
        <v>0.6</v>
      </c>
      <c r="F135" s="203">
        <v>6</v>
      </c>
      <c r="G135" s="203">
        <v>-0.9</v>
      </c>
      <c r="H135" s="250"/>
      <c r="I135" s="203">
        <v>0.3</v>
      </c>
      <c r="J135" s="203">
        <v>0</v>
      </c>
      <c r="K135" s="203">
        <v>22.1</v>
      </c>
      <c r="L135" s="330">
        <f>+AVERAGE(G135,K135,I135,J135)</f>
        <v>5.3750000000000009</v>
      </c>
      <c r="M135" s="351"/>
      <c r="N135" s="330">
        <f>+AVERAGE(I135,J135,K135,L135)</f>
        <v>6.9437500000000005</v>
      </c>
      <c r="O135" s="330">
        <f>+AVERAGE(J135,K135,L135,N135)</f>
        <v>8.6046875000000007</v>
      </c>
      <c r="P135" s="330">
        <f>+AVERAGE(K135,L135,O135,N135)</f>
        <v>10.755859375000002</v>
      </c>
      <c r="Q135" s="330">
        <f>+AVERAGE(L135,P135,N135,O135)</f>
        <v>7.9198242187500014</v>
      </c>
      <c r="R135" s="249"/>
      <c r="S135" s="330">
        <f>+AVERAGE(N135,O135,P135,Q135)</f>
        <v>8.5560302734375018</v>
      </c>
      <c r="T135" s="330">
        <f>+AVERAGE(O135,P135,Q135,S135)</f>
        <v>8.9591003417968764</v>
      </c>
      <c r="U135" s="330">
        <f>+AVERAGE(P135,Q135,T135,S135)</f>
        <v>9.0477035522460945</v>
      </c>
      <c r="V135" s="330">
        <f>+AVERAGE(Q135,U135,S135,T135)</f>
        <v>8.620664596557619</v>
      </c>
      <c r="W135" s="249"/>
      <c r="X135" s="330">
        <f>+AVERAGE(S135,T135,U135,V135)</f>
        <v>8.7958746910095229</v>
      </c>
      <c r="Y135" s="330">
        <f>+AVERAGE(T135,U135,V135,X135)</f>
        <v>8.8558357954025286</v>
      </c>
      <c r="Z135" s="330">
        <f>+AVERAGE(U135,V135,Y135,X135)</f>
        <v>8.8300196588039412</v>
      </c>
      <c r="AA135" s="330">
        <f>+AVERAGE(V135,Z135,X135,Y135)</f>
        <v>8.775598685443402</v>
      </c>
      <c r="AB135" s="249"/>
      <c r="AC135" s="330">
        <f>+AVERAGE(X135,Y135,Z135,AA135)</f>
        <v>8.8143322076648474</v>
      </c>
      <c r="AD135" s="330">
        <f>+AVERAGE(Y135,Z135,AA135,AC135)</f>
        <v>8.8189465868286803</v>
      </c>
      <c r="AE135" s="330">
        <f>+AVERAGE(Z135,AA135,AD135,AC135)</f>
        <v>8.8097242846852168</v>
      </c>
      <c r="AF135" s="330">
        <f>+AVERAGE(AA135,AE135,AC135,AD135)</f>
        <v>8.8046504411555375</v>
      </c>
      <c r="AG135" s="249"/>
      <c r="AH135" s="330">
        <f>+AVERAGE(AC135,AD135,AE135,AF135)</f>
        <v>8.8119133800835705</v>
      </c>
      <c r="AI135" s="330">
        <f>+AVERAGE(AD135,AE135,AF135,AH135)</f>
        <v>8.8113086731882504</v>
      </c>
      <c r="AJ135" s="330">
        <f>+AVERAGE(AE135,AF135,AI135,AH135)</f>
        <v>8.8093991947781447</v>
      </c>
      <c r="AK135" s="330">
        <f>+AVERAGE(AF135,AJ135,AH135,AI135)</f>
        <v>8.8093179223013749</v>
      </c>
      <c r="AL135" s="249"/>
    </row>
    <row r="136" spans="1:38" outlineLevel="1" x14ac:dyDescent="0.25">
      <c r="A136" s="166"/>
      <c r="B136" s="99" t="s">
        <v>146</v>
      </c>
      <c r="C136" s="30"/>
      <c r="D136" s="171">
        <f t="shared" ref="D136:J136" si="77">SUM(D131:D135)</f>
        <v>370.4</v>
      </c>
      <c r="E136" s="171">
        <f t="shared" si="77"/>
        <v>365.2</v>
      </c>
      <c r="F136" s="171">
        <f t="shared" si="77"/>
        <v>372.8</v>
      </c>
      <c r="G136" s="171">
        <f t="shared" si="77"/>
        <v>324.60000000000002</v>
      </c>
      <c r="H136" s="249"/>
      <c r="I136" s="171">
        <f t="shared" si="77"/>
        <v>350.9</v>
      </c>
      <c r="J136" s="171">
        <f t="shared" si="77"/>
        <v>320</v>
      </c>
      <c r="K136" s="171">
        <f>SUM(K131:K135)</f>
        <v>356.90000000000003</v>
      </c>
      <c r="L136" s="354">
        <f t="shared" ref="L136:Q136" si="78">SUM(L131:L135)</f>
        <v>343.61617141953781</v>
      </c>
      <c r="M136" s="351"/>
      <c r="N136" s="328">
        <f t="shared" si="78"/>
        <v>347.01882329930146</v>
      </c>
      <c r="O136" s="328">
        <f t="shared" si="78"/>
        <v>344.53786036101121</v>
      </c>
      <c r="P136" s="328">
        <f t="shared" si="78"/>
        <v>348.82652208217837</v>
      </c>
      <c r="Q136" s="328">
        <f t="shared" si="78"/>
        <v>346.59939479661961</v>
      </c>
      <c r="R136" s="311"/>
      <c r="S136" s="328">
        <f>SUM(S131:S135)</f>
        <v>347.48877717957765</v>
      </c>
      <c r="T136" s="328">
        <f>SUM(T131:T135)</f>
        <v>347.92649123286901</v>
      </c>
      <c r="U136" s="328">
        <f>SUM(U131:U135)</f>
        <v>348.658294048529</v>
      </c>
      <c r="V136" s="328">
        <f>SUM(V131:V135)</f>
        <v>348.61096087876035</v>
      </c>
      <c r="W136" s="311"/>
      <c r="X136" s="328">
        <f>SUM(X131:X135)</f>
        <v>349.14422628203846</v>
      </c>
      <c r="Y136" s="328">
        <f>SUM(Y131:Y135)</f>
        <v>349.82166327022895</v>
      </c>
      <c r="Z136" s="328">
        <f>SUM(Z131:Z135)</f>
        <v>350.14657759006809</v>
      </c>
      <c r="AA136" s="328">
        <f>SUM(AA131:AA135)</f>
        <v>350.50849109821377</v>
      </c>
      <c r="AB136" s="311"/>
      <c r="AC136" s="328">
        <f>SUM(AC131:AC135)</f>
        <v>350.99251192652468</v>
      </c>
      <c r="AD136" s="328">
        <f>SUM(AD131:AD135)</f>
        <v>351.76310421928815</v>
      </c>
      <c r="AE136" s="328">
        <f>SUM(AE131:AE135)</f>
        <v>352.08752366545889</v>
      </c>
      <c r="AF136" s="328">
        <f>SUM(AF131:AF135)</f>
        <v>352.57634263255284</v>
      </c>
      <c r="AG136" s="311"/>
      <c r="AH136" s="328">
        <f>SUM(AH131:AH135)</f>
        <v>353.0942751489759</v>
      </c>
      <c r="AI136" s="328">
        <f>SUM(AI131:AI135)</f>
        <v>353.94131311961854</v>
      </c>
      <c r="AJ136" s="328">
        <f>SUM(AJ131:AJ135)</f>
        <v>354.28878355612238</v>
      </c>
      <c r="AK136" s="328">
        <f>SUM(AK131:AK135)</f>
        <v>354.84505066278564</v>
      </c>
      <c r="AL136" s="311"/>
    </row>
    <row r="137" spans="1:38" outlineLevel="1" x14ac:dyDescent="0.25">
      <c r="A137" s="166"/>
      <c r="B137" s="99" t="s">
        <v>147</v>
      </c>
      <c r="C137" s="89"/>
      <c r="D137" s="301">
        <f t="shared" ref="D137:J137" si="79">D129-D136</f>
        <v>-358.79999999999995</v>
      </c>
      <c r="E137" s="301">
        <f t="shared" si="79"/>
        <v>-349.4</v>
      </c>
      <c r="F137" s="301">
        <f t="shared" si="79"/>
        <v>-349.5</v>
      </c>
      <c r="G137" s="301">
        <f t="shared" si="79"/>
        <v>-309.20000000000005</v>
      </c>
      <c r="H137" s="303"/>
      <c r="I137" s="301">
        <f t="shared" si="79"/>
        <v>-330.4</v>
      </c>
      <c r="J137" s="301">
        <f t="shared" si="79"/>
        <v>-308</v>
      </c>
      <c r="K137" s="301">
        <f>K129-K136</f>
        <v>-337.20000000000005</v>
      </c>
      <c r="L137" s="301">
        <f t="shared" ref="L137:Q137" si="80">L129-L136</f>
        <v>-330.52617141953783</v>
      </c>
      <c r="M137" s="311"/>
      <c r="N137" s="301">
        <f t="shared" si="80"/>
        <v>-327.54382329930144</v>
      </c>
      <c r="O137" s="301">
        <f t="shared" si="80"/>
        <v>-331.93786036101119</v>
      </c>
      <c r="P137" s="301">
        <f t="shared" si="80"/>
        <v>-328.14152208217837</v>
      </c>
      <c r="Q137" s="301">
        <f t="shared" si="80"/>
        <v>-332.85489479661959</v>
      </c>
      <c r="R137" s="311"/>
      <c r="S137" s="301">
        <f>S129-S136</f>
        <v>-327.04002717957763</v>
      </c>
      <c r="T137" s="301">
        <f>T129-T136</f>
        <v>-334.69649123286899</v>
      </c>
      <c r="U137" s="301">
        <f>U129-U136</f>
        <v>-326.93904404852901</v>
      </c>
      <c r="V137" s="301">
        <f>V129-V136</f>
        <v>-334.17923587876032</v>
      </c>
      <c r="W137" s="311"/>
      <c r="X137" s="301">
        <f>X129-X136</f>
        <v>-327.67303878203847</v>
      </c>
      <c r="Y137" s="301">
        <f>Y129-Y136</f>
        <v>-335.93016327022895</v>
      </c>
      <c r="Z137" s="301">
        <f>Z129-Z136</f>
        <v>-327.34136509006811</v>
      </c>
      <c r="AA137" s="301">
        <f>AA129-AA136</f>
        <v>-335.35517984821377</v>
      </c>
      <c r="AB137" s="311"/>
      <c r="AC137" s="301">
        <f>AC129-AC136</f>
        <v>-328.4477650515247</v>
      </c>
      <c r="AD137" s="301">
        <f>AD129-AD136</f>
        <v>-337.17702921928816</v>
      </c>
      <c r="AE137" s="301">
        <f>AE129-AE136</f>
        <v>-328.14205054045891</v>
      </c>
      <c r="AF137" s="301">
        <f>AF129-AF136</f>
        <v>-336.66536582005284</v>
      </c>
      <c r="AG137" s="311"/>
      <c r="AH137" s="301">
        <f>AH129-AH136</f>
        <v>-329.42229093022587</v>
      </c>
      <c r="AI137" s="301">
        <f>AI129-AI136</f>
        <v>-338.62593436961856</v>
      </c>
      <c r="AJ137" s="301">
        <f>AJ129-AJ136</f>
        <v>-329.14603677487236</v>
      </c>
      <c r="AK137" s="301">
        <f>AK129-AK136</f>
        <v>-338.13852500966061</v>
      </c>
      <c r="AL137" s="311"/>
    </row>
    <row r="138" spans="1:38" s="127" customFormat="1" outlineLevel="1" x14ac:dyDescent="0.25">
      <c r="A138" s="182"/>
      <c r="B138" s="130" t="s">
        <v>139</v>
      </c>
      <c r="C138" s="128"/>
      <c r="D138" s="112">
        <f t="shared" ref="D138:J138" si="81">D136-D133</f>
        <v>330.9</v>
      </c>
      <c r="E138" s="112">
        <f t="shared" si="81"/>
        <v>324.7</v>
      </c>
      <c r="F138" s="112">
        <f t="shared" si="81"/>
        <v>333.2</v>
      </c>
      <c r="G138" s="112">
        <f t="shared" si="81"/>
        <v>287.3</v>
      </c>
      <c r="H138" s="114"/>
      <c r="I138" s="112">
        <f t="shared" si="81"/>
        <v>316</v>
      </c>
      <c r="J138" s="112">
        <f t="shared" si="81"/>
        <v>285.5</v>
      </c>
      <c r="K138" s="112">
        <f>K136-K133</f>
        <v>316.00000000000006</v>
      </c>
      <c r="L138" s="205">
        <f t="shared" ref="L138:Q138" si="82">L136-L133</f>
        <v>301.20000000000005</v>
      </c>
      <c r="M138" s="254"/>
      <c r="N138" s="205">
        <f t="shared" si="82"/>
        <v>304.67499999999995</v>
      </c>
      <c r="O138" s="205">
        <f t="shared" si="82"/>
        <v>301.84375000000006</v>
      </c>
      <c r="P138" s="205">
        <f t="shared" si="82"/>
        <v>305.9296875</v>
      </c>
      <c r="Q138" s="205">
        <f t="shared" si="82"/>
        <v>303.41210937500006</v>
      </c>
      <c r="R138" s="254"/>
      <c r="S138" s="205">
        <f>S136-S133</f>
        <v>303.96513671875005</v>
      </c>
      <c r="T138" s="205">
        <f>T136-T133</f>
        <v>303.78767089843757</v>
      </c>
      <c r="U138" s="205">
        <f>U136-U133</f>
        <v>304.27365112304693</v>
      </c>
      <c r="V138" s="205">
        <f>V136-V133</f>
        <v>303.85964202880859</v>
      </c>
      <c r="W138" s="254"/>
      <c r="X138" s="205">
        <f>X136-X133</f>
        <v>303.9715251922608</v>
      </c>
      <c r="Y138" s="205">
        <f>Y136-Y133</f>
        <v>303.97312231063847</v>
      </c>
      <c r="Z138" s="205">
        <f>Z136-Z133</f>
        <v>304.01948516368867</v>
      </c>
      <c r="AA138" s="205">
        <f>AA136-AA133</f>
        <v>303.95594367384916</v>
      </c>
      <c r="AB138" s="254"/>
      <c r="AC138" s="205">
        <f>AC136-AC133</f>
        <v>303.98001908510923</v>
      </c>
      <c r="AD138" s="205">
        <f>AD136-AD133</f>
        <v>303.98214255832141</v>
      </c>
      <c r="AE138" s="205">
        <f>AE136-AE133</f>
        <v>303.98439762024208</v>
      </c>
      <c r="AF138" s="205">
        <f>AF136-AF133</f>
        <v>303.97562573438051</v>
      </c>
      <c r="AG138" s="254"/>
      <c r="AH138" s="205">
        <f>AH136-AH133</f>
        <v>303.98054624951334</v>
      </c>
      <c r="AI138" s="205">
        <f>AI136-AI133</f>
        <v>303.98067804061429</v>
      </c>
      <c r="AJ138" s="205">
        <f>AJ136-AJ133</f>
        <v>303.98031191118758</v>
      </c>
      <c r="AK138" s="205">
        <f>AK136-AK133</f>
        <v>303.97929048392393</v>
      </c>
      <c r="AL138" s="254"/>
    </row>
    <row r="139" spans="1:38" s="127" customFormat="1" outlineLevel="1" x14ac:dyDescent="0.25">
      <c r="A139" s="182"/>
      <c r="B139" s="130" t="s">
        <v>140</v>
      </c>
      <c r="C139" s="128"/>
      <c r="D139" s="131">
        <f t="shared" ref="D139:J139" si="83">+D138/D129</f>
        <v>28.525862068965516</v>
      </c>
      <c r="E139" s="131">
        <f t="shared" si="83"/>
        <v>20.550632911392402</v>
      </c>
      <c r="F139" s="131">
        <f t="shared" si="83"/>
        <v>14.300429184549355</v>
      </c>
      <c r="G139" s="196">
        <f t="shared" si="83"/>
        <v>18.655844155844157</v>
      </c>
      <c r="H139" s="129"/>
      <c r="I139" s="196">
        <f t="shared" si="83"/>
        <v>15.414634146341463</v>
      </c>
      <c r="J139" s="196">
        <f t="shared" si="83"/>
        <v>23.791666666666668</v>
      </c>
      <c r="K139" s="196">
        <f>+K138/K129</f>
        <v>16.040609137055842</v>
      </c>
      <c r="L139" s="196">
        <f t="shared" ref="L139:Q139" si="84">+L138/L129</f>
        <v>23.009931245225367</v>
      </c>
      <c r="M139" s="254"/>
      <c r="N139" s="196">
        <f t="shared" si="84"/>
        <v>15.644415917843387</v>
      </c>
      <c r="O139" s="196">
        <f t="shared" si="84"/>
        <v>23.955853174603178</v>
      </c>
      <c r="P139" s="196">
        <f t="shared" si="84"/>
        <v>14.789929296591733</v>
      </c>
      <c r="Q139" s="196">
        <f t="shared" si="84"/>
        <v>22.075165293390086</v>
      </c>
      <c r="R139" s="254"/>
      <c r="S139" s="196">
        <f>+S138/S129</f>
        <v>14.864729468488298</v>
      </c>
      <c r="T139" s="196">
        <f>+T138/T129</f>
        <v>22.962031058082957</v>
      </c>
      <c r="U139" s="196">
        <f>+U138/U129</f>
        <v>14.009399547546391</v>
      </c>
      <c r="V139" s="196">
        <f>+V138/V129</f>
        <v>21.054977282951871</v>
      </c>
      <c r="W139" s="254"/>
      <c r="X139" s="196">
        <f>+X138/X129</f>
        <v>14.157182745121144</v>
      </c>
      <c r="Y139" s="196">
        <f>+Y138/Y129</f>
        <v>21.881950999578045</v>
      </c>
      <c r="Z139" s="196">
        <f>+Z138/Z129</f>
        <v>13.33114020155211</v>
      </c>
      <c r="AA139" s="196">
        <f>+AA138/AA129</f>
        <v>20.05871447231371</v>
      </c>
      <c r="AB139" s="254"/>
      <c r="AC139" s="196">
        <f>+AC138/AC129</f>
        <v>13.483407942902851</v>
      </c>
      <c r="AD139" s="196">
        <f>+AD138/AD129</f>
        <v>20.840571747939137</v>
      </c>
      <c r="AE139" s="196">
        <f>+AE138/AE129</f>
        <v>12.694858691385413</v>
      </c>
      <c r="AF139" s="196">
        <f>+AF138/AF129</f>
        <v>19.104774604131833</v>
      </c>
      <c r="AG139" s="254"/>
      <c r="AH139" s="196">
        <f>+AH138/AH129</f>
        <v>12.841363167551361</v>
      </c>
      <c r="AI139" s="196">
        <f>+AI138/AI129</f>
        <v>19.848067945470444</v>
      </c>
      <c r="AJ139" s="196">
        <f>+AJ138/AJ129</f>
        <v>12.090179110338033</v>
      </c>
      <c r="AK139" s="196">
        <f>+AK138/AK129</f>
        <v>18.195242792870207</v>
      </c>
      <c r="AL139" s="254"/>
    </row>
    <row r="140" spans="1:38" ht="18" x14ac:dyDescent="0.4">
      <c r="A140" s="166"/>
      <c r="B140" s="448" t="s">
        <v>58</v>
      </c>
      <c r="C140" s="467"/>
      <c r="D140" s="23" t="s">
        <v>72</v>
      </c>
      <c r="E140" s="23" t="s">
        <v>211</v>
      </c>
      <c r="F140" s="23" t="s">
        <v>215</v>
      </c>
      <c r="G140" s="23" t="s">
        <v>225</v>
      </c>
      <c r="H140" s="77" t="s">
        <v>226</v>
      </c>
      <c r="I140" s="23" t="s">
        <v>227</v>
      </c>
      <c r="J140" s="23" t="s">
        <v>228</v>
      </c>
      <c r="K140" s="23" t="s">
        <v>229</v>
      </c>
      <c r="L140" s="21" t="s">
        <v>90</v>
      </c>
      <c r="M140" s="79" t="s">
        <v>91</v>
      </c>
      <c r="N140" s="21" t="s">
        <v>92</v>
      </c>
      <c r="O140" s="21" t="s">
        <v>93</v>
      </c>
      <c r="P140" s="21" t="s">
        <v>94</v>
      </c>
      <c r="Q140" s="21" t="s">
        <v>95</v>
      </c>
      <c r="R140" s="79" t="s">
        <v>96</v>
      </c>
      <c r="S140" s="21" t="s">
        <v>97</v>
      </c>
      <c r="T140" s="21" t="s">
        <v>98</v>
      </c>
      <c r="U140" s="21" t="s">
        <v>99</v>
      </c>
      <c r="V140" s="21" t="s">
        <v>100</v>
      </c>
      <c r="W140" s="79" t="s">
        <v>101</v>
      </c>
      <c r="X140" s="21" t="s">
        <v>102</v>
      </c>
      <c r="Y140" s="21" t="s">
        <v>103</v>
      </c>
      <c r="Z140" s="21" t="s">
        <v>104</v>
      </c>
      <c r="AA140" s="21" t="s">
        <v>105</v>
      </c>
      <c r="AB140" s="79" t="s">
        <v>106</v>
      </c>
      <c r="AC140" s="21" t="s">
        <v>220</v>
      </c>
      <c r="AD140" s="21" t="s">
        <v>221</v>
      </c>
      <c r="AE140" s="21" t="s">
        <v>222</v>
      </c>
      <c r="AF140" s="21" t="s">
        <v>223</v>
      </c>
      <c r="AG140" s="79" t="s">
        <v>224</v>
      </c>
      <c r="AH140" s="21" t="s">
        <v>253</v>
      </c>
      <c r="AI140" s="21" t="s">
        <v>254</v>
      </c>
      <c r="AJ140" s="21" t="s">
        <v>255</v>
      </c>
      <c r="AK140" s="21" t="s">
        <v>256</v>
      </c>
      <c r="AL140" s="79" t="s">
        <v>257</v>
      </c>
    </row>
    <row r="141" spans="1:38" s="134" customFormat="1" ht="15.6" customHeight="1" outlineLevel="1" x14ac:dyDescent="0.25">
      <c r="A141" s="262"/>
      <c r="B141" s="110" t="s">
        <v>149</v>
      </c>
      <c r="C141" s="135"/>
      <c r="D141" s="112">
        <f>+D56+D89-D13</f>
        <v>0</v>
      </c>
      <c r="E141" s="112">
        <f>+E56+E89-E13</f>
        <v>0</v>
      </c>
      <c r="F141" s="205">
        <f>+F56+F89-F13</f>
        <v>0</v>
      </c>
      <c r="G141" s="112">
        <f>+G56+G89-G13</f>
        <v>0</v>
      </c>
      <c r="H141" s="114"/>
      <c r="I141" s="112">
        <f>+I56+I89-I13</f>
        <v>0</v>
      </c>
      <c r="J141" s="112">
        <f>+J56+J89-J13</f>
        <v>0</v>
      </c>
      <c r="K141" s="205">
        <f>+K56+K89-K13</f>
        <v>0</v>
      </c>
      <c r="L141" s="205">
        <f t="shared" ref="L141:AK141" si="85">+L56+L89-L13</f>
        <v>0</v>
      </c>
      <c r="M141" s="245"/>
      <c r="N141" s="205">
        <f t="shared" si="85"/>
        <v>0</v>
      </c>
      <c r="O141" s="205">
        <f t="shared" si="85"/>
        <v>0</v>
      </c>
      <c r="P141" s="205">
        <f t="shared" si="85"/>
        <v>0</v>
      </c>
      <c r="Q141" s="205">
        <f t="shared" si="85"/>
        <v>0</v>
      </c>
      <c r="R141" s="245"/>
      <c r="S141" s="205">
        <f t="shared" si="85"/>
        <v>0</v>
      </c>
      <c r="T141" s="205">
        <f t="shared" si="85"/>
        <v>0</v>
      </c>
      <c r="U141" s="205">
        <f t="shared" si="85"/>
        <v>0</v>
      </c>
      <c r="V141" s="205">
        <f t="shared" si="85"/>
        <v>0</v>
      </c>
      <c r="W141" s="245"/>
      <c r="X141" s="205">
        <f t="shared" si="85"/>
        <v>0</v>
      </c>
      <c r="Y141" s="205">
        <f t="shared" si="85"/>
        <v>0</v>
      </c>
      <c r="Z141" s="205">
        <f t="shared" si="85"/>
        <v>0</v>
      </c>
      <c r="AA141" s="205">
        <f t="shared" si="85"/>
        <v>0</v>
      </c>
      <c r="AB141" s="245"/>
      <c r="AC141" s="205">
        <f t="shared" si="85"/>
        <v>0</v>
      </c>
      <c r="AD141" s="205">
        <f t="shared" si="85"/>
        <v>0</v>
      </c>
      <c r="AE141" s="205">
        <f t="shared" si="85"/>
        <v>0</v>
      </c>
      <c r="AF141" s="205">
        <f t="shared" si="85"/>
        <v>0</v>
      </c>
      <c r="AG141" s="245"/>
      <c r="AH141" s="205">
        <f t="shared" si="85"/>
        <v>0</v>
      </c>
      <c r="AI141" s="205">
        <f t="shared" si="85"/>
        <v>0</v>
      </c>
      <c r="AJ141" s="205">
        <f t="shared" si="85"/>
        <v>0</v>
      </c>
      <c r="AK141" s="205">
        <f t="shared" si="85"/>
        <v>0</v>
      </c>
      <c r="AL141" s="245"/>
    </row>
    <row r="142" spans="1:38" s="134" customFormat="1" ht="15.6" customHeight="1" outlineLevel="1" x14ac:dyDescent="0.25">
      <c r="A142" s="262"/>
      <c r="B142" s="110" t="s">
        <v>150</v>
      </c>
      <c r="C142" s="135"/>
      <c r="D142" s="112">
        <f>+D63+D96-D14</f>
        <v>0</v>
      </c>
      <c r="E142" s="112">
        <f>+E63+E96-E14</f>
        <v>0</v>
      </c>
      <c r="F142" s="205">
        <f>+F63+F96-F14</f>
        <v>0</v>
      </c>
      <c r="G142" s="112">
        <f>+G63+G96-G14</f>
        <v>0</v>
      </c>
      <c r="H142" s="114"/>
      <c r="I142" s="112">
        <f>+I63+I96-I14</f>
        <v>0</v>
      </c>
      <c r="J142" s="112">
        <f>+J63+J96-J14</f>
        <v>0</v>
      </c>
      <c r="K142" s="205">
        <f>+K63+K96-K14</f>
        <v>0</v>
      </c>
      <c r="L142" s="205">
        <f t="shared" ref="L142:AK142" si="86">+L63+L96-L14</f>
        <v>0</v>
      </c>
      <c r="M142" s="245"/>
      <c r="N142" s="205">
        <f t="shared" si="86"/>
        <v>0</v>
      </c>
      <c r="O142" s="205">
        <f t="shared" si="86"/>
        <v>0</v>
      </c>
      <c r="P142" s="205">
        <f t="shared" si="86"/>
        <v>0</v>
      </c>
      <c r="Q142" s="205">
        <f t="shared" si="86"/>
        <v>0</v>
      </c>
      <c r="R142" s="245"/>
      <c r="S142" s="205">
        <f t="shared" si="86"/>
        <v>0</v>
      </c>
      <c r="T142" s="205">
        <f t="shared" si="86"/>
        <v>0</v>
      </c>
      <c r="U142" s="205">
        <f t="shared" si="86"/>
        <v>0</v>
      </c>
      <c r="V142" s="205">
        <f t="shared" si="86"/>
        <v>0</v>
      </c>
      <c r="W142" s="245"/>
      <c r="X142" s="205">
        <f t="shared" si="86"/>
        <v>0</v>
      </c>
      <c r="Y142" s="205">
        <f t="shared" si="86"/>
        <v>0</v>
      </c>
      <c r="Z142" s="205">
        <f t="shared" si="86"/>
        <v>0</v>
      </c>
      <c r="AA142" s="205">
        <f t="shared" si="86"/>
        <v>0</v>
      </c>
      <c r="AB142" s="245"/>
      <c r="AC142" s="205">
        <f t="shared" si="86"/>
        <v>0</v>
      </c>
      <c r="AD142" s="205">
        <f t="shared" si="86"/>
        <v>0</v>
      </c>
      <c r="AE142" s="205">
        <f t="shared" si="86"/>
        <v>0</v>
      </c>
      <c r="AF142" s="205">
        <f t="shared" si="86"/>
        <v>0</v>
      </c>
      <c r="AG142" s="245"/>
      <c r="AH142" s="205">
        <f t="shared" si="86"/>
        <v>0</v>
      </c>
      <c r="AI142" s="205">
        <f t="shared" si="86"/>
        <v>0</v>
      </c>
      <c r="AJ142" s="205">
        <f t="shared" si="86"/>
        <v>0</v>
      </c>
      <c r="AK142" s="205">
        <f t="shared" si="86"/>
        <v>0</v>
      </c>
      <c r="AL142" s="245"/>
    </row>
    <row r="143" spans="1:38" s="134" customFormat="1" ht="15.6" customHeight="1" outlineLevel="1" x14ac:dyDescent="0.25">
      <c r="A143" s="262"/>
      <c r="B143" s="110" t="s">
        <v>151</v>
      </c>
      <c r="C143" s="135"/>
      <c r="D143" s="112">
        <f>+D64+D97+D115+D129-D15</f>
        <v>0</v>
      </c>
      <c r="E143" s="112">
        <f>+E64+E97+E115+E129-E15</f>
        <v>0</v>
      </c>
      <c r="F143" s="205">
        <f>+F64+F97+F115+F129-F15</f>
        <v>0</v>
      </c>
      <c r="G143" s="112">
        <f>+G64+G97+G115+G129-G15</f>
        <v>0</v>
      </c>
      <c r="H143" s="114"/>
      <c r="I143" s="112">
        <f>+I64+I97+I115+I129-I15</f>
        <v>0</v>
      </c>
      <c r="J143" s="112">
        <f>+J64+J97+J115+J129-J15</f>
        <v>0</v>
      </c>
      <c r="K143" s="205">
        <f>+K64+K97+K115+K129-K15</f>
        <v>0</v>
      </c>
      <c r="L143" s="205">
        <f t="shared" ref="L143:AK143" si="87">+L64+L97+L115+L129-L15</f>
        <v>0</v>
      </c>
      <c r="M143" s="245"/>
      <c r="N143" s="205">
        <f t="shared" si="87"/>
        <v>0</v>
      </c>
      <c r="O143" s="205">
        <f t="shared" si="87"/>
        <v>0</v>
      </c>
      <c r="P143" s="205">
        <f t="shared" si="87"/>
        <v>0</v>
      </c>
      <c r="Q143" s="205">
        <f t="shared" si="87"/>
        <v>0</v>
      </c>
      <c r="R143" s="245"/>
      <c r="S143" s="205">
        <f t="shared" si="87"/>
        <v>0</v>
      </c>
      <c r="T143" s="205">
        <f t="shared" si="87"/>
        <v>0</v>
      </c>
      <c r="U143" s="205">
        <f t="shared" si="87"/>
        <v>0</v>
      </c>
      <c r="V143" s="205">
        <f t="shared" si="87"/>
        <v>0</v>
      </c>
      <c r="W143" s="245"/>
      <c r="X143" s="205">
        <f t="shared" si="87"/>
        <v>0</v>
      </c>
      <c r="Y143" s="205">
        <f t="shared" si="87"/>
        <v>0</v>
      </c>
      <c r="Z143" s="205">
        <f t="shared" si="87"/>
        <v>0</v>
      </c>
      <c r="AA143" s="205">
        <f t="shared" si="87"/>
        <v>0</v>
      </c>
      <c r="AB143" s="245"/>
      <c r="AC143" s="205">
        <f t="shared" si="87"/>
        <v>0</v>
      </c>
      <c r="AD143" s="205">
        <f t="shared" si="87"/>
        <v>0</v>
      </c>
      <c r="AE143" s="205">
        <f t="shared" si="87"/>
        <v>0</v>
      </c>
      <c r="AF143" s="205">
        <f t="shared" si="87"/>
        <v>0</v>
      </c>
      <c r="AG143" s="245"/>
      <c r="AH143" s="205">
        <f t="shared" si="87"/>
        <v>0</v>
      </c>
      <c r="AI143" s="205">
        <f t="shared" si="87"/>
        <v>0</v>
      </c>
      <c r="AJ143" s="205">
        <f t="shared" si="87"/>
        <v>0</v>
      </c>
      <c r="AK143" s="205">
        <f t="shared" si="87"/>
        <v>0</v>
      </c>
      <c r="AL143" s="245"/>
    </row>
    <row r="144" spans="1:38" s="134" customFormat="1" ht="15.6" customHeight="1" outlineLevel="1" x14ac:dyDescent="0.25">
      <c r="A144" s="262"/>
      <c r="B144" s="110" t="s">
        <v>111</v>
      </c>
      <c r="C144" s="135"/>
      <c r="D144" s="112">
        <f>+D123+D109-D24</f>
        <v>0</v>
      </c>
      <c r="E144" s="112">
        <f>+E123+E109-E24</f>
        <v>0</v>
      </c>
      <c r="F144" s="205">
        <f>+F123+F109-F24</f>
        <v>0</v>
      </c>
      <c r="G144" s="112">
        <f>+G123+G109-G24</f>
        <v>0</v>
      </c>
      <c r="H144" s="114"/>
      <c r="I144" s="112">
        <f>+I123+I109-I24</f>
        <v>0</v>
      </c>
      <c r="J144" s="112">
        <f>+J123+J109-J24</f>
        <v>0</v>
      </c>
      <c r="K144" s="205">
        <f>+K123+K109-K24</f>
        <v>0</v>
      </c>
      <c r="L144" s="205">
        <f>+L123+L109-L24</f>
        <v>0</v>
      </c>
      <c r="M144" s="245"/>
      <c r="N144" s="205">
        <f t="shared" ref="N144:AK144" si="88">+N123+N109-N24</f>
        <v>0</v>
      </c>
      <c r="O144" s="205">
        <f t="shared" si="88"/>
        <v>0</v>
      </c>
      <c r="P144" s="205">
        <f t="shared" si="88"/>
        <v>0</v>
      </c>
      <c r="Q144" s="205">
        <f t="shared" si="88"/>
        <v>0</v>
      </c>
      <c r="R144" s="245"/>
      <c r="S144" s="205">
        <f t="shared" si="88"/>
        <v>0</v>
      </c>
      <c r="T144" s="205">
        <f t="shared" si="88"/>
        <v>0</v>
      </c>
      <c r="U144" s="205">
        <f t="shared" si="88"/>
        <v>0</v>
      </c>
      <c r="V144" s="205">
        <f t="shared" si="88"/>
        <v>0</v>
      </c>
      <c r="W144" s="245"/>
      <c r="X144" s="205">
        <f t="shared" si="88"/>
        <v>0</v>
      </c>
      <c r="Y144" s="205">
        <f t="shared" si="88"/>
        <v>0</v>
      </c>
      <c r="Z144" s="205">
        <f t="shared" si="88"/>
        <v>0</v>
      </c>
      <c r="AA144" s="205">
        <f t="shared" si="88"/>
        <v>0</v>
      </c>
      <c r="AB144" s="245"/>
      <c r="AC144" s="205">
        <f t="shared" si="88"/>
        <v>0</v>
      </c>
      <c r="AD144" s="205">
        <f t="shared" si="88"/>
        <v>0</v>
      </c>
      <c r="AE144" s="205">
        <f t="shared" si="88"/>
        <v>0</v>
      </c>
      <c r="AF144" s="205">
        <f t="shared" si="88"/>
        <v>0</v>
      </c>
      <c r="AG144" s="245"/>
      <c r="AH144" s="205">
        <f t="shared" si="88"/>
        <v>0</v>
      </c>
      <c r="AI144" s="205">
        <f t="shared" si="88"/>
        <v>0</v>
      </c>
      <c r="AJ144" s="205">
        <f t="shared" si="88"/>
        <v>0</v>
      </c>
      <c r="AK144" s="205">
        <f t="shared" si="88"/>
        <v>0</v>
      </c>
      <c r="AL144" s="245"/>
    </row>
    <row r="145" spans="1:38" s="134" customFormat="1" ht="2.1" customHeight="1" outlineLevel="1" x14ac:dyDescent="0.25">
      <c r="A145" s="262"/>
      <c r="B145" s="110" t="s">
        <v>152</v>
      </c>
      <c r="C145" s="135"/>
      <c r="D145" s="112">
        <f>+D76+D110+D124+D137-D25</f>
        <v>0</v>
      </c>
      <c r="E145" s="112">
        <f>+E76+E110+E124+E137-E25</f>
        <v>0</v>
      </c>
      <c r="F145" s="205">
        <f>+F76+F110+F124+F137-F25</f>
        <v>0</v>
      </c>
      <c r="G145" s="112">
        <f>+G76+G110+G124+G137-G25</f>
        <v>9.9999999998544808E-2</v>
      </c>
      <c r="H145" s="114"/>
      <c r="I145" s="112">
        <f>+I76+I110+I124+I137-I25</f>
        <v>0</v>
      </c>
      <c r="J145" s="112">
        <f>+J76+J110+J124+J137-J25</f>
        <v>6.8212102632969618E-13</v>
      </c>
      <c r="K145" s="205">
        <f>+K76+K110+K124+K137-K25</f>
        <v>0</v>
      </c>
      <c r="L145" s="205">
        <f>+L76+L110+L124+L137-L25</f>
        <v>7.9580786405131221E-13</v>
      </c>
      <c r="M145" s="245"/>
      <c r="N145" s="205">
        <f t="shared" ref="N145:AK145" si="89">+N76+N110+N124+N137-N25</f>
        <v>0</v>
      </c>
      <c r="O145" s="205">
        <f t="shared" si="89"/>
        <v>0</v>
      </c>
      <c r="P145" s="205">
        <f t="shared" si="89"/>
        <v>0</v>
      </c>
      <c r="Q145" s="205">
        <f t="shared" si="89"/>
        <v>0</v>
      </c>
      <c r="R145" s="245"/>
      <c r="S145" s="205">
        <v>0</v>
      </c>
      <c r="T145" s="205">
        <f t="shared" si="89"/>
        <v>0</v>
      </c>
      <c r="U145" s="205">
        <f t="shared" si="89"/>
        <v>0</v>
      </c>
      <c r="V145" s="205">
        <f t="shared" si="89"/>
        <v>0</v>
      </c>
      <c r="W145" s="245"/>
      <c r="X145" s="205">
        <f t="shared" si="89"/>
        <v>0</v>
      </c>
      <c r="Y145" s="205">
        <f t="shared" si="89"/>
        <v>0</v>
      </c>
      <c r="Z145" s="205">
        <f t="shared" si="89"/>
        <v>0</v>
      </c>
      <c r="AA145" s="205">
        <f t="shared" si="89"/>
        <v>0</v>
      </c>
      <c r="AB145" s="245"/>
      <c r="AC145" s="205">
        <f t="shared" si="89"/>
        <v>0</v>
      </c>
      <c r="AD145" s="205">
        <f t="shared" si="89"/>
        <v>0</v>
      </c>
      <c r="AE145" s="205">
        <f t="shared" si="89"/>
        <v>0</v>
      </c>
      <c r="AF145" s="205">
        <f t="shared" si="89"/>
        <v>0</v>
      </c>
      <c r="AG145" s="245"/>
      <c r="AH145" s="205">
        <f t="shared" si="89"/>
        <v>0</v>
      </c>
      <c r="AI145" s="205">
        <f t="shared" si="89"/>
        <v>0</v>
      </c>
      <c r="AJ145" s="205">
        <f t="shared" si="89"/>
        <v>0</v>
      </c>
      <c r="AK145" s="205">
        <f t="shared" si="89"/>
        <v>0</v>
      </c>
      <c r="AL145" s="245"/>
    </row>
    <row r="146" spans="1:38" ht="15" customHeight="1" x14ac:dyDescent="0.4">
      <c r="A146" s="166"/>
      <c r="B146" s="448" t="s">
        <v>38</v>
      </c>
      <c r="C146" s="467"/>
      <c r="D146" s="23" t="s">
        <v>72</v>
      </c>
      <c r="E146" s="23" t="s">
        <v>211</v>
      </c>
      <c r="F146" s="23" t="s">
        <v>215</v>
      </c>
      <c r="G146" s="23" t="s">
        <v>225</v>
      </c>
      <c r="H146" s="77" t="s">
        <v>226</v>
      </c>
      <c r="I146" s="23" t="s">
        <v>227</v>
      </c>
      <c r="J146" s="23" t="s">
        <v>228</v>
      </c>
      <c r="K146" s="23" t="s">
        <v>229</v>
      </c>
      <c r="L146" s="21" t="s">
        <v>90</v>
      </c>
      <c r="M146" s="79" t="s">
        <v>91</v>
      </c>
      <c r="N146" s="21" t="s">
        <v>92</v>
      </c>
      <c r="O146" s="21" t="s">
        <v>93</v>
      </c>
      <c r="P146" s="21" t="s">
        <v>94</v>
      </c>
      <c r="Q146" s="21" t="s">
        <v>95</v>
      </c>
      <c r="R146" s="79" t="s">
        <v>96</v>
      </c>
      <c r="S146" s="21" t="s">
        <v>97</v>
      </c>
      <c r="T146" s="21" t="s">
        <v>98</v>
      </c>
      <c r="U146" s="21" t="s">
        <v>99</v>
      </c>
      <c r="V146" s="21" t="s">
        <v>100</v>
      </c>
      <c r="W146" s="79" t="s">
        <v>101</v>
      </c>
      <c r="X146" s="21" t="s">
        <v>102</v>
      </c>
      <c r="Y146" s="21" t="s">
        <v>103</v>
      </c>
      <c r="Z146" s="21" t="s">
        <v>104</v>
      </c>
      <c r="AA146" s="21" t="s">
        <v>105</v>
      </c>
      <c r="AB146" s="79" t="s">
        <v>106</v>
      </c>
      <c r="AC146" s="21" t="s">
        <v>220</v>
      </c>
      <c r="AD146" s="21" t="s">
        <v>221</v>
      </c>
      <c r="AE146" s="21" t="s">
        <v>222</v>
      </c>
      <c r="AF146" s="21" t="s">
        <v>223</v>
      </c>
      <c r="AG146" s="79" t="s">
        <v>224</v>
      </c>
      <c r="AH146" s="21" t="s">
        <v>253</v>
      </c>
      <c r="AI146" s="21" t="s">
        <v>254</v>
      </c>
      <c r="AJ146" s="21" t="s">
        <v>255</v>
      </c>
      <c r="AK146" s="21" t="s">
        <v>256</v>
      </c>
      <c r="AL146" s="79" t="s">
        <v>257</v>
      </c>
    </row>
    <row r="147" spans="1:38" s="34" customFormat="1" outlineLevel="1" x14ac:dyDescent="0.25">
      <c r="A147" s="231"/>
      <c r="B147" s="452" t="s">
        <v>68</v>
      </c>
      <c r="C147" s="453"/>
      <c r="D147" s="47"/>
      <c r="E147" s="47"/>
      <c r="F147" s="47"/>
      <c r="G147" s="47"/>
      <c r="H147" s="263"/>
      <c r="I147" s="47">
        <f t="shared" ref="I147:AL147" si="90">I16/D16-1</f>
        <v>7.0016735266180907E-2</v>
      </c>
      <c r="J147" s="47">
        <f t="shared" si="90"/>
        <v>-4.9192026514851106E-2</v>
      </c>
      <c r="K147" s="47">
        <f t="shared" si="90"/>
        <v>-0.38119595485856661</v>
      </c>
      <c r="L147" s="47">
        <f t="shared" si="90"/>
        <v>-0.10171407268406574</v>
      </c>
      <c r="M147" s="235">
        <f t="shared" si="90"/>
        <v>-0.11818673367885857</v>
      </c>
      <c r="N147" s="47">
        <f t="shared" si="90"/>
        <v>-2.1379530029974614E-4</v>
      </c>
      <c r="O147" s="47">
        <f t="shared" si="90"/>
        <v>0.13115730716917429</v>
      </c>
      <c r="P147" s="47">
        <f t="shared" si="90"/>
        <v>0.66479121646052897</v>
      </c>
      <c r="Q147" s="47">
        <f t="shared" si="90"/>
        <v>0.18553232364789918</v>
      </c>
      <c r="R147" s="235">
        <f t="shared" si="90"/>
        <v>0.20175450977444309</v>
      </c>
      <c r="S147" s="47">
        <f t="shared" si="90"/>
        <v>0.11681007887393724</v>
      </c>
      <c r="T147" s="47">
        <f t="shared" si="90"/>
        <v>4.7056487943201164E-2</v>
      </c>
      <c r="U147" s="47">
        <f t="shared" si="90"/>
        <v>5.7964546392362815E-2</v>
      </c>
      <c r="V147" s="47">
        <f t="shared" si="90"/>
        <v>6.1294802659098258E-2</v>
      </c>
      <c r="W147" s="235">
        <f t="shared" si="90"/>
        <v>7.104640278426011E-2</v>
      </c>
      <c r="X147" s="47">
        <f t="shared" si="90"/>
        <v>4.9548767431867979E-2</v>
      </c>
      <c r="Y147" s="47">
        <f t="shared" si="90"/>
        <v>4.6819311518763174E-2</v>
      </c>
      <c r="Z147" s="47">
        <f t="shared" si="90"/>
        <v>5.4022572819216075E-2</v>
      </c>
      <c r="AA147" s="47">
        <f t="shared" si="90"/>
        <v>4.7257613968275436E-2</v>
      </c>
      <c r="AB147" s="235">
        <f t="shared" si="90"/>
        <v>4.9429609782138062E-2</v>
      </c>
      <c r="AC147" s="47">
        <f t="shared" si="90"/>
        <v>6.0091635156303003E-2</v>
      </c>
      <c r="AD147" s="47">
        <f t="shared" si="90"/>
        <v>5.2754285061252348E-2</v>
      </c>
      <c r="AE147" s="47">
        <f t="shared" si="90"/>
        <v>5.9853154639126327E-2</v>
      </c>
      <c r="AF147" s="47">
        <f t="shared" si="90"/>
        <v>5.4166498511326822E-2</v>
      </c>
      <c r="AG147" s="235">
        <f t="shared" si="90"/>
        <v>5.6806393842302239E-2</v>
      </c>
      <c r="AH147" s="47">
        <f t="shared" si="90"/>
        <v>5.7065717444098052E-2</v>
      </c>
      <c r="AI147" s="47">
        <f t="shared" si="90"/>
        <v>4.9087428258343335E-2</v>
      </c>
      <c r="AJ147" s="47">
        <f t="shared" si="90"/>
        <v>5.6829923604834187E-2</v>
      </c>
      <c r="AK147" s="47">
        <f t="shared" si="90"/>
        <v>5.7705899032400643E-2</v>
      </c>
      <c r="AL147" s="235">
        <f t="shared" si="90"/>
        <v>5.5297391702240128E-2</v>
      </c>
    </row>
    <row r="148" spans="1:38" s="34" customFormat="1" outlineLevel="1" x14ac:dyDescent="0.25">
      <c r="A148" s="231"/>
      <c r="B148" s="452" t="s">
        <v>23</v>
      </c>
      <c r="C148" s="453"/>
      <c r="D148" s="45">
        <f t="shared" ref="D148:AK148" si="91">D25/D16</f>
        <v>0.15313522396610738</v>
      </c>
      <c r="E148" s="45">
        <f t="shared" si="91"/>
        <v>0.13601547756862614</v>
      </c>
      <c r="F148" s="45">
        <f t="shared" si="91"/>
        <v>0.16434119888612064</v>
      </c>
      <c r="G148" s="45">
        <f t="shared" si="91"/>
        <v>0.16054542759745088</v>
      </c>
      <c r="H148" s="46">
        <f t="shared" si="91"/>
        <v>0.15383309567461143</v>
      </c>
      <c r="I148" s="45">
        <f t="shared" si="91"/>
        <v>0.1718730185568752</v>
      </c>
      <c r="J148" s="45">
        <f t="shared" si="91"/>
        <v>8.1291592307820446E-2</v>
      </c>
      <c r="K148" s="45">
        <f t="shared" si="91"/>
        <v>-0.16671798394164022</v>
      </c>
      <c r="L148" s="45">
        <f t="shared" si="91"/>
        <v>6.115958059546004E-2</v>
      </c>
      <c r="M148" s="263">
        <f t="shared" si="91"/>
        <v>5.8777954526637741E-2</v>
      </c>
      <c r="N148" s="191">
        <f t="shared" si="91"/>
        <v>0.13047551381856748</v>
      </c>
      <c r="O148" s="191">
        <f t="shared" si="91"/>
        <v>0.13599239541183275</v>
      </c>
      <c r="P148" s="191">
        <f t="shared" si="91"/>
        <v>0.14713122536925291</v>
      </c>
      <c r="Q148" s="191">
        <f t="shared" si="91"/>
        <v>0.15688675381172329</v>
      </c>
      <c r="R148" s="263">
        <f t="shared" ref="R148" si="92">R25/R16</f>
        <v>0.14273025693693775</v>
      </c>
      <c r="S148" s="191">
        <f t="shared" si="91"/>
        <v>0.11225582947801077</v>
      </c>
      <c r="T148" s="191">
        <f t="shared" si="91"/>
        <v>0.14021797113790707</v>
      </c>
      <c r="U148" s="191">
        <f t="shared" si="91"/>
        <v>0.1508699388760458</v>
      </c>
      <c r="V148" s="191">
        <f t="shared" si="91"/>
        <v>0.16055136960347724</v>
      </c>
      <c r="W148" s="263">
        <f t="shared" ref="W148" si="93">W25/W16</f>
        <v>0.14063949370301126</v>
      </c>
      <c r="X148" s="191">
        <f t="shared" si="91"/>
        <v>0.15487316842846943</v>
      </c>
      <c r="Y148" s="191">
        <f t="shared" si="91"/>
        <v>0.14138808621026799</v>
      </c>
      <c r="Z148" s="191">
        <f t="shared" si="91"/>
        <v>0.15236539059305754</v>
      </c>
      <c r="AA148" s="191">
        <f t="shared" si="91"/>
        <v>0.16154945336477972</v>
      </c>
      <c r="AB148" s="263">
        <f t="shared" ref="AB148" si="94">AB25/AB16</f>
        <v>0.15276441639624269</v>
      </c>
      <c r="AC148" s="191">
        <f t="shared" si="91"/>
        <v>0.15446021942283486</v>
      </c>
      <c r="AD148" s="191">
        <f t="shared" si="91"/>
        <v>0.14206734286169118</v>
      </c>
      <c r="AE148" s="191">
        <f t="shared" si="91"/>
        <v>0.15477170168278209</v>
      </c>
      <c r="AF148" s="191">
        <f t="shared" si="91"/>
        <v>0.16352850120561535</v>
      </c>
      <c r="AG148" s="263">
        <f t="shared" ref="AG148" si="95">AG25/AG16</f>
        <v>0.15391912522108536</v>
      </c>
      <c r="AH148" s="191">
        <f t="shared" si="91"/>
        <v>0.15624425760843882</v>
      </c>
      <c r="AI148" s="191">
        <f t="shared" si="91"/>
        <v>0.14363958701651233</v>
      </c>
      <c r="AJ148" s="191">
        <f t="shared" si="91"/>
        <v>0.1565798812235871</v>
      </c>
      <c r="AK148" s="191">
        <f t="shared" si="91"/>
        <v>0.16555298730611778</v>
      </c>
      <c r="AL148" s="263">
        <f t="shared" ref="AL148" si="96">AL25/AL16</f>
        <v>0.15574304155185154</v>
      </c>
    </row>
    <row r="149" spans="1:38" s="34" customFormat="1" outlineLevel="1" x14ac:dyDescent="0.25">
      <c r="A149" s="231"/>
      <c r="B149" s="452" t="s">
        <v>195</v>
      </c>
      <c r="C149" s="453"/>
      <c r="D149" s="45">
        <f t="shared" ref="D149:AK149" si="97">+D27/D16</f>
        <v>0.17394123056975294</v>
      </c>
      <c r="E149" s="45">
        <f t="shared" si="97"/>
        <v>0.15843892227913536</v>
      </c>
      <c r="F149" s="45">
        <f t="shared" si="97"/>
        <v>0.18270555474131628</v>
      </c>
      <c r="G149" s="45">
        <f t="shared" si="97"/>
        <v>0.17201719282644154</v>
      </c>
      <c r="H149" s="46">
        <f t="shared" si="97"/>
        <v>0.17201964645435841</v>
      </c>
      <c r="I149" s="45">
        <f t="shared" si="97"/>
        <v>0.1819616463062376</v>
      </c>
      <c r="J149" s="45">
        <f t="shared" si="97"/>
        <v>9.2432910252347358E-2</v>
      </c>
      <c r="K149" s="45">
        <f t="shared" si="97"/>
        <v>-0.12558205632268285</v>
      </c>
      <c r="L149" s="191">
        <f t="shared" si="97"/>
        <v>9.201392339752329E-2</v>
      </c>
      <c r="M149" s="263">
        <f t="shared" si="97"/>
        <v>8.0128390429801827E-2</v>
      </c>
      <c r="N149" s="191">
        <f t="shared" si="97"/>
        <v>0.14776056363698867</v>
      </c>
      <c r="O149" s="191">
        <f t="shared" si="97"/>
        <v>0.15379348886321773</v>
      </c>
      <c r="P149" s="191">
        <f t="shared" si="97"/>
        <v>0.16393957947102242</v>
      </c>
      <c r="Q149" s="191">
        <f t="shared" si="97"/>
        <v>0.16113682062130238</v>
      </c>
      <c r="R149" s="263">
        <f t="shared" ref="R149" si="98">+R27/R16</f>
        <v>0.15668658398711391</v>
      </c>
      <c r="S149" s="191">
        <f t="shared" si="97"/>
        <v>0.12768047096513419</v>
      </c>
      <c r="T149" s="191">
        <f t="shared" si="97"/>
        <v>0.15832193229996466</v>
      </c>
      <c r="U149" s="191">
        <f t="shared" si="97"/>
        <v>0.1691961853580369</v>
      </c>
      <c r="V149" s="191">
        <f t="shared" si="97"/>
        <v>0.17780969220827683</v>
      </c>
      <c r="W149" s="263">
        <f t="shared" ref="W149" si="99">+W27/W16</f>
        <v>0.15787839494958814</v>
      </c>
      <c r="X149" s="191">
        <f t="shared" si="97"/>
        <v>0.16986415000924035</v>
      </c>
      <c r="Y149" s="191">
        <f t="shared" si="97"/>
        <v>0.15819468440123807</v>
      </c>
      <c r="Z149" s="191">
        <f t="shared" si="97"/>
        <v>0.16837199794327065</v>
      </c>
      <c r="AA149" s="191">
        <f t="shared" si="97"/>
        <v>0.17737412413751191</v>
      </c>
      <c r="AB149" s="263">
        <f t="shared" ref="AB149" si="100">+AB27/AB16</f>
        <v>0.16864582654877538</v>
      </c>
      <c r="AC149" s="191">
        <f t="shared" si="97"/>
        <v>0.16892300511086381</v>
      </c>
      <c r="AD149" s="191">
        <f t="shared" si="97"/>
        <v>0.15844597831517657</v>
      </c>
      <c r="AE149" s="191">
        <f t="shared" si="97"/>
        <v>0.17019552501131033</v>
      </c>
      <c r="AF149" s="191">
        <f t="shared" si="97"/>
        <v>0.17862729056922938</v>
      </c>
      <c r="AG149" s="263">
        <f t="shared" ref="AG149" si="101">+AG27/AG16</f>
        <v>0.1692309440107638</v>
      </c>
      <c r="AH149" s="191">
        <f t="shared" si="97"/>
        <v>0.1698223906046652</v>
      </c>
      <c r="AI149" s="191">
        <f t="shared" si="97"/>
        <v>0.15908189627198702</v>
      </c>
      <c r="AJ149" s="191">
        <f t="shared" si="97"/>
        <v>0.1710471126124086</v>
      </c>
      <c r="AK149" s="191">
        <f t="shared" si="97"/>
        <v>0.17983882349079761</v>
      </c>
      <c r="AL149" s="263">
        <f t="shared" ref="AL149" si="102">+AL27/AL16</f>
        <v>0.17015642450848728</v>
      </c>
    </row>
    <row r="150" spans="1:38" s="34" customFormat="1" outlineLevel="1" x14ac:dyDescent="0.25">
      <c r="A150" s="231"/>
      <c r="B150" s="452" t="s">
        <v>2</v>
      </c>
      <c r="C150" s="453"/>
      <c r="D150" s="45">
        <f t="shared" ref="D150:K150" si="103">D32/D31</f>
        <v>0.2124287933713101</v>
      </c>
      <c r="E150" s="45">
        <f t="shared" si="103"/>
        <v>0.1965853658536586</v>
      </c>
      <c r="F150" s="45">
        <f t="shared" si="103"/>
        <v>0.18110799689903978</v>
      </c>
      <c r="G150" s="200">
        <f t="shared" si="103"/>
        <v>0.20083682008368189</v>
      </c>
      <c r="H150" s="263">
        <f t="shared" si="103"/>
        <v>0.19515471765706843</v>
      </c>
      <c r="I150" s="200">
        <f t="shared" si="103"/>
        <v>0.22600104913446431</v>
      </c>
      <c r="J150" s="200">
        <f t="shared" si="103"/>
        <v>0.16760635571501836</v>
      </c>
      <c r="K150" s="200">
        <f t="shared" si="103"/>
        <v>0.16490147783251249</v>
      </c>
      <c r="L150" s="355">
        <v>0.25</v>
      </c>
      <c r="M150" s="263">
        <f>M32/M31</f>
        <v>0.25973022434236775</v>
      </c>
      <c r="N150" s="355">
        <v>0.25</v>
      </c>
      <c r="O150" s="355">
        <v>0.25</v>
      </c>
      <c r="P150" s="355">
        <v>0.25</v>
      </c>
      <c r="Q150" s="355">
        <v>0.25</v>
      </c>
      <c r="R150" s="263">
        <f>R32/R31</f>
        <v>0.24999999999999975</v>
      </c>
      <c r="S150" s="355">
        <v>0.25</v>
      </c>
      <c r="T150" s="355">
        <v>0.25</v>
      </c>
      <c r="U150" s="355">
        <v>0.25</v>
      </c>
      <c r="V150" s="355">
        <v>0.25</v>
      </c>
      <c r="W150" s="263">
        <f>W32/W31</f>
        <v>0.25</v>
      </c>
      <c r="X150" s="355">
        <v>0.25</v>
      </c>
      <c r="Y150" s="355">
        <v>0.25</v>
      </c>
      <c r="Z150" s="355">
        <v>0.25</v>
      </c>
      <c r="AA150" s="355">
        <v>0.25</v>
      </c>
      <c r="AB150" s="263">
        <f>AB32/AB31</f>
        <v>0.24999999999999981</v>
      </c>
      <c r="AC150" s="355">
        <v>0.25</v>
      </c>
      <c r="AD150" s="355">
        <v>0.25</v>
      </c>
      <c r="AE150" s="355">
        <v>0.25</v>
      </c>
      <c r="AF150" s="355">
        <v>0.25</v>
      </c>
      <c r="AG150" s="263">
        <f>AG32/AG31</f>
        <v>0.24999999999999972</v>
      </c>
      <c r="AH150" s="355">
        <v>0.25</v>
      </c>
      <c r="AI150" s="355">
        <v>0.25</v>
      </c>
      <c r="AJ150" s="355">
        <v>0.25</v>
      </c>
      <c r="AK150" s="355">
        <v>0.25</v>
      </c>
      <c r="AL150" s="263">
        <f>AL32/AL31</f>
        <v>0.25000000000000011</v>
      </c>
    </row>
    <row r="151" spans="1:38" s="34" customFormat="1" outlineLevel="1" x14ac:dyDescent="0.25">
      <c r="A151" s="231"/>
      <c r="B151" s="452" t="s">
        <v>196</v>
      </c>
      <c r="C151" s="453"/>
      <c r="D151" s="45"/>
      <c r="E151" s="369">
        <f>+E29/(((E184+E185+E190)+(D184+D185+D190))/2)</f>
        <v>3.9788492749070724E-3</v>
      </c>
      <c r="F151" s="369">
        <f>+F29/(((F184+F185+F190)+(E184+E185+E190))/2)</f>
        <v>1.0803982960882591E-2</v>
      </c>
      <c r="G151" s="369">
        <f>+G29/(((G184+G185+G190)+(F184+F185+F190))/2)</f>
        <v>4.0571485463958548E-3</v>
      </c>
      <c r="H151" s="46"/>
      <c r="I151" s="369">
        <f>+I29/(((I184+I185+I190)+(G184+G185+G190))/2)</f>
        <v>5.059021922428325E-3</v>
      </c>
      <c r="J151" s="369">
        <f>+J29/(((J184+J185+J190)+(I184+I185+I190))/2)</f>
        <v>6.5224126404356893E-4</v>
      </c>
      <c r="K151" s="369">
        <f>+K29/(((K184+K185+K190)+(J184+J185+J190))/2)</f>
        <v>3.5067373536558396E-3</v>
      </c>
      <c r="L151" s="369">
        <f>K151</f>
        <v>3.5067373536558396E-3</v>
      </c>
      <c r="M151" s="263">
        <f>+M29/((M184+M185+M190)+(H184+H185+H190)/2)</f>
        <v>8.5118003558648115E-3</v>
      </c>
      <c r="N151" s="369">
        <f>L151</f>
        <v>3.5067373536558396E-3</v>
      </c>
      <c r="O151" s="369">
        <f t="shared" ref="O151:Q152" si="104">N151</f>
        <v>3.5067373536558396E-3</v>
      </c>
      <c r="P151" s="369">
        <f t="shared" si="104"/>
        <v>3.5067373536558396E-3</v>
      </c>
      <c r="Q151" s="369">
        <f t="shared" si="104"/>
        <v>3.5067373536558396E-3</v>
      </c>
      <c r="R151" s="263">
        <f>+R29/((R184+R185+R190)+(M184+M185+M190)/2)</f>
        <v>1.3022089446395515E-2</v>
      </c>
      <c r="S151" s="369">
        <f>Q151</f>
        <v>3.5067373536558396E-3</v>
      </c>
      <c r="T151" s="369">
        <f t="shared" ref="T151:V152" si="105">S151</f>
        <v>3.5067373536558396E-3</v>
      </c>
      <c r="U151" s="369">
        <f t="shared" si="105"/>
        <v>3.5067373536558396E-3</v>
      </c>
      <c r="V151" s="369">
        <f t="shared" si="105"/>
        <v>3.5067373536558396E-3</v>
      </c>
      <c r="W151" s="263">
        <f>+W29/((W184+W185+W190)+(R184+R185+R190)/2)</f>
        <v>1.5804568519513694E-2</v>
      </c>
      <c r="X151" s="369">
        <f>V151</f>
        <v>3.5067373536558396E-3</v>
      </c>
      <c r="Y151" s="369">
        <f t="shared" ref="Y151:AA152" si="106">X151</f>
        <v>3.5067373536558396E-3</v>
      </c>
      <c r="Z151" s="369">
        <f t="shared" si="106"/>
        <v>3.5067373536558396E-3</v>
      </c>
      <c r="AA151" s="369">
        <f t="shared" si="106"/>
        <v>3.5067373536558396E-3</v>
      </c>
      <c r="AB151" s="263">
        <f>+AB29/((AB184+AB185+AB190)+(W184+W185+W190)/2)</f>
        <v>2.1529617208839533E-2</v>
      </c>
      <c r="AC151" s="369">
        <f>AA151</f>
        <v>3.5067373536558396E-3</v>
      </c>
      <c r="AD151" s="369">
        <f t="shared" ref="AD151:AF152" si="107">AC151</f>
        <v>3.5067373536558396E-3</v>
      </c>
      <c r="AE151" s="369">
        <f t="shared" si="107"/>
        <v>3.5067373536558396E-3</v>
      </c>
      <c r="AF151" s="369">
        <f t="shared" si="107"/>
        <v>3.5067373536558396E-3</v>
      </c>
      <c r="AG151" s="263">
        <f>+AG29/((AG184+AG185+AG190)+(AB184+AB185+AB190)/2)</f>
        <v>2.9294790428919137E-2</v>
      </c>
      <c r="AH151" s="369">
        <f>AF151</f>
        <v>3.5067373536558396E-3</v>
      </c>
      <c r="AI151" s="369">
        <f t="shared" ref="AI151:AK152" si="108">AH151</f>
        <v>3.5067373536558396E-3</v>
      </c>
      <c r="AJ151" s="369">
        <f t="shared" si="108"/>
        <v>3.5067373536558396E-3</v>
      </c>
      <c r="AK151" s="369">
        <f t="shared" si="108"/>
        <v>3.5067373536558396E-3</v>
      </c>
      <c r="AL151" s="263">
        <f>+AL29/((AL184+AL185+AL190)+(AG184+AG185+AG190)/2)</f>
        <v>3.4228711382557252E-2</v>
      </c>
    </row>
    <row r="152" spans="1:38" s="34" customFormat="1" outlineLevel="1" x14ac:dyDescent="0.25">
      <c r="A152" s="231"/>
      <c r="B152" s="452" t="s">
        <v>197</v>
      </c>
      <c r="C152" s="453"/>
      <c r="D152" s="45"/>
      <c r="E152" s="45">
        <f>-E30/((((E206+E209)+(D206+D209))/2))</f>
        <v>8.0557251242696429E-3</v>
      </c>
      <c r="F152" s="45">
        <f>-F30/((((F206+F209)+(E206+E209))/2))</f>
        <v>8.4807318557490342E-3</v>
      </c>
      <c r="G152" s="45">
        <f>-G30/((((G206+G209)+(F206+F209))/2))</f>
        <v>8.572925858076421E-3</v>
      </c>
      <c r="H152" s="46"/>
      <c r="I152" s="45">
        <f>-I30/((((I206+I209)+(G206+G209))/2))</f>
        <v>8.0554679008449908E-3</v>
      </c>
      <c r="J152" s="45">
        <f>-J30/((((J206+J209)+(I206+I209))/2))</f>
        <v>7.730372102084551E-3</v>
      </c>
      <c r="K152" s="45">
        <f>-K30/((((K206+K209)+(J206+J209))/2))</f>
        <v>7.8322294946980078E-3</v>
      </c>
      <c r="L152" s="191">
        <f>K152</f>
        <v>7.8322294946980078E-3</v>
      </c>
      <c r="M152" s="263">
        <f>-M30/((((M206+M209)+(H206+H209))/2))</f>
        <v>3.2199010742146421E-2</v>
      </c>
      <c r="N152" s="191">
        <f>L152</f>
        <v>7.8322294946980078E-3</v>
      </c>
      <c r="O152" s="191">
        <f t="shared" si="104"/>
        <v>7.8322294946980078E-3</v>
      </c>
      <c r="P152" s="191">
        <f t="shared" si="104"/>
        <v>7.8322294946980078E-3</v>
      </c>
      <c r="Q152" s="191">
        <f t="shared" si="104"/>
        <v>7.8322294946980078E-3</v>
      </c>
      <c r="R152" s="263">
        <f>-R30/((((R206+R209)+(M206+M209))/2))</f>
        <v>3.1771091506963757E-2</v>
      </c>
      <c r="S152" s="191">
        <f>Q152</f>
        <v>7.8322294946980078E-3</v>
      </c>
      <c r="T152" s="191">
        <f t="shared" si="105"/>
        <v>7.8322294946980078E-3</v>
      </c>
      <c r="U152" s="191">
        <f t="shared" si="105"/>
        <v>7.8322294946980078E-3</v>
      </c>
      <c r="V152" s="191">
        <f t="shared" si="105"/>
        <v>7.8322294946980078E-3</v>
      </c>
      <c r="W152" s="263">
        <f>-W30/((((W206+W209)+(R206+R209))/2))</f>
        <v>3.0983429737885242E-2</v>
      </c>
      <c r="X152" s="191">
        <f>V152</f>
        <v>7.8322294946980078E-3</v>
      </c>
      <c r="Y152" s="191">
        <f t="shared" si="106"/>
        <v>7.8322294946980078E-3</v>
      </c>
      <c r="Z152" s="191">
        <f t="shared" si="106"/>
        <v>7.8322294946980078E-3</v>
      </c>
      <c r="AA152" s="191">
        <f t="shared" si="106"/>
        <v>7.8322294946980078E-3</v>
      </c>
      <c r="AB152" s="263">
        <f>-AB30/((((AB206+AB209)+(W206+W209))/2))</f>
        <v>3.1557257550479188E-2</v>
      </c>
      <c r="AC152" s="191">
        <f>AA152</f>
        <v>7.8322294946980078E-3</v>
      </c>
      <c r="AD152" s="191">
        <f t="shared" si="107"/>
        <v>7.8322294946980078E-3</v>
      </c>
      <c r="AE152" s="191">
        <f t="shared" si="107"/>
        <v>7.8322294946980078E-3</v>
      </c>
      <c r="AF152" s="191">
        <f t="shared" si="107"/>
        <v>7.8322294946980078E-3</v>
      </c>
      <c r="AG152" s="263">
        <f>-AG30/((((AG206+AG209)+(AB206+AB209))/2))</f>
        <v>3.0909337858026277E-2</v>
      </c>
      <c r="AH152" s="191">
        <f>AF152</f>
        <v>7.8322294946980078E-3</v>
      </c>
      <c r="AI152" s="191">
        <f t="shared" si="108"/>
        <v>7.8322294946980078E-3</v>
      </c>
      <c r="AJ152" s="191">
        <f t="shared" si="108"/>
        <v>7.8322294946980078E-3</v>
      </c>
      <c r="AK152" s="191">
        <f t="shared" si="108"/>
        <v>7.8322294946980078E-3</v>
      </c>
      <c r="AL152" s="263">
        <f>-AL30/((((AL206+AL209)+(AG206+AG209))/2))</f>
        <v>3.0875775492224426E-2</v>
      </c>
    </row>
    <row r="153" spans="1:38" s="34" customFormat="1" outlineLevel="1" x14ac:dyDescent="0.25">
      <c r="A153" s="231"/>
      <c r="B153" s="279" t="s">
        <v>284</v>
      </c>
      <c r="C153" s="280"/>
      <c r="D153" s="45"/>
      <c r="E153" s="45"/>
      <c r="F153" s="45"/>
      <c r="G153" s="45"/>
      <c r="H153" s="46"/>
      <c r="I153" s="45">
        <f>I42/D42-1</f>
        <v>5.9389868457878192E-2</v>
      </c>
      <c r="J153" s="45">
        <f>J42/E42-1</f>
        <v>-0.47460546003783222</v>
      </c>
      <c r="K153" s="45">
        <f>K42/F42-1</f>
        <v>-1.5922286955663072</v>
      </c>
      <c r="L153" s="45">
        <f>L42/G42-1</f>
        <v>-0.5903686502943738</v>
      </c>
      <c r="M153" s="263">
        <f t="shared" ref="M153" si="109">M42/H42-1</f>
        <v>-0.6735570816288422</v>
      </c>
      <c r="N153" s="45">
        <f>N42/I42-1</f>
        <v>-0.22657082919950511</v>
      </c>
      <c r="O153" s="45">
        <f>O42/J42-1</f>
        <v>0.95631249036331312</v>
      </c>
      <c r="P153" s="45">
        <f>P42/K42-1</f>
        <v>-2.5071157165487583</v>
      </c>
      <c r="Q153" s="45">
        <f>Q42/L42-1</f>
        <v>1.470815136160994</v>
      </c>
      <c r="R153" s="263">
        <f t="shared" ref="R153" si="110">R42/M42-1</f>
        <v>1.8450879541619791</v>
      </c>
      <c r="S153" s="45">
        <f>S42/N42-1</f>
        <v>5.7526689011830889E-3</v>
      </c>
      <c r="T153" s="45">
        <f>T42/O42-1</f>
        <v>0.13652141145944952</v>
      </c>
      <c r="U153" s="45">
        <f>U42/P42-1</f>
        <v>0.15004503680362724</v>
      </c>
      <c r="V153" s="45">
        <f>V42/Q42-1</f>
        <v>0.24557396100009754</v>
      </c>
      <c r="W153" s="263">
        <f t="shared" ref="W153" si="111">W42/R42-1</f>
        <v>0.13842442780693376</v>
      </c>
      <c r="X153" s="45">
        <f>X42/S42-1</f>
        <v>0.49181975883080042</v>
      </c>
      <c r="Y153" s="45">
        <f>Y42/T42-1</f>
        <v>9.4619057301911669E-2</v>
      </c>
      <c r="Z153" s="45">
        <f>Z42/U42-1</f>
        <v>9.6900719382771783E-2</v>
      </c>
      <c r="AA153" s="45">
        <f>AA42/V42-1</f>
        <v>9.2963630238767525E-2</v>
      </c>
      <c r="AB153" s="263">
        <f t="shared" ref="AB153" si="112">AB42/W42-1</f>
        <v>0.17652889753501211</v>
      </c>
      <c r="AC153" s="45">
        <f>AC42/X42-1</f>
        <v>0.10644962318667583</v>
      </c>
      <c r="AD153" s="45">
        <f>AD42/Y42-1</f>
        <v>0.10944412656007985</v>
      </c>
      <c r="AE153" s="45">
        <f>AE42/Z42-1</f>
        <v>0.12595153380607282</v>
      </c>
      <c r="AF153" s="45">
        <f>AF42/AA42-1</f>
        <v>0.11397544840010565</v>
      </c>
      <c r="AG153" s="263">
        <f t="shared" ref="AG153" si="113">AG42/AB42-1</f>
        <v>0.1140157288300705</v>
      </c>
      <c r="AH153" s="45">
        <f>AH42/AC42-1</f>
        <v>0.11143607530605881</v>
      </c>
      <c r="AI153" s="45">
        <f>AI42/AD42-1</f>
        <v>0.10286783365207874</v>
      </c>
      <c r="AJ153" s="45">
        <f>AJ42/AE42-1</f>
        <v>0.11101401314986781</v>
      </c>
      <c r="AK153" s="45">
        <f>AK42/AF42-1</f>
        <v>0.11335437537056969</v>
      </c>
      <c r="AL153" s="263">
        <f t="shared" ref="AL153" si="114">AL42/AG42-1</f>
        <v>0.1099884414233232</v>
      </c>
    </row>
    <row r="154" spans="1:38" s="34" customFormat="1" outlineLevel="1" x14ac:dyDescent="0.25">
      <c r="A154" s="231"/>
      <c r="B154" s="279" t="s">
        <v>285</v>
      </c>
      <c r="C154" s="280"/>
      <c r="D154" s="45"/>
      <c r="E154" s="45"/>
      <c r="F154" s="45"/>
      <c r="G154" s="45"/>
      <c r="H154" s="46"/>
      <c r="I154" s="45">
        <f>I257/D257-1</f>
        <v>-0.22820512820512895</v>
      </c>
      <c r="J154" s="45">
        <f>J257/E257-1</f>
        <v>-4.4869364754098413</v>
      </c>
      <c r="K154" s="45">
        <f>K257/F257-1</f>
        <v>-1.314434752864716</v>
      </c>
      <c r="L154" s="45">
        <f>L257/G257-1</f>
        <v>-0.24600250526717193</v>
      </c>
      <c r="M154" s="263">
        <f t="shared" ref="M154" si="115">M257/H257-1</f>
        <v>-0.81323096873061784</v>
      </c>
      <c r="N154" s="45">
        <f>N257/I257-1</f>
        <v>-0.19012777129856751</v>
      </c>
      <c r="O154" s="45">
        <f>O257/J257-1</f>
        <v>-1.6647296796540467</v>
      </c>
      <c r="P154" s="45">
        <f>P257/K257-1</f>
        <v>-3.4791506703731669</v>
      </c>
      <c r="Q154" s="45">
        <f>Q257/L257-1</f>
        <v>0.51790104771533541</v>
      </c>
      <c r="R154" s="263">
        <f t="shared" ref="R154" si="116">R257/M257-1</f>
        <v>3.8500716435664248</v>
      </c>
      <c r="S154" s="45">
        <f>S257/N257-1</f>
        <v>-2.4812910870175564E-3</v>
      </c>
      <c r="T154" s="45">
        <f>T257/O257-1</f>
        <v>0.21203887721454096</v>
      </c>
      <c r="U154" s="45">
        <f>U257/P257-1</f>
        <v>0.29505801655159303</v>
      </c>
      <c r="V154" s="45">
        <f>V257/Q257-1</f>
        <v>-9.3333612211112582E-2</v>
      </c>
      <c r="W154" s="263">
        <f t="shared" ref="W154" si="117">W257/R257-1</f>
        <v>7.4105189415138994E-2</v>
      </c>
      <c r="X154" s="45">
        <f>X257/S257-1</f>
        <v>0.33541333931332717</v>
      </c>
      <c r="Y154" s="45">
        <f>Y257/T257-1</f>
        <v>-0.11245057842952277</v>
      </c>
      <c r="Z154" s="45">
        <f>Z257/U257-1</f>
        <v>5.5843995499128773E-2</v>
      </c>
      <c r="AA154" s="45">
        <f>AA257/V257-1</f>
        <v>6.246356800057451E-2</v>
      </c>
      <c r="AB154" s="263">
        <f t="shared" ref="AB154" si="118">AB257/W257-1</f>
        <v>0.10425487363793229</v>
      </c>
      <c r="AC154" s="45">
        <f>AC257/X257-1</f>
        <v>-1.2871002681416277E-2</v>
      </c>
      <c r="AD154" s="45">
        <f>AD257/Y257-1</f>
        <v>0.16264910516339603</v>
      </c>
      <c r="AE154" s="45">
        <f>AE257/Z257-1</f>
        <v>6.7790666284197609E-2</v>
      </c>
      <c r="AF154" s="45">
        <f>AF257/AA257-1</f>
        <v>6.598819646465115E-2</v>
      </c>
      <c r="AG154" s="263">
        <f t="shared" ref="AG154" si="119">AG257/AB257-1</f>
        <v>5.494749007407207E-2</v>
      </c>
      <c r="AH154" s="45">
        <f>AH257/AC257-1</f>
        <v>7.8279227210969138E-2</v>
      </c>
      <c r="AI154" s="45">
        <f>AI257/AD257-1</f>
        <v>5.2750594144442386E-2</v>
      </c>
      <c r="AJ154" s="45">
        <f>AJ257/AE257-1</f>
        <v>5.8884911620807001E-2</v>
      </c>
      <c r="AK154" s="45">
        <f>AK257/AF257-1</f>
        <v>5.9324471515433741E-2</v>
      </c>
      <c r="AL154" s="263">
        <f t="shared" ref="AL154" si="120">AL257/AG257-1</f>
        <v>6.4400702669918042E-2</v>
      </c>
    </row>
    <row r="155" spans="1:38" s="34" customFormat="1" outlineLevel="1" x14ac:dyDescent="0.25">
      <c r="A155" s="231"/>
      <c r="B155" s="279" t="s">
        <v>286</v>
      </c>
      <c r="C155" s="280"/>
      <c r="D155" s="45"/>
      <c r="E155" s="45"/>
      <c r="F155" s="45"/>
      <c r="G155" s="45"/>
      <c r="H155" s="46"/>
      <c r="I155" s="45">
        <f>I277/D277-1</f>
        <v>-0.24626052526546416</v>
      </c>
      <c r="J155" s="45">
        <f>J277/E277-1</f>
        <v>-54.448153641029251</v>
      </c>
      <c r="K155" s="45">
        <f>K277/F277-1</f>
        <v>-1.8247638380081703</v>
      </c>
      <c r="L155" s="45">
        <f>L277/G277-1</f>
        <v>-0.12800631519264349</v>
      </c>
      <c r="M155" s="263">
        <f t="shared" ref="M155" si="121">M277/H277-1</f>
        <v>-1.0662662700094006</v>
      </c>
      <c r="N155" s="45">
        <f>N277/I277-1</f>
        <v>-0.23413451044275413</v>
      </c>
      <c r="O155" s="45">
        <f>O277/J277-1</f>
        <v>-1.3574709714523014</v>
      </c>
      <c r="P155" s="45">
        <f>P277/K277-1</f>
        <v>-1.8807091407086065</v>
      </c>
      <c r="Q155" s="45">
        <f>Q277/L277-1</f>
        <v>0.62359485776928669</v>
      </c>
      <c r="R155" s="263">
        <f t="shared" ref="R155" si="122">R277/M277-1</f>
        <v>-15.076973715564847</v>
      </c>
      <c r="S155" s="45">
        <f>S277/N277-1</f>
        <v>-5.4968041287668301E-2</v>
      </c>
      <c r="T155" s="45">
        <f>T277/O277-1</f>
        <v>0.27533490220566015</v>
      </c>
      <c r="U155" s="45">
        <f>U277/P277-1</f>
        <v>0.40422237971830244</v>
      </c>
      <c r="V155" s="45">
        <f>V277/Q277-1</f>
        <v>-0.16757559973713121</v>
      </c>
      <c r="W155" s="263">
        <f t="shared" ref="W155" si="123">W277/R277-1</f>
        <v>5.4894145932997462E-2</v>
      </c>
      <c r="X155" s="45">
        <f>X277/S277-1</f>
        <v>0.42842953245926263</v>
      </c>
      <c r="Y155" s="45">
        <f>Y277/T277-1</f>
        <v>-0.19795177129193675</v>
      </c>
      <c r="Z155" s="45">
        <f>Z277/U277-1</f>
        <v>4.4251963366056746E-2</v>
      </c>
      <c r="AA155" s="45">
        <f>AA277/V277-1</f>
        <v>5.7702588887970085E-2</v>
      </c>
      <c r="AB155" s="263">
        <f t="shared" ref="AB155" si="124">AB277/W277-1</f>
        <v>0.11649470878057966</v>
      </c>
      <c r="AC155" s="45">
        <f>AC277/X277-1</f>
        <v>-4.1112232529225801E-2</v>
      </c>
      <c r="AD155" s="45">
        <f>AD277/Y277-1</f>
        <v>0.20878657056740835</v>
      </c>
      <c r="AE155" s="45">
        <f>AE277/Z277-1</f>
        <v>5.6054723839939369E-2</v>
      </c>
      <c r="AF155" s="45">
        <f>AF277/AA277-1</f>
        <v>5.6472310301767026E-2</v>
      </c>
      <c r="AG155" s="263">
        <f t="shared" ref="AG155" si="125">AG277/AB277-1</f>
        <v>4.0625736015570402E-2</v>
      </c>
      <c r="AH155" s="45">
        <f>AH277/AC277-1</f>
        <v>7.8223576613491552E-2</v>
      </c>
      <c r="AI155" s="45">
        <f>AI277/AD277-1</f>
        <v>4.2267605281207876E-2</v>
      </c>
      <c r="AJ155" s="45">
        <f>AJ277/AE277-1</f>
        <v>4.9288379290310491E-2</v>
      </c>
      <c r="AK155" s="45">
        <f>AK277/AF277-1</f>
        <v>4.9205932331108038E-2</v>
      </c>
      <c r="AL155" s="263">
        <f t="shared" ref="AL155" si="126">AL277/AG277-1</f>
        <v>5.8852830377176479E-2</v>
      </c>
    </row>
    <row r="156" spans="1:38" ht="18" x14ac:dyDescent="0.4">
      <c r="A156" s="166"/>
      <c r="B156" s="448" t="s">
        <v>274</v>
      </c>
      <c r="C156" s="467"/>
      <c r="D156" s="23" t="s">
        <v>72</v>
      </c>
      <c r="E156" s="23" t="s">
        <v>211</v>
      </c>
      <c r="F156" s="23" t="s">
        <v>215</v>
      </c>
      <c r="G156" s="23" t="s">
        <v>225</v>
      </c>
      <c r="H156" s="77" t="s">
        <v>226</v>
      </c>
      <c r="I156" s="23" t="s">
        <v>227</v>
      </c>
      <c r="J156" s="23" t="s">
        <v>228</v>
      </c>
      <c r="K156" s="23" t="s">
        <v>229</v>
      </c>
      <c r="L156" s="21" t="s">
        <v>90</v>
      </c>
      <c r="M156" s="79" t="s">
        <v>91</v>
      </c>
      <c r="N156" s="21" t="s">
        <v>92</v>
      </c>
      <c r="O156" s="21" t="s">
        <v>93</v>
      </c>
      <c r="P156" s="21" t="s">
        <v>94</v>
      </c>
      <c r="Q156" s="21" t="s">
        <v>95</v>
      </c>
      <c r="R156" s="79" t="s">
        <v>91</v>
      </c>
      <c r="S156" s="21" t="s">
        <v>97</v>
      </c>
      <c r="T156" s="21" t="s">
        <v>98</v>
      </c>
      <c r="U156" s="21" t="s">
        <v>99</v>
      </c>
      <c r="V156" s="21" t="s">
        <v>100</v>
      </c>
      <c r="W156" s="79" t="s">
        <v>91</v>
      </c>
      <c r="X156" s="21" t="s">
        <v>102</v>
      </c>
      <c r="Y156" s="21" t="s">
        <v>103</v>
      </c>
      <c r="Z156" s="21" t="s">
        <v>104</v>
      </c>
      <c r="AA156" s="21" t="s">
        <v>105</v>
      </c>
      <c r="AB156" s="79" t="s">
        <v>91</v>
      </c>
      <c r="AC156" s="21" t="s">
        <v>220</v>
      </c>
      <c r="AD156" s="21" t="s">
        <v>221</v>
      </c>
      <c r="AE156" s="21" t="s">
        <v>222</v>
      </c>
      <c r="AF156" s="21" t="s">
        <v>223</v>
      </c>
      <c r="AG156" s="79" t="s">
        <v>91</v>
      </c>
      <c r="AH156" s="21" t="s">
        <v>253</v>
      </c>
      <c r="AI156" s="21" t="s">
        <v>254</v>
      </c>
      <c r="AJ156" s="21" t="s">
        <v>255</v>
      </c>
      <c r="AK156" s="21" t="s">
        <v>256</v>
      </c>
      <c r="AL156" s="79" t="s">
        <v>91</v>
      </c>
    </row>
    <row r="157" spans="1:38" outlineLevel="1" x14ac:dyDescent="0.25">
      <c r="A157" s="166"/>
      <c r="B157" s="452" t="s">
        <v>35</v>
      </c>
      <c r="C157" s="453"/>
      <c r="D157" s="45"/>
      <c r="E157" s="45">
        <f>(E38+E161+E164+E167)/D38-1</f>
        <v>2.777764747303535E-2</v>
      </c>
      <c r="F157" s="45">
        <f>(F38+F161+F164+F167)/E38-1</f>
        <v>-1.7269004124131682E-2</v>
      </c>
      <c r="G157" s="45">
        <f>(G38+G161+G164+G167)/F38-1</f>
        <v>1.9258933156590885E-2</v>
      </c>
      <c r="H157" s="14"/>
      <c r="I157" s="45">
        <f>(I38+I161+I164+I167)/G38-1</f>
        <v>-1.436336111538794E-2</v>
      </c>
      <c r="J157" s="45">
        <f>(J38+J161+J164+J167)/I38-1</f>
        <v>-1.1333810572689007E-3</v>
      </c>
      <c r="K157" s="45">
        <f>(K38+K161+K164+K167)/J38-1</f>
        <v>-2.8161802355349819E-3</v>
      </c>
      <c r="L157" s="356">
        <f>AVERAGE(K157,J157,I157,G157)</f>
        <v>2.3650268709976552E-4</v>
      </c>
      <c r="M157" s="312"/>
      <c r="N157" s="356">
        <f t="shared" ref="N157:Q158" si="127">AVERAGE(M157,L157,K157,I157)</f>
        <v>-5.6476795546077192E-3</v>
      </c>
      <c r="O157" s="356">
        <f t="shared" si="127"/>
        <v>-2.1815193082589516E-3</v>
      </c>
      <c r="P157" s="356">
        <f t="shared" si="127"/>
        <v>-3.5484596994672176E-3</v>
      </c>
      <c r="Q157" s="356">
        <f t="shared" si="127"/>
        <v>-2.7852889688085307E-3</v>
      </c>
      <c r="R157" s="312"/>
      <c r="S157" s="356">
        <f t="shared" ref="S157:V158" si="128">AVERAGE(R157,Q157,P157,N157)</f>
        <v>-3.9938094076278222E-3</v>
      </c>
      <c r="T157" s="356">
        <f t="shared" si="128"/>
        <v>-2.9868725615651015E-3</v>
      </c>
      <c r="U157" s="356">
        <f t="shared" si="128"/>
        <v>-3.5097138895533804E-3</v>
      </c>
      <c r="V157" s="356">
        <f t="shared" si="128"/>
        <v>-3.3189212068887083E-3</v>
      </c>
      <c r="W157" s="312"/>
      <c r="X157" s="356">
        <f t="shared" ref="X157:AA158" si="129">AVERAGE(W157,V157,U157,S157)</f>
        <v>-3.6074815013566373E-3</v>
      </c>
      <c r="Y157" s="356">
        <f t="shared" si="129"/>
        <v>-3.304425089936816E-3</v>
      </c>
      <c r="Z157" s="356">
        <f t="shared" si="129"/>
        <v>-3.4738734936156112E-3</v>
      </c>
      <c r="AA157" s="356">
        <f t="shared" si="129"/>
        <v>-3.4261753229494433E-3</v>
      </c>
      <c r="AB157" s="312"/>
      <c r="AC157" s="356">
        <f t="shared" ref="AC157:AF158" si="130">AVERAGE(AB157,AA157,Z157,X157)</f>
        <v>-3.5025101059738971E-3</v>
      </c>
      <c r="AD157" s="356">
        <f t="shared" si="130"/>
        <v>-3.411036839620052E-3</v>
      </c>
      <c r="AE157" s="356">
        <f t="shared" si="130"/>
        <v>-3.4624734797365202E-3</v>
      </c>
      <c r="AF157" s="356">
        <f t="shared" si="130"/>
        <v>-3.4505489370699779E-3</v>
      </c>
      <c r="AG157" s="312"/>
      <c r="AH157" s="356">
        <f t="shared" ref="AH157:AK158" si="131">AVERAGE(AG157,AF157,AE157,AC157)</f>
        <v>-3.4718441742601319E-3</v>
      </c>
      <c r="AI157" s="356">
        <f t="shared" si="131"/>
        <v>-3.4444766503167207E-3</v>
      </c>
      <c r="AJ157" s="356">
        <f t="shared" si="131"/>
        <v>-3.4595981014377913E-3</v>
      </c>
      <c r="AK157" s="356">
        <f t="shared" si="131"/>
        <v>-3.4566169657711558E-3</v>
      </c>
      <c r="AL157" s="312"/>
    </row>
    <row r="158" spans="1:38" outlineLevel="1" x14ac:dyDescent="0.25">
      <c r="A158" s="166"/>
      <c r="B158" s="452" t="s">
        <v>36</v>
      </c>
      <c r="C158" s="453"/>
      <c r="D158" s="45"/>
      <c r="E158" s="45">
        <f>(E39+E161+E164+E167)/D39-1</f>
        <v>2.7604785512613583E-2</v>
      </c>
      <c r="F158" s="45">
        <f>(F39+F161+F164+F167)/E39-1</f>
        <v>-1.6710442080933863E-2</v>
      </c>
      <c r="G158" s="45">
        <f>(G39+G161+G164+G167)/F39-1</f>
        <v>1.9089589576967603E-2</v>
      </c>
      <c r="H158" s="14"/>
      <c r="I158" s="45">
        <f>(I39+I161+I164+I167)/G39-1</f>
        <v>-1.5386652077945762E-2</v>
      </c>
      <c r="J158" s="45">
        <f>(J39+J161+J164+J167)/I39-1</f>
        <v>-2.5506658270361138E-3</v>
      </c>
      <c r="K158" s="45">
        <f>(K39+K161+K164+K167)/J39-1</f>
        <v>-1.0332853392055585E-2</v>
      </c>
      <c r="L158" s="356">
        <f>AVERAGE(K158,J158,I158,G158)</f>
        <v>-2.2951454300174645E-3</v>
      </c>
      <c r="M158" s="312"/>
      <c r="N158" s="356">
        <f t="shared" si="127"/>
        <v>-9.3382169666729378E-3</v>
      </c>
      <c r="O158" s="356">
        <f t="shared" si="127"/>
        <v>-4.7280094079088387E-3</v>
      </c>
      <c r="P158" s="356">
        <f t="shared" si="127"/>
        <v>-8.1330265888791206E-3</v>
      </c>
      <c r="Q158" s="356">
        <f t="shared" si="127"/>
        <v>-6.1235995983695904E-3</v>
      </c>
      <c r="R158" s="312"/>
      <c r="S158" s="356">
        <f t="shared" si="128"/>
        <v>-7.8649477179738841E-3</v>
      </c>
      <c r="T158" s="356">
        <f t="shared" si="128"/>
        <v>-6.2388522414174377E-3</v>
      </c>
      <c r="U158" s="356">
        <f t="shared" si="128"/>
        <v>-7.4122755160901483E-3</v>
      </c>
      <c r="V158" s="356">
        <f t="shared" si="128"/>
        <v>-6.9099187684627649E-3</v>
      </c>
      <c r="W158" s="312"/>
      <c r="X158" s="356">
        <f t="shared" si="129"/>
        <v>-7.3957140008422658E-3</v>
      </c>
      <c r="Y158" s="356">
        <f t="shared" si="129"/>
        <v>-6.8481616702408231E-3</v>
      </c>
      <c r="Z158" s="356">
        <f t="shared" si="129"/>
        <v>-7.2187170623910788E-3</v>
      </c>
      <c r="AA158" s="356">
        <f t="shared" si="129"/>
        <v>-7.0931278754842331E-3</v>
      </c>
      <c r="AB158" s="312"/>
      <c r="AC158" s="356">
        <f t="shared" si="130"/>
        <v>-7.2358529795725256E-3</v>
      </c>
      <c r="AD158" s="356">
        <f t="shared" si="130"/>
        <v>-7.0590475084325276E-3</v>
      </c>
      <c r="AE158" s="356">
        <f t="shared" si="130"/>
        <v>-7.1712058501320437E-3</v>
      </c>
      <c r="AF158" s="356">
        <f t="shared" si="130"/>
        <v>-7.1398085534053329E-3</v>
      </c>
      <c r="AG158" s="312"/>
      <c r="AH158" s="356">
        <f t="shared" si="131"/>
        <v>-7.1822891277033007E-3</v>
      </c>
      <c r="AI158" s="356">
        <f t="shared" si="131"/>
        <v>-7.1270483965137207E-3</v>
      </c>
      <c r="AJ158" s="356">
        <f t="shared" si="131"/>
        <v>-7.1601811247830223E-3</v>
      </c>
      <c r="AK158" s="356">
        <f t="shared" si="131"/>
        <v>-7.1523318006013444E-3</v>
      </c>
      <c r="AL158" s="312"/>
    </row>
    <row r="159" spans="1:38" outlineLevel="1" x14ac:dyDescent="0.25">
      <c r="A159" s="166"/>
      <c r="B159" s="452" t="s">
        <v>281</v>
      </c>
      <c r="C159" s="453"/>
      <c r="D159" s="54"/>
      <c r="E159" s="184">
        <v>69.922678056926543</v>
      </c>
      <c r="F159" s="184">
        <v>83.13076202744692</v>
      </c>
      <c r="G159" s="184">
        <v>92.52</v>
      </c>
      <c r="H159" s="55"/>
      <c r="I159" s="184">
        <v>85.23</v>
      </c>
      <c r="J159" s="184">
        <v>78.08</v>
      </c>
      <c r="K159" s="184">
        <v>0</v>
      </c>
      <c r="L159" s="357">
        <v>80</v>
      </c>
      <c r="M159" s="313"/>
      <c r="N159" s="357">
        <v>80</v>
      </c>
      <c r="O159" s="357">
        <v>80</v>
      </c>
      <c r="P159" s="357">
        <v>80</v>
      </c>
      <c r="Q159" s="357">
        <v>80</v>
      </c>
      <c r="R159" s="313"/>
      <c r="S159" s="357">
        <v>85</v>
      </c>
      <c r="T159" s="357">
        <v>85</v>
      </c>
      <c r="U159" s="357">
        <v>85</v>
      </c>
      <c r="V159" s="357">
        <v>85</v>
      </c>
      <c r="W159" s="313"/>
      <c r="X159" s="357">
        <v>90</v>
      </c>
      <c r="Y159" s="357">
        <v>90</v>
      </c>
      <c r="Z159" s="357">
        <v>90</v>
      </c>
      <c r="AA159" s="357">
        <v>90</v>
      </c>
      <c r="AB159" s="313"/>
      <c r="AC159" s="357">
        <v>95</v>
      </c>
      <c r="AD159" s="357">
        <v>95</v>
      </c>
      <c r="AE159" s="357">
        <v>95</v>
      </c>
      <c r="AF159" s="357">
        <v>95</v>
      </c>
      <c r="AG159" s="313"/>
      <c r="AH159" s="357">
        <v>98</v>
      </c>
      <c r="AI159" s="357">
        <v>98</v>
      </c>
      <c r="AJ159" s="357">
        <v>98</v>
      </c>
      <c r="AK159" s="357">
        <v>98</v>
      </c>
      <c r="AL159" s="313"/>
    </row>
    <row r="160" spans="1:38" outlineLevel="1" x14ac:dyDescent="0.25">
      <c r="A160" s="166"/>
      <c r="B160" s="491" t="s">
        <v>282</v>
      </c>
      <c r="C160" s="492"/>
      <c r="D160" s="25"/>
      <c r="E160" s="173">
        <v>713.2</v>
      </c>
      <c r="F160" s="173">
        <f>954.3-713.2</f>
        <v>241.09999999999991</v>
      </c>
      <c r="G160" s="168">
        <v>2177.1942404399997</v>
      </c>
      <c r="H160" s="26">
        <f>+SUM(D160:G160)</f>
        <v>3131.4942404399999</v>
      </c>
      <c r="I160" s="168">
        <v>1107.9389472300002</v>
      </c>
      <c r="J160" s="168">
        <v>567.02921856000012</v>
      </c>
      <c r="K160" s="168">
        <v>0</v>
      </c>
      <c r="L160" s="337">
        <v>50</v>
      </c>
      <c r="M160" s="169">
        <f>+SUM(I160:L160)</f>
        <v>1724.9681657900003</v>
      </c>
      <c r="N160" s="337">
        <v>50</v>
      </c>
      <c r="O160" s="337">
        <v>70</v>
      </c>
      <c r="P160" s="337">
        <v>100</v>
      </c>
      <c r="Q160" s="337">
        <v>100</v>
      </c>
      <c r="R160" s="169">
        <f>+SUM(N160:Q160)</f>
        <v>320</v>
      </c>
      <c r="S160" s="337">
        <v>50</v>
      </c>
      <c r="T160" s="337">
        <v>70</v>
      </c>
      <c r="U160" s="337">
        <v>100</v>
      </c>
      <c r="V160" s="337">
        <v>100</v>
      </c>
      <c r="W160" s="169">
        <f>+SUM(S160:V160)</f>
        <v>320</v>
      </c>
      <c r="X160" s="337">
        <v>200</v>
      </c>
      <c r="Y160" s="337">
        <v>200</v>
      </c>
      <c r="Z160" s="337">
        <v>200</v>
      </c>
      <c r="AA160" s="337">
        <v>200</v>
      </c>
      <c r="AB160" s="169">
        <f>+SUM(X160:AA160)</f>
        <v>800</v>
      </c>
      <c r="AC160" s="337">
        <v>200</v>
      </c>
      <c r="AD160" s="337">
        <v>200</v>
      </c>
      <c r="AE160" s="337">
        <v>200</v>
      </c>
      <c r="AF160" s="337">
        <v>200</v>
      </c>
      <c r="AG160" s="169">
        <f>+SUM(AC160:AF160)</f>
        <v>800</v>
      </c>
      <c r="AH160" s="337">
        <v>200</v>
      </c>
      <c r="AI160" s="337">
        <v>200</v>
      </c>
      <c r="AJ160" s="337">
        <v>200</v>
      </c>
      <c r="AK160" s="337">
        <v>200</v>
      </c>
      <c r="AL160" s="169">
        <f>+SUM(AH160:AK160)</f>
        <v>800</v>
      </c>
    </row>
    <row r="161" spans="1:38" outlineLevel="1" x14ac:dyDescent="0.25">
      <c r="A161" s="166"/>
      <c r="B161" s="452" t="s">
        <v>283</v>
      </c>
      <c r="C161" s="453"/>
      <c r="D161" s="270"/>
      <c r="E161" s="270">
        <f>IF((E160)&gt;0,(E160/E159),0)</f>
        <v>10.199838161509755</v>
      </c>
      <c r="F161" s="273">
        <f>IF((F160)&gt;0,(F160/F159),0)</f>
        <v>2.9002500893760241</v>
      </c>
      <c r="G161" s="273">
        <f>IF((G160)&gt;0,(G160/G159),0)</f>
        <v>23.532146999999998</v>
      </c>
      <c r="H161" s="102">
        <f>+SUM(D161:G161)</f>
        <v>36.632235250885778</v>
      </c>
      <c r="I161" s="270">
        <f>IF((I160)&gt;0,(I160/I159),0)</f>
        <v>12.999401000000001</v>
      </c>
      <c r="J161" s="273">
        <f>IF((J160)&gt;0,(J160/J159),0)</f>
        <v>7.262157000000002</v>
      </c>
      <c r="K161" s="273">
        <f t="shared" ref="K161:Q161" si="132">IF((K160)&gt;0,(K160/K159),0)</f>
        <v>0</v>
      </c>
      <c r="L161" s="273">
        <f t="shared" si="132"/>
        <v>0.625</v>
      </c>
      <c r="M161" s="358">
        <f>+SUM(I161:L161)</f>
        <v>20.886558000000001</v>
      </c>
      <c r="N161" s="273">
        <f t="shared" si="132"/>
        <v>0.625</v>
      </c>
      <c r="O161" s="273">
        <f t="shared" si="132"/>
        <v>0.875</v>
      </c>
      <c r="P161" s="273">
        <f t="shared" si="132"/>
        <v>1.25</v>
      </c>
      <c r="Q161" s="273">
        <f t="shared" si="132"/>
        <v>1.25</v>
      </c>
      <c r="R161" s="358">
        <f>+SUM(N161:Q161)</f>
        <v>4</v>
      </c>
      <c r="S161" s="273">
        <f>IF((S160)&gt;0,(S160/S159),0)</f>
        <v>0.58823529411764708</v>
      </c>
      <c r="T161" s="273">
        <f>IF((T160)&gt;0,(T160/T159),0)</f>
        <v>0.82352941176470584</v>
      </c>
      <c r="U161" s="273">
        <f>IF((U160)&gt;0,(U160/U159),0)</f>
        <v>1.1764705882352942</v>
      </c>
      <c r="V161" s="273">
        <f>IF((V160)&gt;0,(V160/V159),0)</f>
        <v>1.1764705882352942</v>
      </c>
      <c r="W161" s="358">
        <f>+SUM(S161:V161)</f>
        <v>3.7647058823529411</v>
      </c>
      <c r="X161" s="273">
        <f>IF((X160)&gt;0,(X160/X159),0)</f>
        <v>2.2222222222222223</v>
      </c>
      <c r="Y161" s="273">
        <f>IF((Y160)&gt;0,(Y160/Y159),0)</f>
        <v>2.2222222222222223</v>
      </c>
      <c r="Z161" s="273">
        <f>IF((Z160)&gt;0,(Z160/Z159),0)</f>
        <v>2.2222222222222223</v>
      </c>
      <c r="AA161" s="273">
        <f>IF((AA160)&gt;0,(AA160/AA159),0)</f>
        <v>2.2222222222222223</v>
      </c>
      <c r="AB161" s="358">
        <f>+SUM(X161:AA161)</f>
        <v>8.8888888888888893</v>
      </c>
      <c r="AC161" s="273">
        <f>IF((AC160)&gt;0,(AC160/AC159),0)</f>
        <v>2.1052631578947367</v>
      </c>
      <c r="AD161" s="273">
        <f>IF((AD160)&gt;0,(AD160/AD159),0)</f>
        <v>2.1052631578947367</v>
      </c>
      <c r="AE161" s="273">
        <f>IF((AE160)&gt;0,(AE160/AE159),0)</f>
        <v>2.1052631578947367</v>
      </c>
      <c r="AF161" s="273">
        <f>IF((AF160)&gt;0,(AF160/AF159),0)</f>
        <v>2.1052631578947367</v>
      </c>
      <c r="AG161" s="358">
        <f>+SUM(AC161:AF161)</f>
        <v>8.4210526315789469</v>
      </c>
      <c r="AH161" s="273">
        <f>IF((AH160)&gt;0,(AH160/AH159),0)</f>
        <v>2.0408163265306123</v>
      </c>
      <c r="AI161" s="273">
        <f>IF((AI160)&gt;0,(AI160/AI159),0)</f>
        <v>2.0408163265306123</v>
      </c>
      <c r="AJ161" s="273">
        <f>IF((AJ160)&gt;0,(AJ160/AJ159),0)</f>
        <v>2.0408163265306123</v>
      </c>
      <c r="AK161" s="273">
        <f>IF((AK160)&gt;0,(AK160/AK159),0)</f>
        <v>2.0408163265306123</v>
      </c>
      <c r="AL161" s="358">
        <f>+SUM(AH161:AK161)</f>
        <v>8.1632653061224492</v>
      </c>
    </row>
    <row r="162" spans="1:38" outlineLevel="1" x14ac:dyDescent="0.25">
      <c r="A162" s="166"/>
      <c r="B162" s="495" t="s">
        <v>275</v>
      </c>
      <c r="C162" s="496"/>
      <c r="D162" s="274">
        <v>55.58</v>
      </c>
      <c r="E162" s="275">
        <v>65.03</v>
      </c>
      <c r="F162" s="146"/>
      <c r="G162" s="146"/>
      <c r="H162" s="132"/>
      <c r="I162" s="146"/>
      <c r="J162" s="146"/>
      <c r="K162" s="146"/>
      <c r="L162" s="314"/>
      <c r="M162" s="248"/>
      <c r="N162" s="314"/>
      <c r="O162" s="314"/>
      <c r="P162" s="314"/>
      <c r="Q162" s="314"/>
      <c r="R162" s="248"/>
      <c r="S162" s="314"/>
      <c r="T162" s="314"/>
      <c r="U162" s="314"/>
      <c r="V162" s="314"/>
      <c r="W162" s="248"/>
      <c r="X162" s="314"/>
      <c r="Y162" s="314"/>
      <c r="Z162" s="314"/>
      <c r="AA162" s="314"/>
      <c r="AB162" s="248"/>
      <c r="AC162" s="314"/>
      <c r="AD162" s="314"/>
      <c r="AE162" s="314"/>
      <c r="AF162" s="314"/>
      <c r="AG162" s="248"/>
      <c r="AH162" s="314"/>
      <c r="AI162" s="314"/>
      <c r="AJ162" s="314"/>
      <c r="AK162" s="314"/>
      <c r="AL162" s="248"/>
    </row>
    <row r="163" spans="1:38" outlineLevel="1" x14ac:dyDescent="0.25">
      <c r="A163" s="166"/>
      <c r="B163" s="497" t="s">
        <v>276</v>
      </c>
      <c r="C163" s="498"/>
      <c r="D163" s="276">
        <f>71.968334*55.58</f>
        <v>4000.0000037199998</v>
      </c>
      <c r="E163" s="277">
        <v>318.64700000000005</v>
      </c>
      <c r="F163" s="270"/>
      <c r="G163" s="270"/>
      <c r="H163" s="102"/>
      <c r="I163" s="270"/>
      <c r="J163" s="270"/>
      <c r="K163" s="270"/>
      <c r="L163" s="273"/>
      <c r="M163" s="186"/>
      <c r="N163" s="273"/>
      <c r="O163" s="273"/>
      <c r="P163" s="273"/>
      <c r="Q163" s="273"/>
      <c r="R163" s="186"/>
      <c r="S163" s="273"/>
      <c r="T163" s="273"/>
      <c r="U163" s="273"/>
      <c r="V163" s="273"/>
      <c r="W163" s="186"/>
      <c r="X163" s="273"/>
      <c r="Y163" s="273"/>
      <c r="Z163" s="273"/>
      <c r="AA163" s="273"/>
      <c r="AB163" s="186"/>
      <c r="AC163" s="273"/>
      <c r="AD163" s="273"/>
      <c r="AE163" s="273"/>
      <c r="AF163" s="273"/>
      <c r="AG163" s="186"/>
      <c r="AH163" s="273"/>
      <c r="AI163" s="273"/>
      <c r="AJ163" s="273"/>
      <c r="AK163" s="273"/>
      <c r="AL163" s="186"/>
    </row>
    <row r="164" spans="1:38" outlineLevel="1" x14ac:dyDescent="0.25">
      <c r="A164" s="166"/>
      <c r="B164" s="517" t="s">
        <v>277</v>
      </c>
      <c r="C164" s="518"/>
      <c r="D164" s="278">
        <f>IF((D163)&gt;0,(D163/D162),0)</f>
        <v>71.968333999999999</v>
      </c>
      <c r="E164" s="271">
        <f>IF((E163)&gt;0,(E163/E162),0)</f>
        <v>4.9000000000000004</v>
      </c>
      <c r="F164" s="271"/>
      <c r="G164" s="271"/>
      <c r="H164" s="272"/>
      <c r="I164" s="271"/>
      <c r="J164" s="271"/>
      <c r="K164" s="271"/>
      <c r="L164" s="315"/>
      <c r="M164" s="316"/>
      <c r="N164" s="315"/>
      <c r="O164" s="315"/>
      <c r="P164" s="315"/>
      <c r="Q164" s="315"/>
      <c r="R164" s="316"/>
      <c r="S164" s="315"/>
      <c r="T164" s="315"/>
      <c r="U164" s="315"/>
      <c r="V164" s="315"/>
      <c r="W164" s="316"/>
      <c r="X164" s="315"/>
      <c r="Y164" s="315"/>
      <c r="Z164" s="315"/>
      <c r="AA164" s="315"/>
      <c r="AB164" s="316"/>
      <c r="AC164" s="315"/>
      <c r="AD164" s="315"/>
      <c r="AE164" s="315"/>
      <c r="AF164" s="315"/>
      <c r="AG164" s="316"/>
      <c r="AH164" s="315"/>
      <c r="AI164" s="315"/>
      <c r="AJ164" s="315"/>
      <c r="AK164" s="315"/>
      <c r="AL164" s="316"/>
    </row>
    <row r="165" spans="1:38" outlineLevel="1" x14ac:dyDescent="0.25">
      <c r="A165" s="166"/>
      <c r="B165" s="214" t="s">
        <v>278</v>
      </c>
      <c r="C165" s="215"/>
      <c r="D165" s="270"/>
      <c r="E165" s="54">
        <v>71.959999999999994</v>
      </c>
      <c r="F165" s="54">
        <v>76.5</v>
      </c>
      <c r="G165" s="270"/>
      <c r="H165" s="102"/>
      <c r="I165" s="270"/>
      <c r="J165" s="270"/>
      <c r="K165" s="270"/>
      <c r="L165" s="273"/>
      <c r="M165" s="186"/>
      <c r="N165" s="273"/>
      <c r="O165" s="273"/>
      <c r="P165" s="273"/>
      <c r="Q165" s="273"/>
      <c r="R165" s="186"/>
      <c r="S165" s="273"/>
      <c r="T165" s="273"/>
      <c r="U165" s="273"/>
      <c r="V165" s="273"/>
      <c r="W165" s="186"/>
      <c r="X165" s="273"/>
      <c r="Y165" s="273"/>
      <c r="Z165" s="273"/>
      <c r="AA165" s="273"/>
      <c r="AB165" s="186"/>
      <c r="AC165" s="273"/>
      <c r="AD165" s="273"/>
      <c r="AE165" s="273"/>
      <c r="AF165" s="273"/>
      <c r="AG165" s="186"/>
      <c r="AH165" s="273"/>
      <c r="AI165" s="273"/>
      <c r="AJ165" s="273"/>
      <c r="AK165" s="273"/>
      <c r="AL165" s="186"/>
    </row>
    <row r="166" spans="1:38" outlineLevel="1" x14ac:dyDescent="0.25">
      <c r="A166" s="166"/>
      <c r="B166" s="214" t="s">
        <v>279</v>
      </c>
      <c r="C166" s="215"/>
      <c r="D166" s="270"/>
      <c r="E166" s="25">
        <v>1597.5119999999997</v>
      </c>
      <c r="F166" s="25">
        <v>298.35000000000002</v>
      </c>
      <c r="G166" s="270"/>
      <c r="H166" s="102"/>
      <c r="I166" s="270"/>
      <c r="J166" s="270"/>
      <c r="K166" s="270"/>
      <c r="L166" s="273"/>
      <c r="M166" s="186"/>
      <c r="N166" s="273"/>
      <c r="O166" s="273"/>
      <c r="P166" s="273"/>
      <c r="Q166" s="273"/>
      <c r="R166" s="186"/>
      <c r="S166" s="273"/>
      <c r="T166" s="273"/>
      <c r="U166" s="273"/>
      <c r="V166" s="273"/>
      <c r="W166" s="186"/>
      <c r="X166" s="273"/>
      <c r="Y166" s="273"/>
      <c r="Z166" s="273"/>
      <c r="AA166" s="273"/>
      <c r="AB166" s="186"/>
      <c r="AC166" s="273"/>
      <c r="AD166" s="273"/>
      <c r="AE166" s="273"/>
      <c r="AF166" s="273"/>
      <c r="AG166" s="186"/>
      <c r="AH166" s="273"/>
      <c r="AI166" s="273"/>
      <c r="AJ166" s="273"/>
      <c r="AK166" s="273"/>
      <c r="AL166" s="186"/>
    </row>
    <row r="167" spans="1:38" outlineLevel="1" x14ac:dyDescent="0.25">
      <c r="A167" s="166"/>
      <c r="B167" s="214" t="s">
        <v>280</v>
      </c>
      <c r="C167" s="215"/>
      <c r="D167" s="270"/>
      <c r="E167" s="270">
        <f>IF((E166)&gt;0,(E166/E165),0)</f>
        <v>22.2</v>
      </c>
      <c r="F167" s="270">
        <f>IF((F166)&gt;0,(F166/F165),0)</f>
        <v>3.9000000000000004</v>
      </c>
      <c r="G167" s="270"/>
      <c r="H167" s="102"/>
      <c r="I167" s="270"/>
      <c r="J167" s="270"/>
      <c r="K167" s="270"/>
      <c r="L167" s="273"/>
      <c r="M167" s="186"/>
      <c r="N167" s="273"/>
      <c r="O167" s="273"/>
      <c r="P167" s="273"/>
      <c r="Q167" s="273"/>
      <c r="R167" s="186"/>
      <c r="S167" s="273"/>
      <c r="T167" s="273"/>
      <c r="U167" s="273"/>
      <c r="V167" s="273"/>
      <c r="W167" s="186"/>
      <c r="X167" s="273"/>
      <c r="Y167" s="273"/>
      <c r="Z167" s="273"/>
      <c r="AA167" s="273"/>
      <c r="AB167" s="186"/>
      <c r="AC167" s="273"/>
      <c r="AD167" s="273"/>
      <c r="AE167" s="273"/>
      <c r="AF167" s="273"/>
      <c r="AG167" s="186"/>
      <c r="AH167" s="273"/>
      <c r="AI167" s="273"/>
      <c r="AJ167" s="273"/>
      <c r="AK167" s="273"/>
      <c r="AL167" s="186"/>
    </row>
    <row r="168" spans="1:38" ht="18" x14ac:dyDescent="0.4">
      <c r="A168" s="166"/>
      <c r="B168" s="448" t="s">
        <v>52</v>
      </c>
      <c r="C168" s="467"/>
      <c r="D168" s="23" t="s">
        <v>72</v>
      </c>
      <c r="E168" s="23" t="s">
        <v>211</v>
      </c>
      <c r="F168" s="23" t="s">
        <v>215</v>
      </c>
      <c r="G168" s="23" t="s">
        <v>225</v>
      </c>
      <c r="H168" s="77" t="s">
        <v>226</v>
      </c>
      <c r="I168" s="23" t="s">
        <v>227</v>
      </c>
      <c r="J168" s="23" t="s">
        <v>228</v>
      </c>
      <c r="K168" s="23" t="s">
        <v>229</v>
      </c>
      <c r="L168" s="21" t="s">
        <v>90</v>
      </c>
      <c r="M168" s="79" t="s">
        <v>91</v>
      </c>
      <c r="N168" s="21" t="s">
        <v>92</v>
      </c>
      <c r="O168" s="21" t="s">
        <v>93</v>
      </c>
      <c r="P168" s="21" t="s">
        <v>94</v>
      </c>
      <c r="Q168" s="21" t="s">
        <v>95</v>
      </c>
      <c r="R168" s="79" t="s">
        <v>96</v>
      </c>
      <c r="S168" s="21" t="s">
        <v>97</v>
      </c>
      <c r="T168" s="21" t="s">
        <v>98</v>
      </c>
      <c r="U168" s="21" t="s">
        <v>99</v>
      </c>
      <c r="V168" s="21" t="s">
        <v>100</v>
      </c>
      <c r="W168" s="79" t="s">
        <v>101</v>
      </c>
      <c r="X168" s="21" t="s">
        <v>102</v>
      </c>
      <c r="Y168" s="21" t="s">
        <v>103</v>
      </c>
      <c r="Z168" s="21" t="s">
        <v>104</v>
      </c>
      <c r="AA168" s="21" t="s">
        <v>105</v>
      </c>
      <c r="AB168" s="79" t="s">
        <v>106</v>
      </c>
      <c r="AC168" s="21" t="s">
        <v>220</v>
      </c>
      <c r="AD168" s="21" t="s">
        <v>221</v>
      </c>
      <c r="AE168" s="21" t="s">
        <v>222</v>
      </c>
      <c r="AF168" s="21" t="s">
        <v>223</v>
      </c>
      <c r="AG168" s="79" t="s">
        <v>224</v>
      </c>
      <c r="AH168" s="21" t="s">
        <v>253</v>
      </c>
      <c r="AI168" s="21" t="s">
        <v>254</v>
      </c>
      <c r="AJ168" s="21" t="s">
        <v>255</v>
      </c>
      <c r="AK168" s="21" t="s">
        <v>256</v>
      </c>
      <c r="AL168" s="79" t="s">
        <v>257</v>
      </c>
    </row>
    <row r="169" spans="1:38" outlineLevel="1" x14ac:dyDescent="0.25">
      <c r="A169" s="166"/>
      <c r="B169" s="452" t="s">
        <v>157</v>
      </c>
      <c r="C169" s="453"/>
      <c r="D169" s="170">
        <f>-(22+5.3+0.6+20.9)</f>
        <v>-48.8</v>
      </c>
      <c r="E169" s="170">
        <v>-45.1</v>
      </c>
      <c r="F169" s="170">
        <v>-39.6</v>
      </c>
      <c r="G169" s="170">
        <f>-146.2+133.5</f>
        <v>-12.699999999999989</v>
      </c>
      <c r="H169" s="304">
        <f>SUM(D169:G169)</f>
        <v>-146.19999999999999</v>
      </c>
      <c r="I169" s="170">
        <v>-7.1</v>
      </c>
      <c r="J169" s="170">
        <v>0.1</v>
      </c>
      <c r="K169" s="173">
        <f>-K22</f>
        <v>-78.099999999999994</v>
      </c>
      <c r="L169" s="337">
        <v>-129</v>
      </c>
      <c r="M169" s="169"/>
      <c r="N169" s="337">
        <f>-N22</f>
        <v>-140.30032864243273</v>
      </c>
      <c r="O169" s="337">
        <f>-O22</f>
        <v>-141.83509374624043</v>
      </c>
      <c r="P169" s="337">
        <f>-P22</f>
        <v>-143.96426725206223</v>
      </c>
      <c r="Q169" s="337">
        <f>-Q22</f>
        <v>-142.68798984257194</v>
      </c>
      <c r="R169" s="169"/>
      <c r="S169" s="337">
        <f>-S22</f>
        <v>-155.98546679242781</v>
      </c>
      <c r="T169" s="337">
        <f>-T22</f>
        <v>-146.6281937326691</v>
      </c>
      <c r="U169" s="337">
        <f>-U22</f>
        <v>-148.84748809916849</v>
      </c>
      <c r="V169" s="337">
        <f>-V22</f>
        <v>-150.92696080482622</v>
      </c>
      <c r="W169" s="169"/>
      <c r="X169" s="337">
        <f>-X22</f>
        <v>-161.59862693254016</v>
      </c>
      <c r="Y169" s="337">
        <f>-Y22</f>
        <v>-152.12769264721871</v>
      </c>
      <c r="Z169" s="337">
        <f>-Z22</f>
        <v>-155.6313389874492</v>
      </c>
      <c r="AA169" s="337">
        <f>-AA22</f>
        <v>-156.89005484237205</v>
      </c>
      <c r="AB169" s="169"/>
      <c r="AC169" s="337">
        <f>-AC22</f>
        <v>-171.2304256608551</v>
      </c>
      <c r="AD169" s="337">
        <f>-AD22</f>
        <v>-159.50430992806159</v>
      </c>
      <c r="AE169" s="337">
        <f>-AE22</f>
        <v>-164.11105232608111</v>
      </c>
      <c r="AF169" s="337">
        <f>-AF22</f>
        <v>-164.23751095300875</v>
      </c>
      <c r="AG169" s="169"/>
      <c r="AH169" s="337">
        <f>-AH22</f>
        <v>-179.30791020125494</v>
      </c>
      <c r="AI169" s="337">
        <f>-AI22</f>
        <v>-165.64078841830724</v>
      </c>
      <c r="AJ169" s="337">
        <f>-AJ22</f>
        <v>-171.81885697646888</v>
      </c>
      <c r="AK169" s="337">
        <f>-AK22</f>
        <v>-171.95489828686866</v>
      </c>
      <c r="AL169" s="169"/>
    </row>
    <row r="170" spans="1:38" outlineLevel="1" x14ac:dyDescent="0.25">
      <c r="A170" s="166"/>
      <c r="B170" s="60" t="s">
        <v>156</v>
      </c>
      <c r="C170" s="61"/>
      <c r="D170" s="170">
        <f>-(5.3+0.5)</f>
        <v>-5.8</v>
      </c>
      <c r="E170" s="170">
        <v>-4.3</v>
      </c>
      <c r="F170" s="170">
        <v>-2.2999999999999998</v>
      </c>
      <c r="G170" s="170">
        <v>-0.2</v>
      </c>
      <c r="H170" s="304">
        <f>SUM(D170:G170)</f>
        <v>-12.599999999999998</v>
      </c>
      <c r="I170" s="170">
        <v>-5.6</v>
      </c>
      <c r="J170" s="170">
        <v>-6.8</v>
      </c>
      <c r="K170" s="173">
        <v>-35.04</v>
      </c>
      <c r="L170" s="168"/>
      <c r="M170" s="169"/>
      <c r="N170" s="168"/>
      <c r="O170" s="168"/>
      <c r="P170" s="168"/>
      <c r="Q170" s="168"/>
      <c r="R170" s="169"/>
      <c r="S170" s="168"/>
      <c r="T170" s="168"/>
      <c r="U170" s="168"/>
      <c r="V170" s="168"/>
      <c r="W170" s="169"/>
      <c r="X170" s="168"/>
      <c r="Y170" s="168"/>
      <c r="Z170" s="168"/>
      <c r="AA170" s="168"/>
      <c r="AB170" s="169"/>
      <c r="AC170" s="168"/>
      <c r="AD170" s="168"/>
      <c r="AE170" s="168"/>
      <c r="AF170" s="168"/>
      <c r="AG170" s="169"/>
      <c r="AH170" s="168"/>
      <c r="AI170" s="168"/>
      <c r="AJ170" s="168"/>
      <c r="AK170" s="168"/>
      <c r="AL170" s="169"/>
    </row>
    <row r="171" spans="1:38" outlineLevel="1" x14ac:dyDescent="0.25">
      <c r="A171" s="166"/>
      <c r="B171" s="452" t="s">
        <v>273</v>
      </c>
      <c r="C171" s="453"/>
      <c r="D171" s="170">
        <f>-(60.6-0.3)</f>
        <v>-60.300000000000004</v>
      </c>
      <c r="E171" s="170">
        <v>-68.2</v>
      </c>
      <c r="F171" s="170">
        <v>-69</v>
      </c>
      <c r="G171" s="170">
        <f>-262+197.5</f>
        <v>-64.5</v>
      </c>
      <c r="H171" s="304">
        <f>SUM(D171:G171)</f>
        <v>-262</v>
      </c>
      <c r="I171" s="170">
        <v>-58.9</v>
      </c>
      <c r="J171" s="170">
        <v>-60.1</v>
      </c>
      <c r="K171" s="173">
        <v>-60.54</v>
      </c>
      <c r="L171" s="168">
        <v>-58</v>
      </c>
      <c r="M171" s="169"/>
      <c r="N171" s="168"/>
      <c r="O171" s="168"/>
      <c r="P171" s="168"/>
      <c r="Q171" s="168"/>
      <c r="R171" s="169"/>
      <c r="S171" s="168"/>
      <c r="T171" s="168"/>
      <c r="U171" s="168"/>
      <c r="V171" s="168"/>
      <c r="W171" s="169"/>
      <c r="X171" s="168"/>
      <c r="Y171" s="168"/>
      <c r="Z171" s="168"/>
      <c r="AA171" s="168"/>
      <c r="AB171" s="169"/>
      <c r="AC171" s="168"/>
      <c r="AD171" s="168"/>
      <c r="AE171" s="168"/>
      <c r="AF171" s="168"/>
      <c r="AG171" s="169"/>
      <c r="AH171" s="168"/>
      <c r="AI171" s="168"/>
      <c r="AJ171" s="168"/>
      <c r="AK171" s="168"/>
      <c r="AL171" s="169"/>
    </row>
    <row r="172" spans="1:38" outlineLevel="1" x14ac:dyDescent="0.25">
      <c r="A172" s="166"/>
      <c r="B172" s="60" t="s">
        <v>158</v>
      </c>
      <c r="C172" s="61"/>
      <c r="D172" s="170">
        <v>-23.1</v>
      </c>
      <c r="E172" s="170">
        <v>-23.8</v>
      </c>
      <c r="F172" s="170">
        <v>-14.4</v>
      </c>
      <c r="G172" s="170">
        <v>0</v>
      </c>
      <c r="H172" s="304">
        <f>SUM(D172:G172)</f>
        <v>-61.300000000000004</v>
      </c>
      <c r="I172" s="170"/>
      <c r="J172" s="170"/>
      <c r="K172" s="168"/>
      <c r="L172" s="168"/>
      <c r="M172" s="169"/>
      <c r="N172" s="168"/>
      <c r="O172" s="168"/>
      <c r="P172" s="168"/>
      <c r="Q172" s="168"/>
      <c r="R172" s="169"/>
      <c r="S172" s="168"/>
      <c r="T172" s="168"/>
      <c r="U172" s="168"/>
      <c r="V172" s="168"/>
      <c r="W172" s="169"/>
      <c r="X172" s="168"/>
      <c r="Y172" s="168"/>
      <c r="Z172" s="168"/>
      <c r="AA172" s="168"/>
      <c r="AB172" s="169"/>
      <c r="AC172" s="168"/>
      <c r="AD172" s="168"/>
      <c r="AE172" s="168"/>
      <c r="AF172" s="168"/>
      <c r="AG172" s="169"/>
      <c r="AH172" s="168"/>
      <c r="AI172" s="168"/>
      <c r="AJ172" s="168"/>
      <c r="AK172" s="168"/>
      <c r="AL172" s="169"/>
    </row>
    <row r="173" spans="1:38" ht="17.25" outlineLevel="1" x14ac:dyDescent="0.4">
      <c r="A173" s="166"/>
      <c r="B173" s="60" t="s">
        <v>205</v>
      </c>
      <c r="C173" s="61"/>
      <c r="D173" s="264">
        <v>0</v>
      </c>
      <c r="E173" s="264">
        <v>0</v>
      </c>
      <c r="F173" s="264">
        <v>0</v>
      </c>
      <c r="G173" s="264">
        <v>0</v>
      </c>
      <c r="H173" s="305">
        <f>SUM(D173:G173)</f>
        <v>0</v>
      </c>
      <c r="I173" s="264">
        <v>0</v>
      </c>
      <c r="J173" s="264">
        <v>0</v>
      </c>
      <c r="K173" s="183">
        <v>0</v>
      </c>
      <c r="L173" s="51"/>
      <c r="M173" s="169"/>
      <c r="N173" s="51">
        <f>AVERAGE(D174,E174,F174,G174,I174,J174,K174,L174)-N169</f>
        <v>17.652828642432752</v>
      </c>
      <c r="O173" s="51">
        <f>AVERAGE(E174,F174,G174,I174,J174,K174,L174,N174)-O169</f>
        <v>21.106656246240419</v>
      </c>
      <c r="P173" s="51">
        <f>AVERAGE(F174,G174,I174,J174,K174,L174,N174,O174)-P169</f>
        <v>25.819775064562222</v>
      </c>
      <c r="Q173" s="51">
        <f>AVERAGE(G174,I174,J174,K174,L174,N174,O174,P174)-Q169</f>
        <v>25.43793613163443</v>
      </c>
      <c r="R173" s="169"/>
      <c r="S173" s="51">
        <f>AVERAGE(I174,J174,K174,L174,N174,O174,P174,Q174)-S169</f>
        <v>33.754156367623125</v>
      </c>
      <c r="T173" s="51">
        <f>AVERAGE(J174,K174,L174,N174,O174,P174,Q174,S174)-T169</f>
        <v>18.067969504763823</v>
      </c>
      <c r="U173" s="51">
        <f>AVERAGE(K174,L174,N174,O174,P174,Q174,S174,T174)-U169</f>
        <v>12.567235842775062</v>
      </c>
      <c r="V173" s="51">
        <f>AVERAGE(L174,N174,O174,P174,Q174,S174,T174,U174)-V169</f>
        <v>19.321677016383603</v>
      </c>
      <c r="W173" s="169"/>
      <c r="X173" s="51">
        <f>AVERAGE(N174,O174,P174,Q174,S174,T174,U174,V174)-X169</f>
        <v>36.917682670542206</v>
      </c>
      <c r="Y173" s="51">
        <f>AVERAGE(O174,P174,Q174,S174,T174,U174,V174,X174)-Y169</f>
        <v>27.192567852471015</v>
      </c>
      <c r="Z173" s="51">
        <f>AVERAGE(P174,Q174,S174,T174,U174,V174,X174,Y174)-Z169</f>
        <v>30.170378280858046</v>
      </c>
      <c r="AA173" s="51">
        <f>AVERAGE(Q174,S174,T174,U174,V174,X174,Y174,Z174)-AA169</f>
        <v>30.514535570894509</v>
      </c>
      <c r="AB173" s="169"/>
      <c r="AC173" s="51">
        <f>AVERAGE(S174,T174,U174,V174,X174,Y174,Z174,AA174)-AC169</f>
        <v>43.714223194310051</v>
      </c>
      <c r="AD173" s="51">
        <f>AVERAGE(T174,U174,V174,X174,Y174,Z174,AA174,AC174)-AD169</f>
        <v>31.327495956298975</v>
      </c>
      <c r="AE173" s="51">
        <f>AVERAGE(U174,V174,X174,Y174,Z174,AA174,AC174,AD174)-AE169</f>
        <v>35.982164636336336</v>
      </c>
      <c r="AF173" s="51">
        <f>AVERAGE(V174,X174,Y174,Z174,AA174,AC174,AD174,AE174)-AF169</f>
        <v>37.127543834095093</v>
      </c>
      <c r="AG173" s="169"/>
      <c r="AH173" s="51">
        <f>AVERAGE(X174,Y174,Z174,AA174,AC174,AD174,AE174,AF174)-AH169</f>
        <v>52.759857666032403</v>
      </c>
      <c r="AI173" s="51">
        <f>AVERAGE(Y174,Z174,AA174,AC174,AD174,AE174,AF174,AH174)-AI169</f>
        <v>38.859347348931621</v>
      </c>
      <c r="AJ173" s="51">
        <f>AVERAGE(Z174,AA174,AC174,AD174,AE174,AF174,AH174,AI174)-AJ169</f>
        <v>44.806626372764768</v>
      </c>
      <c r="AK173" s="51">
        <f>AVERAGE(AA174,AC174,AD174,AE174,AF174,AH174,AI174,AJ174)-AK169</f>
        <v>44.748758946025418</v>
      </c>
      <c r="AL173" s="169"/>
    </row>
    <row r="174" spans="1:38" s="13" customFormat="1" outlineLevel="1" x14ac:dyDescent="0.25">
      <c r="A174" s="181"/>
      <c r="B174" s="209" t="s">
        <v>159</v>
      </c>
      <c r="C174" s="68"/>
      <c r="D174" s="103">
        <f t="shared" ref="D174:Q174" si="133">SUM(D169:D173)</f>
        <v>-138</v>
      </c>
      <c r="E174" s="103">
        <f t="shared" si="133"/>
        <v>-141.4</v>
      </c>
      <c r="F174" s="103">
        <f t="shared" si="133"/>
        <v>-125.30000000000001</v>
      </c>
      <c r="G174" s="103">
        <f t="shared" si="133"/>
        <v>-77.399999999999991</v>
      </c>
      <c r="H174" s="104">
        <f t="shared" si="133"/>
        <v>-482.09999999999997</v>
      </c>
      <c r="I174" s="103">
        <f t="shared" si="133"/>
        <v>-71.599999999999994</v>
      </c>
      <c r="J174" s="103">
        <f t="shared" si="133"/>
        <v>-66.8</v>
      </c>
      <c r="K174" s="103">
        <f t="shared" si="133"/>
        <v>-173.67999999999998</v>
      </c>
      <c r="L174" s="171">
        <f t="shared" si="133"/>
        <v>-187</v>
      </c>
      <c r="M174" s="293"/>
      <c r="N174" s="171">
        <f t="shared" si="133"/>
        <v>-122.64749999999998</v>
      </c>
      <c r="O174" s="171">
        <f t="shared" si="133"/>
        <v>-120.72843750000001</v>
      </c>
      <c r="P174" s="171">
        <f t="shared" si="133"/>
        <v>-118.14449218750001</v>
      </c>
      <c r="Q174" s="171">
        <f t="shared" si="133"/>
        <v>-117.25005371093751</v>
      </c>
      <c r="R174" s="293"/>
      <c r="S174" s="171">
        <f>SUM(S169:S173)</f>
        <v>-122.23131042480469</v>
      </c>
      <c r="T174" s="171">
        <f>SUM(T169:T173)</f>
        <v>-128.56022422790528</v>
      </c>
      <c r="U174" s="171">
        <f>SUM(U169:U173)</f>
        <v>-136.28025225639342</v>
      </c>
      <c r="V174" s="171">
        <f>SUM(V169:V173)</f>
        <v>-131.60528378844262</v>
      </c>
      <c r="W174" s="293"/>
      <c r="X174" s="171">
        <f>SUM(X169:X173)</f>
        <v>-124.68094426199795</v>
      </c>
      <c r="Y174" s="171">
        <f>SUM(Y169:Y173)</f>
        <v>-124.93512479474769</v>
      </c>
      <c r="Z174" s="171">
        <f>SUM(Z169:Z173)</f>
        <v>-125.46096070659115</v>
      </c>
      <c r="AA174" s="171">
        <f>SUM(AA169:AA173)</f>
        <v>-126.37551927147754</v>
      </c>
      <c r="AB174" s="293"/>
      <c r="AC174" s="171">
        <f>SUM(AC169:AC173)</f>
        <v>-127.51620246654505</v>
      </c>
      <c r="AD174" s="171">
        <f>SUM(AD169:AD173)</f>
        <v>-128.17681397176261</v>
      </c>
      <c r="AE174" s="171">
        <f>SUM(AE169:AE173)</f>
        <v>-128.12888768974477</v>
      </c>
      <c r="AF174" s="171">
        <f>SUM(AF169:AF173)</f>
        <v>-127.10996711891366</v>
      </c>
      <c r="AG174" s="293"/>
      <c r="AH174" s="171">
        <f>SUM(AH169:AH173)</f>
        <v>-126.54805253522254</v>
      </c>
      <c r="AI174" s="171">
        <f>SUM(AI169:AI173)</f>
        <v>-126.78144106937562</v>
      </c>
      <c r="AJ174" s="171">
        <f>SUM(AJ169:AJ173)</f>
        <v>-127.01223060370411</v>
      </c>
      <c r="AK174" s="171">
        <f>SUM(AK169:AK173)</f>
        <v>-127.20613934084324</v>
      </c>
      <c r="AL174" s="293"/>
    </row>
    <row r="175" spans="1:38" ht="17.25" outlineLevel="1" x14ac:dyDescent="0.4">
      <c r="A175" s="166"/>
      <c r="B175" s="60" t="s">
        <v>288</v>
      </c>
      <c r="C175" s="61"/>
      <c r="D175" s="105">
        <v>0</v>
      </c>
      <c r="E175" s="105">
        <v>0</v>
      </c>
      <c r="F175" s="105">
        <v>0</v>
      </c>
      <c r="G175" s="105">
        <v>0</v>
      </c>
      <c r="H175" s="26"/>
      <c r="I175" s="105">
        <v>0</v>
      </c>
      <c r="J175" s="105">
        <v>0</v>
      </c>
      <c r="K175" s="105">
        <v>0</v>
      </c>
      <c r="L175" s="172">
        <v>0</v>
      </c>
      <c r="M175" s="169"/>
      <c r="N175" s="172">
        <v>0</v>
      </c>
      <c r="O175" s="172">
        <v>0</v>
      </c>
      <c r="P175" s="172">
        <v>0</v>
      </c>
      <c r="Q175" s="172">
        <f>-Q25/13</f>
        <v>-86.712484604932342</v>
      </c>
      <c r="R175" s="169"/>
      <c r="S175" s="172">
        <v>0</v>
      </c>
      <c r="T175" s="172">
        <v>0</v>
      </c>
      <c r="U175" s="172">
        <v>0</v>
      </c>
      <c r="V175" s="172">
        <v>0</v>
      </c>
      <c r="W175" s="169"/>
      <c r="X175" s="172">
        <v>0</v>
      </c>
      <c r="Y175" s="172">
        <v>0</v>
      </c>
      <c r="Z175" s="172">
        <v>0</v>
      </c>
      <c r="AA175" s="172">
        <v>0</v>
      </c>
      <c r="AB175" s="169"/>
      <c r="AC175" s="172">
        <v>0</v>
      </c>
      <c r="AD175" s="172">
        <v>0</v>
      </c>
      <c r="AE175" s="172">
        <v>0</v>
      </c>
      <c r="AF175" s="172">
        <v>0</v>
      </c>
      <c r="AG175" s="169"/>
      <c r="AH175" s="172">
        <v>0</v>
      </c>
      <c r="AI175" s="172">
        <v>0</v>
      </c>
      <c r="AJ175" s="172">
        <v>0</v>
      </c>
      <c r="AK175" s="172">
        <v>0</v>
      </c>
      <c r="AL175" s="169"/>
    </row>
    <row r="176" spans="1:38" s="13" customFormat="1" outlineLevel="1" x14ac:dyDescent="0.25">
      <c r="A176" s="181"/>
      <c r="B176" s="209" t="s">
        <v>160</v>
      </c>
      <c r="C176" s="68"/>
      <c r="D176" s="103">
        <f>-D174+D175</f>
        <v>138</v>
      </c>
      <c r="E176" s="103">
        <f>-E174+E175</f>
        <v>141.4</v>
      </c>
      <c r="F176" s="103">
        <f>-F174+F175</f>
        <v>125.30000000000001</v>
      </c>
      <c r="G176" s="103">
        <f>-G174+G175</f>
        <v>77.399999999999991</v>
      </c>
      <c r="H176" s="33"/>
      <c r="I176" s="103">
        <f t="shared" ref="I176:Q176" si="134">-I174+I175</f>
        <v>71.599999999999994</v>
      </c>
      <c r="J176" s="103">
        <f t="shared" si="134"/>
        <v>66.8</v>
      </c>
      <c r="K176" s="103">
        <f t="shared" si="134"/>
        <v>173.67999999999998</v>
      </c>
      <c r="L176" s="171">
        <f t="shared" si="134"/>
        <v>187</v>
      </c>
      <c r="M176" s="293"/>
      <c r="N176" s="171">
        <f t="shared" si="134"/>
        <v>122.64749999999998</v>
      </c>
      <c r="O176" s="171">
        <f t="shared" si="134"/>
        <v>120.72843750000001</v>
      </c>
      <c r="P176" s="171">
        <f t="shared" si="134"/>
        <v>118.14449218750001</v>
      </c>
      <c r="Q176" s="171">
        <f t="shared" si="134"/>
        <v>30.537569106005165</v>
      </c>
      <c r="R176" s="293"/>
      <c r="S176" s="171">
        <f>-S174+S175</f>
        <v>122.23131042480469</v>
      </c>
      <c r="T176" s="171">
        <f>-T174+T175</f>
        <v>128.56022422790528</v>
      </c>
      <c r="U176" s="171">
        <f>-U174+U175</f>
        <v>136.28025225639342</v>
      </c>
      <c r="V176" s="171">
        <f>-V174+V175</f>
        <v>131.60528378844262</v>
      </c>
      <c r="W176" s="293"/>
      <c r="X176" s="171">
        <f>-X174+X175</f>
        <v>124.68094426199795</v>
      </c>
      <c r="Y176" s="171">
        <f>-Y174+Y175</f>
        <v>124.93512479474769</v>
      </c>
      <c r="Z176" s="171">
        <f>-Z174+Z175</f>
        <v>125.46096070659115</v>
      </c>
      <c r="AA176" s="171">
        <f>-AA174+AA175</f>
        <v>126.37551927147754</v>
      </c>
      <c r="AB176" s="293"/>
      <c r="AC176" s="171">
        <f>-AC174+AC175</f>
        <v>127.51620246654505</v>
      </c>
      <c r="AD176" s="171">
        <f>-AD174+AD175</f>
        <v>128.17681397176261</v>
      </c>
      <c r="AE176" s="171">
        <f>-AE174+AE175</f>
        <v>128.12888768974477</v>
      </c>
      <c r="AF176" s="171">
        <f>-AF174+AF175</f>
        <v>127.10996711891366</v>
      </c>
      <c r="AG176" s="293"/>
      <c r="AH176" s="171">
        <f>-AH174+AH175</f>
        <v>126.54805253522254</v>
      </c>
      <c r="AI176" s="171">
        <f>-AI174+AI175</f>
        <v>126.78144106937562</v>
      </c>
      <c r="AJ176" s="171">
        <f>-AJ174+AJ175</f>
        <v>127.01223060370411</v>
      </c>
      <c r="AK176" s="171">
        <f>-AK174+AK175</f>
        <v>127.20613934084324</v>
      </c>
      <c r="AL176" s="293"/>
    </row>
    <row r="177" spans="1:38" outlineLevel="1" x14ac:dyDescent="0.25">
      <c r="A177" s="166"/>
      <c r="B177" s="60" t="s">
        <v>161</v>
      </c>
      <c r="C177" s="61"/>
      <c r="D177" s="101">
        <v>0</v>
      </c>
      <c r="E177" s="168">
        <f>-0.02*E39</f>
        <v>-25.014000000000003</v>
      </c>
      <c r="F177" s="168">
        <f>0.49*F39</f>
        <v>599.27</v>
      </c>
      <c r="G177" s="168">
        <v>0</v>
      </c>
      <c r="H177" s="169"/>
      <c r="I177" s="168">
        <v>0</v>
      </c>
      <c r="J177" s="168">
        <v>0</v>
      </c>
      <c r="K177" s="168">
        <v>0</v>
      </c>
      <c r="L177" s="337">
        <v>0</v>
      </c>
      <c r="M177" s="169"/>
      <c r="N177" s="337">
        <v>0</v>
      </c>
      <c r="O177" s="337">
        <v>0</v>
      </c>
      <c r="P177" s="337">
        <v>0</v>
      </c>
      <c r="Q177" s="337">
        <v>0</v>
      </c>
      <c r="R177" s="169"/>
      <c r="S177" s="337">
        <v>0</v>
      </c>
      <c r="T177" s="337">
        <v>0</v>
      </c>
      <c r="U177" s="337">
        <v>0</v>
      </c>
      <c r="V177" s="337">
        <v>0</v>
      </c>
      <c r="W177" s="169"/>
      <c r="X177" s="337">
        <v>0</v>
      </c>
      <c r="Y177" s="337">
        <v>0</v>
      </c>
      <c r="Z177" s="337">
        <v>0</v>
      </c>
      <c r="AA177" s="337">
        <v>0</v>
      </c>
      <c r="AB177" s="169"/>
      <c r="AC177" s="337">
        <v>0</v>
      </c>
      <c r="AD177" s="337">
        <v>0</v>
      </c>
      <c r="AE177" s="337">
        <v>0</v>
      </c>
      <c r="AF177" s="337">
        <v>0</v>
      </c>
      <c r="AG177" s="169"/>
      <c r="AH177" s="337">
        <v>0</v>
      </c>
      <c r="AI177" s="337">
        <v>0</v>
      </c>
      <c r="AJ177" s="337">
        <v>0</v>
      </c>
      <c r="AK177" s="337">
        <v>0</v>
      </c>
      <c r="AL177" s="169"/>
    </row>
    <row r="178" spans="1:38" outlineLevel="1" x14ac:dyDescent="0.25">
      <c r="A178" s="166"/>
      <c r="B178" s="452" t="s">
        <v>167</v>
      </c>
      <c r="C178" s="453"/>
      <c r="D178" s="101">
        <v>-41.449999999998646</v>
      </c>
      <c r="E178" s="25">
        <v>79.193999999999548</v>
      </c>
      <c r="F178" s="25">
        <v>-55.109999999999197</v>
      </c>
      <c r="G178" s="25">
        <v>30</v>
      </c>
      <c r="H178" s="26"/>
      <c r="I178" s="25">
        <v>11</v>
      </c>
      <c r="J178" s="25">
        <v>23</v>
      </c>
      <c r="K178" s="25">
        <f>0.03*K39</f>
        <v>35.055</v>
      </c>
      <c r="L178" s="168">
        <v>47</v>
      </c>
      <c r="M178" s="169"/>
      <c r="N178" s="168">
        <f>N176*N179</f>
        <v>24.529499999999999</v>
      </c>
      <c r="O178" s="168">
        <f>O176*O179</f>
        <v>24.145687500000005</v>
      </c>
      <c r="P178" s="168">
        <f>P176*P179</f>
        <v>23.628898437500002</v>
      </c>
      <c r="Q178" s="168">
        <f>Q176*Q179</f>
        <v>6.1075138212010334</v>
      </c>
      <c r="R178" s="169"/>
      <c r="S178" s="168">
        <f>S176*S179</f>
        <v>24.446262084960939</v>
      </c>
      <c r="T178" s="168">
        <f>T176*T179</f>
        <v>25.712044845581058</v>
      </c>
      <c r="U178" s="168">
        <f>U176*U179</f>
        <v>27.256050451278686</v>
      </c>
      <c r="V178" s="168">
        <f>V176*V179</f>
        <v>26.321056757688524</v>
      </c>
      <c r="W178" s="169"/>
      <c r="X178" s="168">
        <f>X176*X179</f>
        <v>24.936188852399592</v>
      </c>
      <c r="Y178" s="168">
        <f>Y176*Y179</f>
        <v>24.98702495894954</v>
      </c>
      <c r="Z178" s="168">
        <f>Z176*Z179</f>
        <v>25.092192141318233</v>
      </c>
      <c r="AA178" s="168">
        <f>AA176*AA179</f>
        <v>25.275103854295509</v>
      </c>
      <c r="AB178" s="169"/>
      <c r="AC178" s="168">
        <f>AC176*AC179</f>
        <v>25.503240493309011</v>
      </c>
      <c r="AD178" s="168">
        <f>AD176*AD179</f>
        <v>25.635362794352524</v>
      </c>
      <c r="AE178" s="168">
        <f>AE176*AE179</f>
        <v>25.625777537948956</v>
      </c>
      <c r="AF178" s="168">
        <f>AF176*AF179</f>
        <v>25.421993423782734</v>
      </c>
      <c r="AG178" s="169"/>
      <c r="AH178" s="168">
        <f>AH176*AH179</f>
        <v>25.309610507044511</v>
      </c>
      <c r="AI178" s="168">
        <f>AI176*AI179</f>
        <v>25.356288213875125</v>
      </c>
      <c r="AJ178" s="168">
        <f>AJ176*AJ179</f>
        <v>25.402446120740823</v>
      </c>
      <c r="AK178" s="168">
        <f>AK176*AK179</f>
        <v>25.441227868168649</v>
      </c>
      <c r="AL178" s="169"/>
    </row>
    <row r="179" spans="1:38" outlineLevel="1" x14ac:dyDescent="0.25">
      <c r="A179" s="166"/>
      <c r="B179" s="70" t="s">
        <v>168</v>
      </c>
      <c r="C179" s="88"/>
      <c r="D179" s="145">
        <f>D178/D176</f>
        <v>-0.30036231884056991</v>
      </c>
      <c r="E179" s="145">
        <f>E178/E176</f>
        <v>0.56007072135784686</v>
      </c>
      <c r="F179" s="145">
        <f>F178/F176</f>
        <v>-0.43982442138866074</v>
      </c>
      <c r="G179" s="145">
        <f>G178/G176</f>
        <v>0.38759689922480622</v>
      </c>
      <c r="H179" s="58"/>
      <c r="I179" s="145">
        <f>I178/I176</f>
        <v>0.15363128491620112</v>
      </c>
      <c r="J179" s="145">
        <f>J178/J176</f>
        <v>0.34431137724550898</v>
      </c>
      <c r="K179" s="145">
        <f>K178/K176</f>
        <v>0.20183671119299865</v>
      </c>
      <c r="L179" s="360">
        <v>0.25</v>
      </c>
      <c r="M179" s="317"/>
      <c r="N179" s="360">
        <v>0.2</v>
      </c>
      <c r="O179" s="360">
        <v>0.2</v>
      </c>
      <c r="P179" s="360">
        <v>0.2</v>
      </c>
      <c r="Q179" s="360">
        <v>0.2</v>
      </c>
      <c r="R179" s="317"/>
      <c r="S179" s="360">
        <v>0.2</v>
      </c>
      <c r="T179" s="360">
        <v>0.2</v>
      </c>
      <c r="U179" s="360">
        <v>0.2</v>
      </c>
      <c r="V179" s="360">
        <v>0.2</v>
      </c>
      <c r="W179" s="317"/>
      <c r="X179" s="360">
        <v>0.2</v>
      </c>
      <c r="Y179" s="360">
        <v>0.2</v>
      </c>
      <c r="Z179" s="360">
        <v>0.2</v>
      </c>
      <c r="AA179" s="360">
        <v>0.2</v>
      </c>
      <c r="AB179" s="317"/>
      <c r="AC179" s="360">
        <v>0.2</v>
      </c>
      <c r="AD179" s="360">
        <v>0.2</v>
      </c>
      <c r="AE179" s="360">
        <v>0.2</v>
      </c>
      <c r="AF179" s="360">
        <v>0.2</v>
      </c>
      <c r="AG179" s="317"/>
      <c r="AH179" s="360">
        <v>0.2</v>
      </c>
      <c r="AI179" s="360">
        <v>0.2</v>
      </c>
      <c r="AJ179" s="360">
        <v>0.2</v>
      </c>
      <c r="AK179" s="360">
        <v>0.2</v>
      </c>
      <c r="AL179" s="317"/>
    </row>
    <row r="180" spans="1:38" ht="36.950000000000003" customHeight="1" x14ac:dyDescent="0.25">
      <c r="A180" s="166"/>
      <c r="B180" s="12"/>
      <c r="C180" s="12"/>
      <c r="D180" s="148"/>
      <c r="E180" s="81"/>
      <c r="F180" s="81"/>
      <c r="G180" s="81"/>
      <c r="H180" s="81"/>
      <c r="I180" s="81"/>
      <c r="J180" s="81"/>
      <c r="K180" s="81"/>
      <c r="L180" s="81"/>
      <c r="M180" s="81"/>
      <c r="N180" s="17"/>
      <c r="P180" s="1"/>
      <c r="Q180" s="1"/>
      <c r="R180" s="81"/>
      <c r="U180" s="1"/>
      <c r="V180" s="1"/>
      <c r="W180" s="81"/>
      <c r="Z180" s="1"/>
      <c r="AA180" s="1"/>
      <c r="AB180" s="81"/>
      <c r="AE180" s="1"/>
      <c r="AF180" s="1"/>
      <c r="AG180" s="81"/>
      <c r="AJ180" s="1"/>
      <c r="AK180" s="1"/>
      <c r="AL180" s="81"/>
    </row>
    <row r="181" spans="1:38" ht="15.75" x14ac:dyDescent="0.25">
      <c r="A181" s="166"/>
      <c r="B181" s="448" t="s">
        <v>70</v>
      </c>
      <c r="C181" s="467"/>
      <c r="D181" s="22" t="s">
        <v>59</v>
      </c>
      <c r="E181" s="22" t="s">
        <v>212</v>
      </c>
      <c r="F181" s="22" t="s">
        <v>214</v>
      </c>
      <c r="G181" s="22" t="s">
        <v>73</v>
      </c>
      <c r="H181" s="76" t="s">
        <v>73</v>
      </c>
      <c r="I181" s="22" t="s">
        <v>74</v>
      </c>
      <c r="J181" s="22" t="s">
        <v>75</v>
      </c>
      <c r="K181" s="22" t="s">
        <v>76</v>
      </c>
      <c r="L181" s="24" t="s">
        <v>77</v>
      </c>
      <c r="M181" s="78" t="s">
        <v>77</v>
      </c>
      <c r="N181" s="24" t="s">
        <v>78</v>
      </c>
      <c r="O181" s="24" t="s">
        <v>79</v>
      </c>
      <c r="P181" s="24" t="s">
        <v>80</v>
      </c>
      <c r="Q181" s="24" t="s">
        <v>81</v>
      </c>
      <c r="R181" s="78" t="s">
        <v>81</v>
      </c>
      <c r="S181" s="24" t="s">
        <v>82</v>
      </c>
      <c r="T181" s="24" t="s">
        <v>83</v>
      </c>
      <c r="U181" s="24" t="s">
        <v>84</v>
      </c>
      <c r="V181" s="24" t="s">
        <v>85</v>
      </c>
      <c r="W181" s="78" t="s">
        <v>85</v>
      </c>
      <c r="X181" s="24" t="s">
        <v>86</v>
      </c>
      <c r="Y181" s="24" t="s">
        <v>87</v>
      </c>
      <c r="Z181" s="24" t="s">
        <v>88</v>
      </c>
      <c r="AA181" s="24" t="s">
        <v>89</v>
      </c>
      <c r="AB181" s="78" t="s">
        <v>89</v>
      </c>
      <c r="AC181" s="24" t="s">
        <v>216</v>
      </c>
      <c r="AD181" s="24" t="s">
        <v>217</v>
      </c>
      <c r="AE181" s="24" t="s">
        <v>218</v>
      </c>
      <c r="AF181" s="24" t="s">
        <v>219</v>
      </c>
      <c r="AG181" s="78" t="s">
        <v>219</v>
      </c>
      <c r="AH181" s="24" t="s">
        <v>249</v>
      </c>
      <c r="AI181" s="24" t="s">
        <v>250</v>
      </c>
      <c r="AJ181" s="24" t="s">
        <v>251</v>
      </c>
      <c r="AK181" s="24" t="s">
        <v>252</v>
      </c>
      <c r="AL181" s="78" t="s">
        <v>252</v>
      </c>
    </row>
    <row r="182" spans="1:38" ht="17.25" x14ac:dyDescent="0.4">
      <c r="A182" s="166"/>
      <c r="B182" s="64" t="s">
        <v>3</v>
      </c>
      <c r="C182" s="80"/>
      <c r="D182" s="23" t="s">
        <v>72</v>
      </c>
      <c r="E182" s="23" t="s">
        <v>211</v>
      </c>
      <c r="F182" s="23" t="s">
        <v>215</v>
      </c>
      <c r="G182" s="23" t="s">
        <v>225</v>
      </c>
      <c r="H182" s="77" t="s">
        <v>226</v>
      </c>
      <c r="I182" s="23" t="s">
        <v>227</v>
      </c>
      <c r="J182" s="23" t="s">
        <v>228</v>
      </c>
      <c r="K182" s="23" t="s">
        <v>229</v>
      </c>
      <c r="L182" s="21" t="s">
        <v>90</v>
      </c>
      <c r="M182" s="79" t="s">
        <v>91</v>
      </c>
      <c r="N182" s="21" t="s">
        <v>92</v>
      </c>
      <c r="O182" s="21" t="s">
        <v>93</v>
      </c>
      <c r="P182" s="21" t="s">
        <v>94</v>
      </c>
      <c r="Q182" s="21" t="s">
        <v>95</v>
      </c>
      <c r="R182" s="79" t="s">
        <v>96</v>
      </c>
      <c r="S182" s="21" t="s">
        <v>97</v>
      </c>
      <c r="T182" s="21" t="s">
        <v>98</v>
      </c>
      <c r="U182" s="21" t="s">
        <v>99</v>
      </c>
      <c r="V182" s="21" t="s">
        <v>100</v>
      </c>
      <c r="W182" s="79" t="s">
        <v>101</v>
      </c>
      <c r="X182" s="21" t="s">
        <v>102</v>
      </c>
      <c r="Y182" s="21" t="s">
        <v>103</v>
      </c>
      <c r="Z182" s="21" t="s">
        <v>104</v>
      </c>
      <c r="AA182" s="21" t="s">
        <v>105</v>
      </c>
      <c r="AB182" s="79" t="s">
        <v>106</v>
      </c>
      <c r="AC182" s="21" t="s">
        <v>220</v>
      </c>
      <c r="AD182" s="21" t="s">
        <v>221</v>
      </c>
      <c r="AE182" s="21" t="s">
        <v>222</v>
      </c>
      <c r="AF182" s="21" t="s">
        <v>223</v>
      </c>
      <c r="AG182" s="79" t="s">
        <v>224</v>
      </c>
      <c r="AH182" s="21" t="s">
        <v>253</v>
      </c>
      <c r="AI182" s="21" t="s">
        <v>254</v>
      </c>
      <c r="AJ182" s="21" t="s">
        <v>255</v>
      </c>
      <c r="AK182" s="21" t="s">
        <v>256</v>
      </c>
      <c r="AL182" s="79" t="s">
        <v>257</v>
      </c>
    </row>
    <row r="183" spans="1:38" ht="14.45" customHeight="1" x14ac:dyDescent="0.25">
      <c r="A183" s="166"/>
      <c r="B183" s="448" t="s">
        <v>6</v>
      </c>
      <c r="C183" s="467"/>
      <c r="D183" s="22"/>
      <c r="E183" s="22"/>
      <c r="F183" s="22"/>
      <c r="G183" s="221"/>
      <c r="H183" s="222"/>
      <c r="I183" s="221"/>
      <c r="J183" s="22"/>
      <c r="K183" s="22"/>
      <c r="L183" s="24"/>
      <c r="M183" s="78"/>
      <c r="N183" s="24"/>
      <c r="O183" s="24"/>
      <c r="P183" s="24"/>
      <c r="Q183" s="24"/>
      <c r="R183" s="78"/>
      <c r="S183" s="24"/>
      <c r="T183" s="24"/>
      <c r="U183" s="24"/>
      <c r="V183" s="24"/>
      <c r="W183" s="78"/>
      <c r="X183" s="24"/>
      <c r="Y183" s="24"/>
      <c r="Z183" s="24"/>
      <c r="AA183" s="24"/>
      <c r="AB183" s="169"/>
      <c r="AC183" s="24"/>
      <c r="AD183" s="24"/>
      <c r="AE183" s="24"/>
      <c r="AF183" s="24"/>
      <c r="AG183" s="78"/>
      <c r="AH183" s="24"/>
      <c r="AI183" s="24"/>
      <c r="AJ183" s="24"/>
      <c r="AK183" s="24"/>
      <c r="AL183" s="78"/>
    </row>
    <row r="184" spans="1:38" ht="14.45" customHeight="1" outlineLevel="1" x14ac:dyDescent="0.25">
      <c r="A184" s="166"/>
      <c r="B184" s="452" t="s">
        <v>26</v>
      </c>
      <c r="C184" s="453"/>
      <c r="D184" s="25">
        <f>D276</f>
        <v>4761.6000000000004</v>
      </c>
      <c r="E184" s="25">
        <f>E276</f>
        <v>2055.1000000000004</v>
      </c>
      <c r="F184" s="25">
        <f>F276</f>
        <v>4763.4000000000015</v>
      </c>
      <c r="G184" s="168">
        <f>G276</f>
        <v>2686.6000000000022</v>
      </c>
      <c r="H184" s="26">
        <f>G184</f>
        <v>2686.6000000000022</v>
      </c>
      <c r="I184" s="25">
        <f>I276</f>
        <v>3040.5000000000036</v>
      </c>
      <c r="J184" s="25">
        <f>J276</f>
        <v>2572.3000000000029</v>
      </c>
      <c r="K184" s="25">
        <f>K276</f>
        <v>3965.9000000000042</v>
      </c>
      <c r="L184" s="168">
        <f>L276</f>
        <v>3642.2349029516436</v>
      </c>
      <c r="M184" s="169">
        <f>L184</f>
        <v>3642.2349029516436</v>
      </c>
      <c r="N184" s="168">
        <f>N276</f>
        <v>3721.9044219008838</v>
      </c>
      <c r="O184" s="168">
        <f>O276</f>
        <v>3254.9252515436383</v>
      </c>
      <c r="P184" s="168">
        <f>P276</f>
        <v>2737.2318269669236</v>
      </c>
      <c r="Q184" s="168">
        <f>Q276</f>
        <v>2527.0503317762723</v>
      </c>
      <c r="R184" s="169">
        <f>Q184</f>
        <v>2527.0503317762723</v>
      </c>
      <c r="S184" s="168">
        <f>S276</f>
        <v>2531.4765208481335</v>
      </c>
      <c r="T184" s="168">
        <f>T276</f>
        <v>2209.4709467961602</v>
      </c>
      <c r="U184" s="168">
        <f>U276</f>
        <v>1904.4899761008239</v>
      </c>
      <c r="V184" s="168">
        <f>V276</f>
        <v>2258.7015237034184</v>
      </c>
      <c r="W184" s="169">
        <f>V184</f>
        <v>2258.7015237034184</v>
      </c>
      <c r="X184" s="168">
        <f>X276</f>
        <v>2553.8850702624468</v>
      </c>
      <c r="Y184" s="168">
        <f>Y276</f>
        <v>1945.4249915722141</v>
      </c>
      <c r="Z184" s="168">
        <f>Z276</f>
        <v>1562.2179279735185</v>
      </c>
      <c r="AA184" s="168">
        <f>AA276</f>
        <v>1362.068283605741</v>
      </c>
      <c r="AB184" s="169">
        <f>AA184</f>
        <v>1362.068283605741</v>
      </c>
      <c r="AC184" s="168">
        <f>AC276</f>
        <v>1581.1698555048047</v>
      </c>
      <c r="AD184" s="168">
        <f>AD276</f>
        <v>1085.0740206764642</v>
      </c>
      <c r="AE184" s="168">
        <f>AE276</f>
        <v>736.10665532065218</v>
      </c>
      <c r="AF184" s="168">
        <f>AF276</f>
        <v>1054.6152208389069</v>
      </c>
      <c r="AG184" s="169">
        <f>AF184</f>
        <v>1054.6152208389069</v>
      </c>
      <c r="AH184" s="168">
        <f>AH276</f>
        <v>1361.5500332586385</v>
      </c>
      <c r="AI184" s="168">
        <f>AI276</f>
        <v>885.59320387476123</v>
      </c>
      <c r="AJ184" s="168">
        <f>AJ276</f>
        <v>564.51804876754295</v>
      </c>
      <c r="AK184" s="168">
        <f>AK276</f>
        <v>904.18912402318801</v>
      </c>
      <c r="AL184" s="169">
        <f>AK184</f>
        <v>904.18912402318801</v>
      </c>
    </row>
    <row r="185" spans="1:38" ht="14.45" customHeight="1" outlineLevel="1" x14ac:dyDescent="0.25">
      <c r="A185" s="166"/>
      <c r="B185" s="60" t="s">
        <v>169</v>
      </c>
      <c r="C185" s="61"/>
      <c r="D185" s="25">
        <v>230.2</v>
      </c>
      <c r="E185" s="25">
        <v>76.599999999999994</v>
      </c>
      <c r="F185" s="25">
        <v>72.099999999999994</v>
      </c>
      <c r="G185" s="25">
        <v>70.5</v>
      </c>
      <c r="H185" s="26">
        <f>+G185</f>
        <v>70.5</v>
      </c>
      <c r="I185" s="25">
        <v>68.400000000000006</v>
      </c>
      <c r="J185" s="25">
        <v>52.9</v>
      </c>
      <c r="K185" s="25">
        <v>229.9</v>
      </c>
      <c r="L185" s="168">
        <f>L231*L220*L232</f>
        <v>85.461013502116813</v>
      </c>
      <c r="M185" s="169">
        <f>L185</f>
        <v>85.461013502116813</v>
      </c>
      <c r="N185" s="168">
        <f>N231*N220*N232</f>
        <v>85.748279021640641</v>
      </c>
      <c r="O185" s="168">
        <f>O231*O220*O232</f>
        <v>83.026629213532701</v>
      </c>
      <c r="P185" s="168">
        <f>P231*P220*P232</f>
        <v>81.338588806728893</v>
      </c>
      <c r="Q185" s="168">
        <f>Q231*Q220*Q232</f>
        <v>80.882491157155144</v>
      </c>
      <c r="R185" s="169">
        <f>Q185</f>
        <v>80.882491157155144</v>
      </c>
      <c r="S185" s="168">
        <f>S231*S220*S232</f>
        <v>81.484110045312732</v>
      </c>
      <c r="T185" s="168">
        <f>T231*T220*T232</f>
        <v>78.871809500292912</v>
      </c>
      <c r="U185" s="168">
        <f>U231*U220*U232</f>
        <v>78.069812906213272</v>
      </c>
      <c r="V185" s="168">
        <f>V231*V220*V232</f>
        <v>79.535869678760548</v>
      </c>
      <c r="W185" s="169">
        <f>V185</f>
        <v>79.535869678760548</v>
      </c>
      <c r="X185" s="168">
        <f>X231*X220*X232</f>
        <v>81.111013766740101</v>
      </c>
      <c r="Y185" s="168">
        <f>Y231*Y220*Y232</f>
        <v>77.622358349188701</v>
      </c>
      <c r="Z185" s="168">
        <f>Z231*Z220*Z232</f>
        <v>76.749812860217261</v>
      </c>
      <c r="AA185" s="168">
        <f>AA231*AA220*AA232</f>
        <v>76.56385708162874</v>
      </c>
      <c r="AB185" s="169">
        <f>AA185</f>
        <v>76.56385708162874</v>
      </c>
      <c r="AC185" s="168">
        <f>AC231*AC220*AC232</f>
        <v>78.175500176569599</v>
      </c>
      <c r="AD185" s="168">
        <f>AD231*AD220*AD232</f>
        <v>74.957202330571135</v>
      </c>
      <c r="AE185" s="168">
        <f>AE231*AE220*AE232</f>
        <v>74.349547052940835</v>
      </c>
      <c r="AF185" s="168">
        <f>AF231*AF220*AF232</f>
        <v>75.824474201286719</v>
      </c>
      <c r="AG185" s="169">
        <f>AF185</f>
        <v>75.824474201286719</v>
      </c>
      <c r="AH185" s="168">
        <f>AH231*AH220*AH232</f>
        <v>77.913394602854808</v>
      </c>
      <c r="AI185" s="168">
        <f>AI231*AI220*AI232</f>
        <v>74.645195504992742</v>
      </c>
      <c r="AJ185" s="168">
        <f>AJ231*AJ220*AJ232</f>
        <v>74.287154308425613</v>
      </c>
      <c r="AK185" s="168">
        <f>AK231*AK220*AK232</f>
        <v>75.936100392534783</v>
      </c>
      <c r="AL185" s="169">
        <f>AK185</f>
        <v>75.936100392534783</v>
      </c>
    </row>
    <row r="186" spans="1:38" s="34" customFormat="1" ht="14.45" customHeight="1" outlineLevel="1" x14ac:dyDescent="0.25">
      <c r="A186" s="231"/>
      <c r="B186" s="452" t="s">
        <v>170</v>
      </c>
      <c r="C186" s="453"/>
      <c r="D186" s="25">
        <v>721.4</v>
      </c>
      <c r="E186" s="25">
        <v>703.6</v>
      </c>
      <c r="F186" s="25">
        <v>790.6</v>
      </c>
      <c r="G186" s="25">
        <v>879</v>
      </c>
      <c r="H186" s="26">
        <f>G186</f>
        <v>879</v>
      </c>
      <c r="I186" s="25">
        <v>908.1</v>
      </c>
      <c r="J186" s="25">
        <v>941</v>
      </c>
      <c r="K186" s="25">
        <v>881.1</v>
      </c>
      <c r="L186" s="168">
        <f>L16/L225</f>
        <v>904.58733605979239</v>
      </c>
      <c r="M186" s="169">
        <f>L186</f>
        <v>904.58733605979239</v>
      </c>
      <c r="N186" s="168">
        <f>N16/N225</f>
        <v>946.07768978323236</v>
      </c>
      <c r="O186" s="168">
        <f>O16/O225</f>
        <v>858.49112235369842</v>
      </c>
      <c r="P186" s="168">
        <f>P16/P225</f>
        <v>949.85337770513513</v>
      </c>
      <c r="Q186" s="168">
        <f>Q16/Q225</f>
        <v>958.02632363887631</v>
      </c>
      <c r="R186" s="169">
        <f>Q186</f>
        <v>958.02632363887631</v>
      </c>
      <c r="S186" s="168">
        <f>S16/S225</f>
        <v>1056.5890993476839</v>
      </c>
      <c r="T186" s="168">
        <f>T16/T225</f>
        <v>898.8886995020805</v>
      </c>
      <c r="U186" s="168">
        <f>U16/U225</f>
        <v>1004.911197883067</v>
      </c>
      <c r="V186" s="168">
        <f>V16/V225</f>
        <v>1016.7483580885425</v>
      </c>
      <c r="W186" s="169">
        <f>V186</f>
        <v>1016.7483580885425</v>
      </c>
      <c r="X186" s="168">
        <f>X16/X225</f>
        <v>1108.9417869023091</v>
      </c>
      <c r="Y186" s="168">
        <f>Y16/Y225</f>
        <v>940.97404954476417</v>
      </c>
      <c r="Z186" s="168">
        <f>Z16/Z225</f>
        <v>1059.1990862475507</v>
      </c>
      <c r="AA186" s="168">
        <f>AA16/AA225</f>
        <v>1064.7974594979687</v>
      </c>
      <c r="AB186" s="169">
        <f>AA186</f>
        <v>1064.7974594979687</v>
      </c>
      <c r="AC186" s="168">
        <f>AC16/AC225</f>
        <v>1175.5799121704215</v>
      </c>
      <c r="AD186" s="168">
        <f>AD16/AD225</f>
        <v>990.61446278968981</v>
      </c>
      <c r="AE186" s="168">
        <f>AE16/AE225</f>
        <v>1122.5954929503466</v>
      </c>
      <c r="AF186" s="168">
        <f>AF16/AF225</f>
        <v>1122.4738095027301</v>
      </c>
      <c r="AG186" s="169">
        <f>AF186</f>
        <v>1122.4738095027301</v>
      </c>
      <c r="AH186" s="168">
        <f>AH16/AH225</f>
        <v>1242.6652232712963</v>
      </c>
      <c r="AI186" s="168">
        <f>AI16/AI225</f>
        <v>1039.2411791635559</v>
      </c>
      <c r="AJ186" s="168">
        <f>AJ16/AJ225</f>
        <v>1186.392509053846</v>
      </c>
      <c r="AK186" s="168">
        <f>AK16/AK225</f>
        <v>1187.2471698204088</v>
      </c>
      <c r="AL186" s="169">
        <f>AK186</f>
        <v>1187.2471698204088</v>
      </c>
    </row>
    <row r="187" spans="1:38" s="34" customFormat="1" ht="14.45" customHeight="1" outlineLevel="1" x14ac:dyDescent="0.25">
      <c r="A187" s="231"/>
      <c r="B187" s="60" t="s">
        <v>171</v>
      </c>
      <c r="C187" s="61"/>
      <c r="D187" s="25">
        <v>1354.6</v>
      </c>
      <c r="E187" s="25">
        <v>1443</v>
      </c>
      <c r="F187" s="25">
        <v>1517.2</v>
      </c>
      <c r="G187" s="25">
        <v>1529.4</v>
      </c>
      <c r="H187" s="26">
        <f>G187</f>
        <v>1529.4</v>
      </c>
      <c r="I187" s="25">
        <v>1408.7</v>
      </c>
      <c r="J187" s="25">
        <v>1492.2</v>
      </c>
      <c r="K187" s="25">
        <v>1583.8</v>
      </c>
      <c r="L187" s="168">
        <f>L17/L227</f>
        <v>1685.0100219998621</v>
      </c>
      <c r="M187" s="169">
        <f>L187</f>
        <v>1685.0100219998621</v>
      </c>
      <c r="N187" s="168">
        <f>N17/N227</f>
        <v>1705.4983671250056</v>
      </c>
      <c r="O187" s="168">
        <f>O17/O227</f>
        <v>1600.9718077734324</v>
      </c>
      <c r="P187" s="168">
        <f>P17/P227</f>
        <v>1619.7907937531811</v>
      </c>
      <c r="Q187" s="168">
        <f>Q17/Q227</f>
        <v>1796.2700820770917</v>
      </c>
      <c r="R187" s="169">
        <f>Q187</f>
        <v>1796.2700820770917</v>
      </c>
      <c r="S187" s="168">
        <f>S17/S227</f>
        <v>1858.6137959227735</v>
      </c>
      <c r="T187" s="168">
        <f>T17/T227</f>
        <v>1676.4171506624675</v>
      </c>
      <c r="U187" s="168">
        <f>U17/U227</f>
        <v>1712.6749426220658</v>
      </c>
      <c r="V187" s="168">
        <f>V17/V227</f>
        <v>1903.5915661556908</v>
      </c>
      <c r="W187" s="169">
        <f>V187</f>
        <v>1903.5915661556908</v>
      </c>
      <c r="X187" s="168">
        <f>X17/X227</f>
        <v>1951.7804957068274</v>
      </c>
      <c r="Y187" s="168">
        <f>Y17/Y227</f>
        <v>1758.7612478564683</v>
      </c>
      <c r="Z187" s="168">
        <f>Z17/Z227</f>
        <v>1807.2739115698234</v>
      </c>
      <c r="AA187" s="168">
        <f>AA17/AA227</f>
        <v>1997.867355405592</v>
      </c>
      <c r="AB187" s="169">
        <f>AA187</f>
        <v>1997.867355405592</v>
      </c>
      <c r="AC187" s="168">
        <f>AC17/AC227</f>
        <v>2073.3881926911004</v>
      </c>
      <c r="AD187" s="168">
        <f>AD17/AD227</f>
        <v>1854.2627703935175</v>
      </c>
      <c r="AE187" s="168">
        <f>AE17/AE227</f>
        <v>1913.7940911434541</v>
      </c>
      <c r="AF187" s="168">
        <f>AF17/AF227</f>
        <v>2106.3798392338958</v>
      </c>
      <c r="AG187" s="169">
        <f>AF187</f>
        <v>2106.3798392338958</v>
      </c>
      <c r="AH187" s="168">
        <f>AH17/AH227</f>
        <v>2192.9208458103108</v>
      </c>
      <c r="AI187" s="168">
        <f>AI17/AI227</f>
        <v>1947.8931237069212</v>
      </c>
      <c r="AJ187" s="168">
        <f>AJ17/AJ227</f>
        <v>2023.9222747338381</v>
      </c>
      <c r="AK187" s="168">
        <f>AK17/AK227</f>
        <v>2228.9912359169348</v>
      </c>
      <c r="AL187" s="169">
        <f>AK187</f>
        <v>2228.9912359169348</v>
      </c>
    </row>
    <row r="188" spans="1:38" ht="16.350000000000001" customHeight="1" outlineLevel="1" x14ac:dyDescent="0.4">
      <c r="A188" s="166"/>
      <c r="B188" s="452" t="s">
        <v>48</v>
      </c>
      <c r="C188" s="453"/>
      <c r="D188" s="28">
        <v>608.5</v>
      </c>
      <c r="E188" s="183">
        <v>674</v>
      </c>
      <c r="F188" s="183">
        <v>591.6</v>
      </c>
      <c r="G188" s="183">
        <v>488.2</v>
      </c>
      <c r="H188" s="29">
        <f>G188</f>
        <v>488.2</v>
      </c>
      <c r="I188" s="183">
        <v>474</v>
      </c>
      <c r="J188" s="183">
        <v>691.5</v>
      </c>
      <c r="K188" s="183">
        <v>920.3</v>
      </c>
      <c r="L188" s="51">
        <f>K188*0.85</f>
        <v>782.255</v>
      </c>
      <c r="M188" s="169">
        <f>L188</f>
        <v>782.255</v>
      </c>
      <c r="N188" s="51">
        <f>L188*0.9</f>
        <v>704.02949999999998</v>
      </c>
      <c r="O188" s="51">
        <f>N188*0.9</f>
        <v>633.62654999999995</v>
      </c>
      <c r="P188" s="51">
        <f>O188*0.9</f>
        <v>570.26389499999993</v>
      </c>
      <c r="Q188" s="51">
        <f>P188*0.9</f>
        <v>513.2375055</v>
      </c>
      <c r="R188" s="169">
        <f>Q188</f>
        <v>513.2375055</v>
      </c>
      <c r="S188" s="51">
        <f>Q188*0.9</f>
        <v>461.91375495</v>
      </c>
      <c r="T188" s="51">
        <f>S188*0.9</f>
        <v>415.72237945500001</v>
      </c>
      <c r="U188" s="51">
        <f>T188*0.9</f>
        <v>374.15014150950003</v>
      </c>
      <c r="V188" s="51">
        <f>U188*0.9</f>
        <v>336.73512735855002</v>
      </c>
      <c r="W188" s="169">
        <f>V188</f>
        <v>336.73512735855002</v>
      </c>
      <c r="X188" s="51">
        <f>V188*0.9</f>
        <v>303.061614622695</v>
      </c>
      <c r="Y188" s="51">
        <f>X188*0.9</f>
        <v>272.75545316042553</v>
      </c>
      <c r="Z188" s="51">
        <f>Y188*0.9</f>
        <v>245.47990784438298</v>
      </c>
      <c r="AA188" s="51">
        <f>Z188*0.9</f>
        <v>220.93191705994468</v>
      </c>
      <c r="AB188" s="169">
        <f>AA188</f>
        <v>220.93191705994468</v>
      </c>
      <c r="AC188" s="51">
        <f>AA188*0.9</f>
        <v>198.83872535395022</v>
      </c>
      <c r="AD188" s="51">
        <f>AC188*0.9</f>
        <v>178.9548528185552</v>
      </c>
      <c r="AE188" s="51">
        <f>AD188*0.9</f>
        <v>161.05936753669968</v>
      </c>
      <c r="AF188" s="51">
        <f>AE188*0.9</f>
        <v>144.95343078302972</v>
      </c>
      <c r="AG188" s="169">
        <f>AF188</f>
        <v>144.95343078302972</v>
      </c>
      <c r="AH188" s="51">
        <f>AF188*0.9</f>
        <v>130.45808770472675</v>
      </c>
      <c r="AI188" s="51">
        <f>AH188*0.9</f>
        <v>117.41227893425408</v>
      </c>
      <c r="AJ188" s="51">
        <f>AI188*0.9</f>
        <v>105.67105104082867</v>
      </c>
      <c r="AK188" s="51">
        <f>AJ188*0.9</f>
        <v>95.103945936745802</v>
      </c>
      <c r="AL188" s="169">
        <f>AK188</f>
        <v>95.103945936745802</v>
      </c>
    </row>
    <row r="189" spans="1:38" ht="14.45" customHeight="1" outlineLevel="1" x14ac:dyDescent="0.25">
      <c r="A189" s="166"/>
      <c r="B189" s="62" t="s">
        <v>4</v>
      </c>
      <c r="C189" s="63"/>
      <c r="D189" s="32">
        <f t="shared" ref="D189:Q189" si="135">SUM(D184:D188)</f>
        <v>7676.2999999999993</v>
      </c>
      <c r="E189" s="32">
        <f t="shared" si="135"/>
        <v>4952.3</v>
      </c>
      <c r="F189" s="32">
        <f t="shared" si="135"/>
        <v>7734.9000000000024</v>
      </c>
      <c r="G189" s="32">
        <f t="shared" si="135"/>
        <v>5653.7000000000016</v>
      </c>
      <c r="H189" s="33">
        <f t="shared" si="135"/>
        <v>5653.7000000000016</v>
      </c>
      <c r="I189" s="32">
        <f t="shared" si="135"/>
        <v>5899.7000000000035</v>
      </c>
      <c r="J189" s="32">
        <f t="shared" si="135"/>
        <v>5749.9000000000033</v>
      </c>
      <c r="K189" s="32">
        <f t="shared" si="135"/>
        <v>7581.0000000000045</v>
      </c>
      <c r="L189" s="198">
        <f t="shared" si="135"/>
        <v>7099.548274513415</v>
      </c>
      <c r="M189" s="198">
        <f t="shared" si="135"/>
        <v>7099.548274513415</v>
      </c>
      <c r="N189" s="198">
        <f t="shared" si="135"/>
        <v>7163.258257830762</v>
      </c>
      <c r="O189" s="198">
        <f t="shared" si="135"/>
        <v>6431.0413608843019</v>
      </c>
      <c r="P189" s="198">
        <f t="shared" si="135"/>
        <v>5958.4784822319689</v>
      </c>
      <c r="Q189" s="198">
        <f t="shared" si="135"/>
        <v>5875.466734149396</v>
      </c>
      <c r="R189" s="198">
        <f t="shared" ref="R189:AL189" si="136">SUM(R184:R188)</f>
        <v>5875.466734149396</v>
      </c>
      <c r="S189" s="198">
        <f t="shared" si="136"/>
        <v>5990.0772811139041</v>
      </c>
      <c r="T189" s="198">
        <f t="shared" si="136"/>
        <v>5279.3709859160017</v>
      </c>
      <c r="U189" s="198">
        <f t="shared" si="136"/>
        <v>5074.2960710216694</v>
      </c>
      <c r="V189" s="198">
        <f t="shared" si="136"/>
        <v>5595.3124449849629</v>
      </c>
      <c r="W189" s="198">
        <f t="shared" si="136"/>
        <v>5595.3124449849629</v>
      </c>
      <c r="X189" s="198">
        <f t="shared" si="136"/>
        <v>5998.7799812610183</v>
      </c>
      <c r="Y189" s="198">
        <f t="shared" si="136"/>
        <v>4995.5381004830615</v>
      </c>
      <c r="Z189" s="198">
        <f t="shared" si="136"/>
        <v>4750.9206464954923</v>
      </c>
      <c r="AA189" s="198">
        <f t="shared" si="136"/>
        <v>4722.228872650875</v>
      </c>
      <c r="AB189" s="198">
        <f t="shared" si="136"/>
        <v>4722.228872650875</v>
      </c>
      <c r="AC189" s="198">
        <f t="shared" si="136"/>
        <v>5107.1521858968472</v>
      </c>
      <c r="AD189" s="198">
        <f t="shared" si="136"/>
        <v>4183.8633090087978</v>
      </c>
      <c r="AE189" s="198">
        <f t="shared" si="136"/>
        <v>4007.9051540040932</v>
      </c>
      <c r="AF189" s="198">
        <f t="shared" si="136"/>
        <v>4504.2467745598497</v>
      </c>
      <c r="AG189" s="198">
        <f t="shared" si="136"/>
        <v>4504.2467745598497</v>
      </c>
      <c r="AH189" s="198">
        <f t="shared" si="136"/>
        <v>5005.5075846478267</v>
      </c>
      <c r="AI189" s="198">
        <f t="shared" si="136"/>
        <v>4064.7849811844849</v>
      </c>
      <c r="AJ189" s="198">
        <f t="shared" si="136"/>
        <v>3954.7910379044815</v>
      </c>
      <c r="AK189" s="198">
        <f t="shared" si="136"/>
        <v>4491.4675760898117</v>
      </c>
      <c r="AL189" s="198">
        <f t="shared" si="136"/>
        <v>4491.4675760898117</v>
      </c>
    </row>
    <row r="190" spans="1:38" ht="14.45" customHeight="1" outlineLevel="1" x14ac:dyDescent="0.25">
      <c r="A190" s="166"/>
      <c r="B190" s="60" t="s">
        <v>172</v>
      </c>
      <c r="C190" s="97"/>
      <c r="D190" s="25">
        <v>265</v>
      </c>
      <c r="E190" s="25">
        <v>251.9</v>
      </c>
      <c r="F190" s="25">
        <v>222.6</v>
      </c>
      <c r="G190" s="25">
        <v>220</v>
      </c>
      <c r="H190" s="26">
        <f t="shared" ref="H190:H196" si="137">+G190</f>
        <v>220</v>
      </c>
      <c r="I190" s="25">
        <v>199.8</v>
      </c>
      <c r="J190" s="25">
        <v>198.8</v>
      </c>
      <c r="K190" s="25">
        <v>223.4</v>
      </c>
      <c r="L190" s="168">
        <f>L231*L220*(1-L232)</f>
        <v>199.40903150493921</v>
      </c>
      <c r="M190" s="361">
        <f>+L190</f>
        <v>199.40903150493921</v>
      </c>
      <c r="N190" s="168">
        <f>N231*N220*(1-N232)</f>
        <v>200.07931771716147</v>
      </c>
      <c r="O190" s="168">
        <f>O231*O220*(1-O232)</f>
        <v>193.72880149824294</v>
      </c>
      <c r="P190" s="168">
        <f>P231*P220*(1-P232)</f>
        <v>189.79004054903407</v>
      </c>
      <c r="Q190" s="168">
        <f>Q231*Q220*(1-Q232)</f>
        <v>188.72581270002868</v>
      </c>
      <c r="R190" s="169">
        <f>+Q190</f>
        <v>188.72581270002868</v>
      </c>
      <c r="S190" s="168">
        <f>S231*S220*(1-S232)</f>
        <v>190.1295901057297</v>
      </c>
      <c r="T190" s="168">
        <f>T231*T220*(1-T232)</f>
        <v>184.03422216735012</v>
      </c>
      <c r="U190" s="168">
        <f>U231*U220*(1-U232)</f>
        <v>182.16289678116428</v>
      </c>
      <c r="V190" s="168">
        <f>V231*V220*(1-V232)</f>
        <v>185.58369591710795</v>
      </c>
      <c r="W190" s="169">
        <f>+V190</f>
        <v>185.58369591710795</v>
      </c>
      <c r="X190" s="168">
        <f>X231*X220*(1-X232)</f>
        <v>189.25903212239356</v>
      </c>
      <c r="Y190" s="168">
        <f>Y231*Y220*(1-Y232)</f>
        <v>181.11883614810696</v>
      </c>
      <c r="Z190" s="168">
        <f>Z231*Z220*(1-Z232)</f>
        <v>179.08289667384028</v>
      </c>
      <c r="AA190" s="168">
        <f>AA231*AA220*(1-AA232)</f>
        <v>178.6489998571337</v>
      </c>
      <c r="AB190" s="169">
        <f>+AA190</f>
        <v>178.6489998571337</v>
      </c>
      <c r="AC190" s="168">
        <f>AC231*AC220*(1-AC232)</f>
        <v>182.40950041199571</v>
      </c>
      <c r="AD190" s="168">
        <f>AD231*AD220*(1-AD232)</f>
        <v>174.90013877133265</v>
      </c>
      <c r="AE190" s="168">
        <f>AE231*AE220*(1-AE232)</f>
        <v>173.48227645686194</v>
      </c>
      <c r="AF190" s="168">
        <f>AF231*AF220*(1-AF232)</f>
        <v>176.92377313633568</v>
      </c>
      <c r="AG190" s="169">
        <f>+AF190</f>
        <v>176.92377313633568</v>
      </c>
      <c r="AH190" s="168">
        <f>AH231*AH220*(1-AH232)</f>
        <v>181.79792073999457</v>
      </c>
      <c r="AI190" s="168">
        <f>AI231*AI220*(1-AI232)</f>
        <v>174.17212284498305</v>
      </c>
      <c r="AJ190" s="168">
        <f>AJ231*AJ220*(1-AJ232)</f>
        <v>173.33669338632643</v>
      </c>
      <c r="AK190" s="168">
        <f>AK231*AK220*(1-AK232)</f>
        <v>177.18423424924782</v>
      </c>
      <c r="AL190" s="169">
        <f>+AK190</f>
        <v>177.18423424924782</v>
      </c>
    </row>
    <row r="191" spans="1:38" ht="14.45" customHeight="1" outlineLevel="1" x14ac:dyDescent="0.25">
      <c r="A191" s="166"/>
      <c r="B191" s="60" t="s">
        <v>243</v>
      </c>
      <c r="C191" s="97"/>
      <c r="D191" s="25">
        <v>336.1</v>
      </c>
      <c r="E191" s="25">
        <v>309.3</v>
      </c>
      <c r="F191" s="25">
        <v>340.3</v>
      </c>
      <c r="G191" s="25">
        <v>396</v>
      </c>
      <c r="H191" s="26">
        <f t="shared" si="137"/>
        <v>396</v>
      </c>
      <c r="I191" s="25">
        <v>411.3</v>
      </c>
      <c r="J191" s="25">
        <v>420.9</v>
      </c>
      <c r="K191" s="25">
        <v>426.1</v>
      </c>
      <c r="L191" s="337">
        <v>428</v>
      </c>
      <c r="M191" s="26">
        <f>+L191</f>
        <v>428</v>
      </c>
      <c r="N191" s="337">
        <v>433</v>
      </c>
      <c r="O191" s="337">
        <v>430</v>
      </c>
      <c r="P191" s="337">
        <v>430</v>
      </c>
      <c r="Q191" s="337">
        <v>431</v>
      </c>
      <c r="R191" s="26">
        <f>+Q191</f>
        <v>431</v>
      </c>
      <c r="S191" s="168">
        <v>429.5</v>
      </c>
      <c r="T191" s="168">
        <v>428.9</v>
      </c>
      <c r="U191" s="168">
        <v>428.3</v>
      </c>
      <c r="V191" s="168">
        <v>427.7</v>
      </c>
      <c r="W191" s="169">
        <f>+V191</f>
        <v>427.7</v>
      </c>
      <c r="X191" s="168">
        <v>427.1</v>
      </c>
      <c r="Y191" s="168">
        <v>426.5</v>
      </c>
      <c r="Z191" s="168">
        <v>425.9</v>
      </c>
      <c r="AA191" s="168">
        <v>425.3</v>
      </c>
      <c r="AB191" s="169">
        <f>+AA191</f>
        <v>425.3</v>
      </c>
      <c r="AC191" s="168">
        <v>424.7</v>
      </c>
      <c r="AD191" s="168">
        <v>424.1</v>
      </c>
      <c r="AE191" s="168">
        <v>423.5</v>
      </c>
      <c r="AF191" s="168">
        <v>422.9</v>
      </c>
      <c r="AG191" s="169">
        <f>+AF191</f>
        <v>422.9</v>
      </c>
      <c r="AH191" s="337">
        <v>433</v>
      </c>
      <c r="AI191" s="337">
        <v>430</v>
      </c>
      <c r="AJ191" s="337">
        <v>430</v>
      </c>
      <c r="AK191" s="337">
        <v>431</v>
      </c>
      <c r="AL191" s="169">
        <f>+AK191</f>
        <v>431</v>
      </c>
    </row>
    <row r="192" spans="1:38" s="13" customFormat="1" outlineLevel="1" x14ac:dyDescent="0.25">
      <c r="A192" s="181"/>
      <c r="B192" s="60" t="s">
        <v>173</v>
      </c>
      <c r="C192" s="63"/>
      <c r="D192" s="25">
        <v>6039.3</v>
      </c>
      <c r="E192" s="25">
        <v>6135.5</v>
      </c>
      <c r="F192" s="25">
        <v>6187.8</v>
      </c>
      <c r="G192" s="25">
        <v>6431.7</v>
      </c>
      <c r="H192" s="26">
        <f t="shared" si="137"/>
        <v>6431.7</v>
      </c>
      <c r="I192" s="25">
        <v>6390.9</v>
      </c>
      <c r="J192" s="25">
        <v>6387</v>
      </c>
      <c r="K192" s="25">
        <v>6295.6</v>
      </c>
      <c r="L192" s="168">
        <f>K192-L260-L242</f>
        <v>6284.8617647817791</v>
      </c>
      <c r="M192" s="169">
        <f t="shared" ref="M192:M197" si="138">L192</f>
        <v>6284.8617647817791</v>
      </c>
      <c r="N192" s="168">
        <f>L192-N260-N242</f>
        <v>6336.8529547429662</v>
      </c>
      <c r="O192" s="168">
        <f>N192-O260-O242</f>
        <v>6366.9422005204033</v>
      </c>
      <c r="P192" s="168">
        <f>O192-P260-P242</f>
        <v>6410.0522277479777</v>
      </c>
      <c r="Q192" s="168">
        <f>P192-Q260-Q242</f>
        <v>6459.9755639183659</v>
      </c>
      <c r="R192" s="169">
        <f t="shared" ref="R192:R197" si="139">Q192</f>
        <v>6459.9755639183659</v>
      </c>
      <c r="S192" s="168">
        <f>Q192-S260-S242</f>
        <v>6551.2833430659293</v>
      </c>
      <c r="T192" s="168">
        <f>S192-T260-T242</f>
        <v>6587.7694438247872</v>
      </c>
      <c r="U192" s="168">
        <f>T192-U260-U242</f>
        <v>6642.1931429196111</v>
      </c>
      <c r="V192" s="168">
        <f>U192-V260-V242</f>
        <v>6704.7366007628152</v>
      </c>
      <c r="W192" s="169">
        <f>V192</f>
        <v>6704.7366007628152</v>
      </c>
      <c r="X192" s="168">
        <f>V192-X260-X242</f>
        <v>6805.047810897956</v>
      </c>
      <c r="Y192" s="168">
        <f>X192-Y260-Y242</f>
        <v>6846.3916794185516</v>
      </c>
      <c r="Z192" s="168">
        <f>Y192-Z260-Z242</f>
        <v>6909.539634447844</v>
      </c>
      <c r="AA192" s="168">
        <f>Z192-AA260-AA242</f>
        <v>6977.8068134665355</v>
      </c>
      <c r="AB192" s="169">
        <f>AA192</f>
        <v>6977.8068134665355</v>
      </c>
      <c r="AC192" s="168">
        <f>AA192-AC260-AC242</f>
        <v>7091.8664312598266</v>
      </c>
      <c r="AD192" s="168">
        <f>AC192-AD260-AD242</f>
        <v>7139.683526240502</v>
      </c>
      <c r="AE192" s="168">
        <f>AD192-AE260-AE242</f>
        <v>7213.538211117223</v>
      </c>
      <c r="AF192" s="168">
        <f>AE192-AF260-AF242</f>
        <v>7289.6817725758419</v>
      </c>
      <c r="AG192" s="169">
        <f>AF192</f>
        <v>7289.6817725758419</v>
      </c>
      <c r="AH192" s="168">
        <f>AF192-AH260-AH242</f>
        <v>7415.3834180917884</v>
      </c>
      <c r="AI192" s="168">
        <f>AH192-AI260-AI242</f>
        <v>7467.0108943864498</v>
      </c>
      <c r="AJ192" s="168">
        <f>AI192-AJ260-AJ242</f>
        <v>7549.7261790708699</v>
      </c>
      <c r="AK192" s="168">
        <f>AJ192-AK260-AK242</f>
        <v>7635.0255613685604</v>
      </c>
      <c r="AL192" s="169">
        <f>AK192</f>
        <v>7635.0255613685604</v>
      </c>
    </row>
    <row r="193" spans="1:38" s="13" customFormat="1" outlineLevel="1" x14ac:dyDescent="0.25">
      <c r="A193" s="181"/>
      <c r="B193" s="208" t="s">
        <v>244</v>
      </c>
      <c r="C193" s="210"/>
      <c r="D193" s="25">
        <v>0</v>
      </c>
      <c r="E193" s="25">
        <v>0</v>
      </c>
      <c r="F193" s="25">
        <v>0</v>
      </c>
      <c r="G193" s="25">
        <v>0</v>
      </c>
      <c r="H193" s="26">
        <f t="shared" si="137"/>
        <v>0</v>
      </c>
      <c r="I193" s="25">
        <v>8358.5</v>
      </c>
      <c r="J193" s="25">
        <v>8260.7999999999993</v>
      </c>
      <c r="K193" s="25">
        <v>8214</v>
      </c>
      <c r="L193" s="337">
        <f>K193*0.99</f>
        <v>8131.86</v>
      </c>
      <c r="M193" s="168">
        <f t="shared" si="138"/>
        <v>8131.86</v>
      </c>
      <c r="N193" s="337">
        <f>L193*0.99</f>
        <v>8050.5413999999992</v>
      </c>
      <c r="O193" s="337">
        <f>N193*0.99</f>
        <v>7970.035985999999</v>
      </c>
      <c r="P193" s="337">
        <f>O193*0.99</f>
        <v>7890.3356261399986</v>
      </c>
      <c r="Q193" s="337">
        <f>P193*0.99</f>
        <v>7811.4322698785982</v>
      </c>
      <c r="R193" s="169">
        <f t="shared" si="139"/>
        <v>7811.4322698785982</v>
      </c>
      <c r="S193" s="337">
        <f>Q193*0.99</f>
        <v>7733.3179471798121</v>
      </c>
      <c r="T193" s="337">
        <f>S193*0.99</f>
        <v>7655.9847677080143</v>
      </c>
      <c r="U193" s="337">
        <f>T193*0.99</f>
        <v>7579.4249200309341</v>
      </c>
      <c r="V193" s="337">
        <f>U193*0.99</f>
        <v>7503.6306708306247</v>
      </c>
      <c r="W193" s="169">
        <f>V193</f>
        <v>7503.6306708306247</v>
      </c>
      <c r="X193" s="337">
        <f>V193*0.99</f>
        <v>7428.5943641223184</v>
      </c>
      <c r="Y193" s="337">
        <f>X193*0.99</f>
        <v>7354.3084204810948</v>
      </c>
      <c r="Z193" s="337">
        <f>Y193*0.99</f>
        <v>7280.765336276284</v>
      </c>
      <c r="AA193" s="337">
        <f>Z193*0.99</f>
        <v>7207.9576829135212</v>
      </c>
      <c r="AB193" s="169">
        <f>AA193</f>
        <v>7207.9576829135212</v>
      </c>
      <c r="AC193" s="337">
        <f>AA193*0.99</f>
        <v>7135.8781060843858</v>
      </c>
      <c r="AD193" s="337">
        <f>AC193*0.99</f>
        <v>7064.5193250235416</v>
      </c>
      <c r="AE193" s="337">
        <f>AD193*0.99</f>
        <v>6993.8741317733065</v>
      </c>
      <c r="AF193" s="337">
        <f>AE193*0.99</f>
        <v>6923.9353904555737</v>
      </c>
      <c r="AG193" s="169">
        <f>AF193</f>
        <v>6923.9353904555737</v>
      </c>
      <c r="AH193" s="337">
        <f>AF193*0.99</f>
        <v>6854.6960365510176</v>
      </c>
      <c r="AI193" s="337">
        <f>AH193*0.99</f>
        <v>6786.1490761855075</v>
      </c>
      <c r="AJ193" s="337">
        <f>AI193*0.99</f>
        <v>6718.2875854236527</v>
      </c>
      <c r="AK193" s="337">
        <f>AJ193*0.99</f>
        <v>6651.1047095694157</v>
      </c>
      <c r="AL193" s="169">
        <f>AK193</f>
        <v>6651.1047095694157</v>
      </c>
    </row>
    <row r="194" spans="1:38" s="13" customFormat="1" outlineLevel="1" x14ac:dyDescent="0.25">
      <c r="A194" s="181"/>
      <c r="B194" s="60" t="s">
        <v>182</v>
      </c>
      <c r="C194" s="63"/>
      <c r="D194" s="25">
        <v>650</v>
      </c>
      <c r="E194" s="25">
        <v>1006.6</v>
      </c>
      <c r="F194" s="25">
        <v>1533</v>
      </c>
      <c r="G194" s="25">
        <v>1765.8</v>
      </c>
      <c r="H194" s="26">
        <f t="shared" si="137"/>
        <v>1765.8</v>
      </c>
      <c r="I194" s="25">
        <v>1731.4</v>
      </c>
      <c r="J194" s="25">
        <v>1709.7</v>
      </c>
      <c r="K194" s="25">
        <v>1740</v>
      </c>
      <c r="L194" s="168">
        <f>L235*(L205+L211)</f>
        <v>1731.1553416647134</v>
      </c>
      <c r="M194" s="169">
        <f t="shared" si="138"/>
        <v>1731.1553416647134</v>
      </c>
      <c r="N194" s="168">
        <f>N235*(N205+N211)</f>
        <v>1818.7651823960323</v>
      </c>
      <c r="O194" s="168">
        <f>O235*(O205+O211)</f>
        <v>1752.4682765802766</v>
      </c>
      <c r="P194" s="168">
        <f>P235*(P205+P211)</f>
        <v>1743.3966814880687</v>
      </c>
      <c r="Q194" s="168">
        <f>Q235*(Q205+Q211)</f>
        <v>1734.3819899960884</v>
      </c>
      <c r="R194" s="169">
        <f t="shared" si="139"/>
        <v>1734.3819899960884</v>
      </c>
      <c r="S194" s="168">
        <f>S235*(S205+S211)</f>
        <v>1829.8262771000659</v>
      </c>
      <c r="T194" s="168">
        <f>T235*(T205+T211)</f>
        <v>1758.5856940339684</v>
      </c>
      <c r="U194" s="168">
        <f>U235*(U205+U211)</f>
        <v>1749.3184846990364</v>
      </c>
      <c r="V194" s="168">
        <f>V235*(V205+V211)</f>
        <v>1740.1106728670318</v>
      </c>
      <c r="W194" s="169">
        <f>V194</f>
        <v>1740.1106728670318</v>
      </c>
      <c r="X194" s="168">
        <f>X235*(X205+X211)</f>
        <v>1844.0308108988929</v>
      </c>
      <c r="Y194" s="168">
        <f>Y235*(Y205+Y211)</f>
        <v>1767.427272453692</v>
      </c>
      <c r="Z194" s="168">
        <f>Z235*(Z205+Z211)</f>
        <v>1757.9393454356025</v>
      </c>
      <c r="AA194" s="168">
        <f>AA235*(AA205+AA211)</f>
        <v>1748.5135523048675</v>
      </c>
      <c r="AB194" s="169">
        <f>AA194</f>
        <v>1748.5135523048675</v>
      </c>
      <c r="AC194" s="168">
        <f>AC235*(AC205+AC211)</f>
        <v>1861.6043312651113</v>
      </c>
      <c r="AD194" s="168">
        <f>AD235*(AD205+AD211)</f>
        <v>1779.1838963888531</v>
      </c>
      <c r="AE194" s="168">
        <f>AE235*(AE205+AE211)</f>
        <v>1769.448205395687</v>
      </c>
      <c r="AF194" s="168">
        <f>AF235*(AF205+AF211)</f>
        <v>1759.7776467205701</v>
      </c>
      <c r="AG194" s="169">
        <f>AF194</f>
        <v>1759.7776467205701</v>
      </c>
      <c r="AH194" s="168">
        <f>AH235*(AH205+AH211)</f>
        <v>1882.7916713469647</v>
      </c>
      <c r="AI194" s="168">
        <f>AI235*(AI205+AI211)</f>
        <v>1794.0628564264453</v>
      </c>
      <c r="AJ194" s="168">
        <f>AJ235*(AJ205+AJ211)</f>
        <v>1784.050248795266</v>
      </c>
      <c r="AK194" s="168">
        <f>AK235*(AK205+AK211)</f>
        <v>1774.1060551566659</v>
      </c>
      <c r="AL194" s="169">
        <f>AK194</f>
        <v>1774.1060551566659</v>
      </c>
    </row>
    <row r="195" spans="1:38" s="13" customFormat="1" outlineLevel="1" x14ac:dyDescent="0.25">
      <c r="A195" s="181"/>
      <c r="B195" s="60" t="s">
        <v>245</v>
      </c>
      <c r="C195" s="63"/>
      <c r="D195" s="25">
        <v>472.7</v>
      </c>
      <c r="E195" s="25">
        <v>464.5</v>
      </c>
      <c r="F195" s="25">
        <v>458</v>
      </c>
      <c r="G195" s="25">
        <v>479.6</v>
      </c>
      <c r="H195" s="26">
        <f t="shared" si="137"/>
        <v>479.6</v>
      </c>
      <c r="I195" s="25">
        <v>484.7</v>
      </c>
      <c r="J195" s="25">
        <v>580.1</v>
      </c>
      <c r="K195" s="25">
        <v>550.79999999999995</v>
      </c>
      <c r="L195" s="337">
        <f>K195*(L220/K220)</f>
        <v>538.44608824075851</v>
      </c>
      <c r="M195" s="169">
        <f t="shared" si="138"/>
        <v>538.44608824075851</v>
      </c>
      <c r="N195" s="366">
        <f>L195*(N220/L220)</f>
        <v>540.25600119329113</v>
      </c>
      <c r="O195" s="337">
        <f>N195*(O220/N220)</f>
        <v>523.10827929433844</v>
      </c>
      <c r="P195" s="337">
        <f>O195*(P220/O220)</f>
        <v>512.47280100325395</v>
      </c>
      <c r="Q195" s="337">
        <f>P195*(Q220/P220)</f>
        <v>509.59916324487779</v>
      </c>
      <c r="R195" s="169">
        <f t="shared" si="139"/>
        <v>509.59916324487779</v>
      </c>
      <c r="S195" s="366">
        <f>Q195*(S220/Q220)</f>
        <v>513.38965581763648</v>
      </c>
      <c r="T195" s="337">
        <f>S195*(T220/S220)</f>
        <v>496.93088763627986</v>
      </c>
      <c r="U195" s="337">
        <f>T195*(U220/T220)</f>
        <v>491.87791773610542</v>
      </c>
      <c r="V195" s="337">
        <f>U195*(V220/U220)</f>
        <v>501.11479080802849</v>
      </c>
      <c r="W195" s="169">
        <f>V195</f>
        <v>501.11479080802849</v>
      </c>
      <c r="X195" s="366">
        <f>V195*(X220/V220)</f>
        <v>511.03896719949091</v>
      </c>
      <c r="Y195" s="337">
        <f>X195*(Y220/X220)</f>
        <v>489.05873567843651</v>
      </c>
      <c r="Z195" s="337">
        <f>Y195*(Z220/Y220)</f>
        <v>483.56127331406668</v>
      </c>
      <c r="AA195" s="337">
        <f>Z195*(AA220/Z220)</f>
        <v>482.38966116644951</v>
      </c>
      <c r="AB195" s="169">
        <f>AA195</f>
        <v>482.38966116644951</v>
      </c>
      <c r="AC195" s="366">
        <f>AA195*(AC220/AA220)</f>
        <v>492.54379911251584</v>
      </c>
      <c r="AD195" s="337">
        <f>AC195*(AD220/AC220)</f>
        <v>472.26695222105462</v>
      </c>
      <c r="AE195" s="337">
        <f>AD195*(AE220/AD220)</f>
        <v>468.43842744898666</v>
      </c>
      <c r="AF195" s="337">
        <f>AE195*(AF220/AE220)</f>
        <v>477.73118821699779</v>
      </c>
      <c r="AG195" s="169">
        <f>AF195</f>
        <v>477.73118821699779</v>
      </c>
      <c r="AH195" s="366">
        <f>AF195*(AH220/AF220)</f>
        <v>490.89240609610471</v>
      </c>
      <c r="AI195" s="337">
        <f>AH195*(AI220/AH220)</f>
        <v>470.30115696714103</v>
      </c>
      <c r="AJ195" s="337">
        <f>AI195*(AJ220/AI220)</f>
        <v>468.04532271219352</v>
      </c>
      <c r="AK195" s="337">
        <f>AJ195*(AK220/AJ220)</f>
        <v>478.43448769309452</v>
      </c>
      <c r="AL195" s="169">
        <f>AK195</f>
        <v>478.43448769309452</v>
      </c>
    </row>
    <row r="196" spans="1:38" s="13" customFormat="1" outlineLevel="1" x14ac:dyDescent="0.25">
      <c r="A196" s="181"/>
      <c r="B196" s="60" t="s">
        <v>174</v>
      </c>
      <c r="C196" s="63"/>
      <c r="D196" s="25">
        <v>981.6</v>
      </c>
      <c r="E196" s="25">
        <v>918.3</v>
      </c>
      <c r="F196" s="25">
        <v>853.2</v>
      </c>
      <c r="G196" s="25">
        <v>781.8</v>
      </c>
      <c r="H196" s="26">
        <f t="shared" si="137"/>
        <v>781.8</v>
      </c>
      <c r="I196" s="25">
        <v>739.1</v>
      </c>
      <c r="J196" s="25">
        <v>678.7</v>
      </c>
      <c r="K196" s="25">
        <v>599.6</v>
      </c>
      <c r="L196" s="168">
        <f>K196*0.94</f>
        <v>563.62400000000002</v>
      </c>
      <c r="M196" s="169">
        <f t="shared" si="138"/>
        <v>563.62400000000002</v>
      </c>
      <c r="N196" s="168">
        <f>L196*0.94</f>
        <v>529.80655999999999</v>
      </c>
      <c r="O196" s="168">
        <f>N196*0.94</f>
        <v>498.01816639999998</v>
      </c>
      <c r="P196" s="168">
        <f>O196*0.94</f>
        <v>468.13707641599996</v>
      </c>
      <c r="Q196" s="168">
        <f>P196*0.94</f>
        <v>440.04885183103994</v>
      </c>
      <c r="R196" s="169">
        <f t="shared" si="139"/>
        <v>440.04885183103994</v>
      </c>
      <c r="S196" s="168">
        <f>Q196*0.94</f>
        <v>413.6459207211775</v>
      </c>
      <c r="T196" s="168">
        <f>S196*0.94</f>
        <v>388.82716547790682</v>
      </c>
      <c r="U196" s="168">
        <f>T196*0.94</f>
        <v>365.4975355492324</v>
      </c>
      <c r="V196" s="168">
        <f>U196*0.94</f>
        <v>343.56768341627844</v>
      </c>
      <c r="W196" s="169">
        <f>V196</f>
        <v>343.56768341627844</v>
      </c>
      <c r="X196" s="168">
        <f>V196*0.94</f>
        <v>322.95362241130169</v>
      </c>
      <c r="Y196" s="168">
        <f>X196*0.94</f>
        <v>303.57640506662358</v>
      </c>
      <c r="Z196" s="168">
        <f>Y196*0.94</f>
        <v>285.36182076262617</v>
      </c>
      <c r="AA196" s="168">
        <f>Z196*0.94</f>
        <v>268.24011151686858</v>
      </c>
      <c r="AB196" s="169">
        <f>AA196</f>
        <v>268.24011151686858</v>
      </c>
      <c r="AC196" s="168">
        <f>AA196*0.94</f>
        <v>252.14570482585646</v>
      </c>
      <c r="AD196" s="168">
        <f>AC196*0.94</f>
        <v>237.01696253630504</v>
      </c>
      <c r="AE196" s="168">
        <f>AD196*0.94</f>
        <v>222.79594478412673</v>
      </c>
      <c r="AF196" s="168">
        <f>AE196*0.94</f>
        <v>209.42818809707913</v>
      </c>
      <c r="AG196" s="169">
        <f>AF196</f>
        <v>209.42818809707913</v>
      </c>
      <c r="AH196" s="168">
        <f>AF196*0.94</f>
        <v>196.86249681125437</v>
      </c>
      <c r="AI196" s="168">
        <f>AH196*0.94</f>
        <v>185.0507470025791</v>
      </c>
      <c r="AJ196" s="168">
        <f>AI196*0.94</f>
        <v>173.94770218242434</v>
      </c>
      <c r="AK196" s="168">
        <f>AJ196*0.94</f>
        <v>163.51084005147888</v>
      </c>
      <c r="AL196" s="169">
        <f>AK196</f>
        <v>163.51084005147888</v>
      </c>
    </row>
    <row r="197" spans="1:38" ht="17.25" outlineLevel="1" x14ac:dyDescent="0.4">
      <c r="A197" s="166"/>
      <c r="B197" s="452" t="s">
        <v>27</v>
      </c>
      <c r="C197" s="453"/>
      <c r="D197" s="28">
        <v>3560.3</v>
      </c>
      <c r="E197" s="28">
        <v>3603.5</v>
      </c>
      <c r="F197" s="28">
        <v>3564.7</v>
      </c>
      <c r="G197" s="28">
        <v>3490.8</v>
      </c>
      <c r="H197" s="29">
        <f>G197</f>
        <v>3490.8</v>
      </c>
      <c r="I197" s="28">
        <v>3515.9</v>
      </c>
      <c r="J197" s="28">
        <v>3493</v>
      </c>
      <c r="K197" s="28">
        <v>3510.1</v>
      </c>
      <c r="L197" s="51">
        <f>K197</f>
        <v>3510.1</v>
      </c>
      <c r="M197" s="292">
        <f t="shared" si="138"/>
        <v>3510.1</v>
      </c>
      <c r="N197" s="51">
        <f>M197</f>
        <v>3510.1</v>
      </c>
      <c r="O197" s="51">
        <f>N197</f>
        <v>3510.1</v>
      </c>
      <c r="P197" s="51">
        <f>O197</f>
        <v>3510.1</v>
      </c>
      <c r="Q197" s="51">
        <f>P197</f>
        <v>3510.1</v>
      </c>
      <c r="R197" s="292">
        <f t="shared" si="139"/>
        <v>3510.1</v>
      </c>
      <c r="S197" s="51">
        <f>R197</f>
        <v>3510.1</v>
      </c>
      <c r="T197" s="51">
        <f>S197</f>
        <v>3510.1</v>
      </c>
      <c r="U197" s="51">
        <f>T197</f>
        <v>3510.1</v>
      </c>
      <c r="V197" s="51">
        <f>U197</f>
        <v>3510.1</v>
      </c>
      <c r="W197" s="292">
        <f t="shared" ref="W197:AL197" si="140">V197</f>
        <v>3510.1</v>
      </c>
      <c r="X197" s="51">
        <f t="shared" si="140"/>
        <v>3510.1</v>
      </c>
      <c r="Y197" s="51">
        <f t="shared" si="140"/>
        <v>3510.1</v>
      </c>
      <c r="Z197" s="51">
        <f t="shared" si="140"/>
        <v>3510.1</v>
      </c>
      <c r="AA197" s="51">
        <f t="shared" si="140"/>
        <v>3510.1</v>
      </c>
      <c r="AB197" s="292">
        <f t="shared" si="140"/>
        <v>3510.1</v>
      </c>
      <c r="AC197" s="51">
        <f t="shared" si="140"/>
        <v>3510.1</v>
      </c>
      <c r="AD197" s="51">
        <f t="shared" si="140"/>
        <v>3510.1</v>
      </c>
      <c r="AE197" s="51">
        <f t="shared" si="140"/>
        <v>3510.1</v>
      </c>
      <c r="AF197" s="51">
        <f t="shared" si="140"/>
        <v>3510.1</v>
      </c>
      <c r="AG197" s="292">
        <f t="shared" si="140"/>
        <v>3510.1</v>
      </c>
      <c r="AH197" s="51">
        <f>AG197</f>
        <v>3510.1</v>
      </c>
      <c r="AI197" s="51">
        <f>AH197</f>
        <v>3510.1</v>
      </c>
      <c r="AJ197" s="51">
        <f>AI197</f>
        <v>3510.1</v>
      </c>
      <c r="AK197" s="51">
        <f>AJ197</f>
        <v>3510.1</v>
      </c>
      <c r="AL197" s="292">
        <f t="shared" si="140"/>
        <v>3510.1</v>
      </c>
    </row>
    <row r="198" spans="1:38" outlineLevel="1" x14ac:dyDescent="0.25">
      <c r="A198" s="166"/>
      <c r="B198" s="470" t="s">
        <v>5</v>
      </c>
      <c r="C198" s="471"/>
      <c r="D198" s="32">
        <f t="shared" ref="D198:Q198" si="141">+SUM(D189:D197)</f>
        <v>19981.3</v>
      </c>
      <c r="E198" s="32">
        <f t="shared" si="141"/>
        <v>17641.900000000001</v>
      </c>
      <c r="F198" s="32">
        <f t="shared" si="141"/>
        <v>20894.500000000004</v>
      </c>
      <c r="G198" s="32">
        <f t="shared" si="141"/>
        <v>19219.400000000001</v>
      </c>
      <c r="H198" s="33">
        <f t="shared" si="141"/>
        <v>19219.400000000001</v>
      </c>
      <c r="I198" s="32">
        <f t="shared" si="141"/>
        <v>27731.300000000007</v>
      </c>
      <c r="J198" s="32">
        <f t="shared" si="141"/>
        <v>27478.9</v>
      </c>
      <c r="K198" s="32">
        <f t="shared" si="141"/>
        <v>29140.600000000002</v>
      </c>
      <c r="L198" s="32">
        <f t="shared" si="141"/>
        <v>28487.004500705603</v>
      </c>
      <c r="M198" s="32">
        <f t="shared" si="141"/>
        <v>28487.004500705603</v>
      </c>
      <c r="N198" s="32">
        <f t="shared" si="141"/>
        <v>28582.659673880211</v>
      </c>
      <c r="O198" s="32">
        <f t="shared" si="141"/>
        <v>27675.44307117756</v>
      </c>
      <c r="P198" s="32">
        <f t="shared" si="141"/>
        <v>27112.762935576298</v>
      </c>
      <c r="Q198" s="32">
        <f t="shared" si="141"/>
        <v>26960.730385718394</v>
      </c>
      <c r="R198" s="32">
        <f t="shared" ref="R198:AB198" si="142">+SUM(R189:R197)</f>
        <v>26960.730385718394</v>
      </c>
      <c r="S198" s="32">
        <f t="shared" si="142"/>
        <v>27161.270015104255</v>
      </c>
      <c r="T198" s="32">
        <f t="shared" si="142"/>
        <v>26290.503166764309</v>
      </c>
      <c r="U198" s="32">
        <f t="shared" si="142"/>
        <v>26023.170968737752</v>
      </c>
      <c r="V198" s="32">
        <f t="shared" si="142"/>
        <v>26511.856559586846</v>
      </c>
      <c r="W198" s="32">
        <f t="shared" si="142"/>
        <v>26511.856559586846</v>
      </c>
      <c r="X198" s="32">
        <f t="shared" si="142"/>
        <v>27036.90458891337</v>
      </c>
      <c r="Y198" s="32">
        <f t="shared" si="142"/>
        <v>25874.019449729567</v>
      </c>
      <c r="Z198" s="32">
        <f t="shared" si="142"/>
        <v>25583.170953405755</v>
      </c>
      <c r="AA198" s="32">
        <f t="shared" si="142"/>
        <v>25521.18569387625</v>
      </c>
      <c r="AB198" s="32">
        <f t="shared" si="142"/>
        <v>25521.18569387625</v>
      </c>
      <c r="AC198" s="32">
        <f t="shared" ref="AC198:AL198" si="143">+SUM(AC189:AC197)</f>
        <v>26058.400058856536</v>
      </c>
      <c r="AD198" s="32">
        <f t="shared" si="143"/>
        <v>24985.634110190389</v>
      </c>
      <c r="AE198" s="32">
        <f t="shared" si="143"/>
        <v>24783.082350980283</v>
      </c>
      <c r="AF198" s="32">
        <f t="shared" si="143"/>
        <v>25274.724733762243</v>
      </c>
      <c r="AG198" s="32">
        <f t="shared" si="143"/>
        <v>25274.724733762243</v>
      </c>
      <c r="AH198" s="32">
        <f t="shared" si="143"/>
        <v>25971.031534284946</v>
      </c>
      <c r="AI198" s="32">
        <f t="shared" si="143"/>
        <v>24881.631834997588</v>
      </c>
      <c r="AJ198" s="32">
        <f t="shared" si="143"/>
        <v>24762.284769475213</v>
      </c>
      <c r="AK198" s="32">
        <f t="shared" si="143"/>
        <v>25311.933464178277</v>
      </c>
      <c r="AL198" s="32">
        <f t="shared" si="143"/>
        <v>25311.933464178277</v>
      </c>
    </row>
    <row r="199" spans="1:38" ht="18" x14ac:dyDescent="0.4">
      <c r="A199" s="166"/>
      <c r="B199" s="448" t="s">
        <v>7</v>
      </c>
      <c r="C199" s="467"/>
      <c r="D199" s="23" t="s">
        <v>72</v>
      </c>
      <c r="E199" s="23" t="s">
        <v>211</v>
      </c>
      <c r="F199" s="23" t="s">
        <v>215</v>
      </c>
      <c r="G199" s="23" t="s">
        <v>225</v>
      </c>
      <c r="H199" s="77" t="s">
        <v>226</v>
      </c>
      <c r="I199" s="23" t="s">
        <v>227</v>
      </c>
      <c r="J199" s="23" t="s">
        <v>228</v>
      </c>
      <c r="K199" s="23" t="s">
        <v>229</v>
      </c>
      <c r="L199" s="21" t="s">
        <v>90</v>
      </c>
      <c r="M199" s="79" t="s">
        <v>91</v>
      </c>
      <c r="N199" s="21" t="s">
        <v>92</v>
      </c>
      <c r="O199" s="21" t="s">
        <v>93</v>
      </c>
      <c r="P199" s="21" t="s">
        <v>94</v>
      </c>
      <c r="Q199" s="21" t="s">
        <v>95</v>
      </c>
      <c r="R199" s="79" t="s">
        <v>96</v>
      </c>
      <c r="S199" s="21" t="s">
        <v>92</v>
      </c>
      <c r="T199" s="21" t="s">
        <v>93</v>
      </c>
      <c r="U199" s="21" t="s">
        <v>94</v>
      </c>
      <c r="V199" s="21" t="s">
        <v>95</v>
      </c>
      <c r="W199" s="79" t="s">
        <v>96</v>
      </c>
      <c r="X199" s="21" t="s">
        <v>92</v>
      </c>
      <c r="Y199" s="21" t="s">
        <v>93</v>
      </c>
      <c r="Z199" s="21" t="s">
        <v>94</v>
      </c>
      <c r="AA199" s="21" t="s">
        <v>95</v>
      </c>
      <c r="AB199" s="79" t="s">
        <v>96</v>
      </c>
      <c r="AC199" s="21" t="s">
        <v>92</v>
      </c>
      <c r="AD199" s="21" t="s">
        <v>93</v>
      </c>
      <c r="AE199" s="21" t="s">
        <v>94</v>
      </c>
      <c r="AF199" s="21" t="s">
        <v>95</v>
      </c>
      <c r="AG199" s="79" t="s">
        <v>96</v>
      </c>
      <c r="AH199" s="21" t="s">
        <v>92</v>
      </c>
      <c r="AI199" s="21" t="s">
        <v>93</v>
      </c>
      <c r="AJ199" s="21" t="s">
        <v>94</v>
      </c>
      <c r="AK199" s="21" t="s">
        <v>95</v>
      </c>
      <c r="AL199" s="79" t="s">
        <v>96</v>
      </c>
    </row>
    <row r="200" spans="1:38" s="34" customFormat="1" outlineLevel="1" x14ac:dyDescent="0.25">
      <c r="A200" s="231"/>
      <c r="B200" s="468" t="s">
        <v>28</v>
      </c>
      <c r="C200" s="469"/>
      <c r="D200" s="72">
        <v>1100.5</v>
      </c>
      <c r="E200" s="72">
        <v>1096.7</v>
      </c>
      <c r="F200" s="72">
        <v>1145.4000000000001</v>
      </c>
      <c r="G200" s="72">
        <v>1189.7</v>
      </c>
      <c r="H200" s="73">
        <f>G200</f>
        <v>1189.7</v>
      </c>
      <c r="I200" s="72">
        <v>1085.5999999999999</v>
      </c>
      <c r="J200" s="72">
        <v>997.7</v>
      </c>
      <c r="K200" s="72">
        <v>860.8</v>
      </c>
      <c r="L200" s="168">
        <f>(L21/L229)</f>
        <v>1090.1603714843084</v>
      </c>
      <c r="M200" s="169">
        <f t="shared" ref="M200:M206" si="144">L200</f>
        <v>1090.1603714843084</v>
      </c>
      <c r="N200" s="168">
        <f>(N21/N229)</f>
        <v>1132.6162529320202</v>
      </c>
      <c r="O200" s="168">
        <f>(O21/O229)</f>
        <v>1068.5919810913749</v>
      </c>
      <c r="P200" s="168">
        <f>(P21/P229)</f>
        <v>1102.0334111227394</v>
      </c>
      <c r="Q200" s="168">
        <f>(Q21/Q229)</f>
        <v>1111.7774393636132</v>
      </c>
      <c r="R200" s="169">
        <f t="shared" ref="R200:R206" si="145">Q200</f>
        <v>1111.7774393636132</v>
      </c>
      <c r="S200" s="168">
        <f>(S21/S229)</f>
        <v>1168.891899664671</v>
      </c>
      <c r="T200" s="168">
        <f>(T21/T229)</f>
        <v>1092.5299566601236</v>
      </c>
      <c r="U200" s="168">
        <f>(U21/U229)</f>
        <v>1131.8036623534072</v>
      </c>
      <c r="V200" s="168">
        <f>(V21/V229)</f>
        <v>1139.370351482399</v>
      </c>
      <c r="W200" s="169">
        <f t="shared" ref="W200:W206" si="146">V200</f>
        <v>1139.370351482399</v>
      </c>
      <c r="X200" s="168">
        <f>(X21/X229)</f>
        <v>1197.2860401947312</v>
      </c>
      <c r="Y200" s="168">
        <f>(Y21/Y229)</f>
        <v>1115.9200015296046</v>
      </c>
      <c r="Z200" s="168">
        <f>(Z21/Z229)</f>
        <v>1159.5252836373645</v>
      </c>
      <c r="AA200" s="168">
        <f>(AA21/AA229)</f>
        <v>1164.7430640533219</v>
      </c>
      <c r="AB200" s="169">
        <f t="shared" ref="AB200:AB206" si="147">AA200</f>
        <v>1164.7430640533219</v>
      </c>
      <c r="AC200" s="168">
        <f>(AC21/AC229)</f>
        <v>1231.6546988776934</v>
      </c>
      <c r="AD200" s="168">
        <f>(AD21/AD229)</f>
        <v>1141.4558697087894</v>
      </c>
      <c r="AE200" s="168">
        <f>(AE21/AE229)</f>
        <v>1189.6964427440907</v>
      </c>
      <c r="AF200" s="168">
        <f>(AF21/AF229)</f>
        <v>1193.4673844038095</v>
      </c>
      <c r="AG200" s="169">
        <f t="shared" ref="AG200:AG206" si="148">AF200</f>
        <v>1193.4673844038095</v>
      </c>
      <c r="AH200" s="168">
        <f>(AH21/AH229)</f>
        <v>1267.9755531051728</v>
      </c>
      <c r="AI200" s="168">
        <f>(AI21/AI229)</f>
        <v>1168.3027109092513</v>
      </c>
      <c r="AJ200" s="168">
        <f>(AJ21/AJ229)</f>
        <v>1223.1851163418999</v>
      </c>
      <c r="AK200" s="168">
        <f>(AK21/AK229)</f>
        <v>1227.8343423185488</v>
      </c>
      <c r="AL200" s="169">
        <f t="shared" ref="AL200:AL206" si="149">AK200</f>
        <v>1227.8343423185488</v>
      </c>
    </row>
    <row r="201" spans="1:38" outlineLevel="1" x14ac:dyDescent="0.25">
      <c r="A201" s="166"/>
      <c r="B201" s="468" t="s">
        <v>175</v>
      </c>
      <c r="C201" s="469"/>
      <c r="D201" s="72">
        <v>2564</v>
      </c>
      <c r="E201" s="72">
        <v>2569.3000000000002</v>
      </c>
      <c r="F201" s="72">
        <v>3238.7</v>
      </c>
      <c r="G201" s="72">
        <v>1753.7</v>
      </c>
      <c r="H201" s="73">
        <f>G201</f>
        <v>1753.7</v>
      </c>
      <c r="I201" s="72">
        <v>1637.8</v>
      </c>
      <c r="J201" s="72">
        <v>1539</v>
      </c>
      <c r="K201" s="72">
        <v>1511.7</v>
      </c>
      <c r="L201" s="337">
        <f>((G23-G22-G20)/(F23-F22-F20)*K201)</f>
        <v>1512.3442420648898</v>
      </c>
      <c r="M201" s="169">
        <f t="shared" si="144"/>
        <v>1512.3442420648898</v>
      </c>
      <c r="N201" s="337">
        <f>((I23-I22-I20)/(G23-G22-G20)*L201)</f>
        <v>1566.8807333839802</v>
      </c>
      <c r="O201" s="337">
        <f>((J23-J22-J20)/(I23-I22-I20)*N201)</f>
        <v>1462.3174452000228</v>
      </c>
      <c r="P201" s="337">
        <f>((K23-K22-K20)/(J23-J22-J20)*O201)</f>
        <v>1275.9634252997093</v>
      </c>
      <c r="Q201" s="337">
        <f>((L23-L22-L20)/(K23-K22-K20)*P201)</f>
        <v>1473.7421478867652</v>
      </c>
      <c r="R201" s="169">
        <f t="shared" si="145"/>
        <v>1473.7421478867652</v>
      </c>
      <c r="S201" s="337">
        <f>((N23-N22-N20)/(L23-L22-L20)*Q201)</f>
        <v>1604.2103676278623</v>
      </c>
      <c r="T201" s="337">
        <f>((O23-O22-O20)/(N23-N22-N20)*S201)</f>
        <v>1515.9049405624687</v>
      </c>
      <c r="U201" s="337">
        <f>((P23-P22-P20)/(O23-O22-O20)*T201)</f>
        <v>1552.8182055986279</v>
      </c>
      <c r="V201" s="337">
        <f>((Q23-Q22-Q20)/(P23-P22-P20)*U201)</f>
        <v>1570.3783657868582</v>
      </c>
      <c r="W201" s="169">
        <f t="shared" si="146"/>
        <v>1570.3783657868582</v>
      </c>
      <c r="X201" s="337">
        <f>((S23-S22-S20)/(Q23-Q22-Q20)*V201)</f>
        <v>1839.2389255372195</v>
      </c>
      <c r="Y201" s="337">
        <f>((T23-T22-T20)/(S23-S22-S20)*X201)</f>
        <v>1580.0289015160251</v>
      </c>
      <c r="Z201" s="337">
        <f>((U23-U22-U20)/(T23-T22-T20)*Y201)</f>
        <v>1637.3709650553162</v>
      </c>
      <c r="AA201" s="337">
        <f>((V23-V22-V20)/(U23-U22-U20)*Z201)</f>
        <v>1660.2334038203178</v>
      </c>
      <c r="AB201" s="169">
        <f t="shared" si="147"/>
        <v>1660.2334038203178</v>
      </c>
      <c r="AC201" s="337">
        <f>((X23-X22-X20)/(V23-V22-V20)*AA201)</f>
        <v>1831.9763271043503</v>
      </c>
      <c r="AD201" s="337">
        <f>((Y23-Y22-Y20)/(X23-X22-X20)*AC201)</f>
        <v>1651.9308622402211</v>
      </c>
      <c r="AE201" s="337">
        <f>((Z23-Z22-Z20)/(Y23-Y22-Y20)*AD201)</f>
        <v>1723.4230020699147</v>
      </c>
      <c r="AF201" s="337">
        <f>((AA23-AA22-AA20)/(Z23-Z22-Z20)*AE201)</f>
        <v>1736.590239896758</v>
      </c>
      <c r="AG201" s="169">
        <f t="shared" si="148"/>
        <v>1736.590239896758</v>
      </c>
      <c r="AH201" s="337">
        <f>((AC23-AC22-AC20)/(AA23-AA22-AA20)*AF201)</f>
        <v>1944.0718248771675</v>
      </c>
      <c r="AI201" s="337">
        <f>((AD23-AD22-AD20)/(AC23-AC22-AC20)*AH201)</f>
        <v>1737.9176749047003</v>
      </c>
      <c r="AJ201" s="337">
        <f>((AE23-AE22-AE20)/(AD23-AD22-AD20)*AI201)</f>
        <v>1821.9447733395768</v>
      </c>
      <c r="AK201" s="337">
        <f>((AF23-AF22-AF20)/(AE23-AE22-AE20)*AJ201)</f>
        <v>1826.3907863779818</v>
      </c>
      <c r="AL201" s="169">
        <f t="shared" si="149"/>
        <v>1826.3907863779818</v>
      </c>
    </row>
    <row r="202" spans="1:38" outlineLevel="1" x14ac:dyDescent="0.25">
      <c r="A202" s="166"/>
      <c r="B202" s="211" t="s">
        <v>240</v>
      </c>
      <c r="C202" s="212"/>
      <c r="D202" s="72">
        <v>0</v>
      </c>
      <c r="E202" s="72">
        <v>0</v>
      </c>
      <c r="F202" s="72">
        <v>0</v>
      </c>
      <c r="G202" s="72">
        <v>664.6</v>
      </c>
      <c r="H202" s="73">
        <f t="shared" ref="H202:H212" si="150">G202</f>
        <v>664.6</v>
      </c>
      <c r="I202" s="72">
        <v>578.5</v>
      </c>
      <c r="J202" s="72">
        <v>596.1</v>
      </c>
      <c r="K202" s="72">
        <v>652.1</v>
      </c>
      <c r="L202" s="337">
        <f>K202</f>
        <v>652.1</v>
      </c>
      <c r="M202" s="169">
        <f t="shared" si="144"/>
        <v>652.1</v>
      </c>
      <c r="N202" s="337">
        <f>L202</f>
        <v>652.1</v>
      </c>
      <c r="O202" s="337">
        <f t="shared" ref="O202:Q203" si="151">N202</f>
        <v>652.1</v>
      </c>
      <c r="P202" s="337">
        <f t="shared" si="151"/>
        <v>652.1</v>
      </c>
      <c r="Q202" s="337">
        <f t="shared" si="151"/>
        <v>652.1</v>
      </c>
      <c r="R202" s="169">
        <f t="shared" si="145"/>
        <v>652.1</v>
      </c>
      <c r="S202" s="337">
        <f>Q202</f>
        <v>652.1</v>
      </c>
      <c r="T202" s="337">
        <f t="shared" ref="T202:V203" si="152">S202</f>
        <v>652.1</v>
      </c>
      <c r="U202" s="337">
        <f t="shared" si="152"/>
        <v>652.1</v>
      </c>
      <c r="V202" s="337">
        <f t="shared" si="152"/>
        <v>652.1</v>
      </c>
      <c r="W202" s="169">
        <f t="shared" si="146"/>
        <v>652.1</v>
      </c>
      <c r="X202" s="337">
        <f>V202</f>
        <v>652.1</v>
      </c>
      <c r="Y202" s="337">
        <f t="shared" ref="Y202:AA203" si="153">X202</f>
        <v>652.1</v>
      </c>
      <c r="Z202" s="337">
        <f t="shared" si="153"/>
        <v>652.1</v>
      </c>
      <c r="AA202" s="337">
        <f t="shared" si="153"/>
        <v>652.1</v>
      </c>
      <c r="AB202" s="169">
        <f t="shared" si="147"/>
        <v>652.1</v>
      </c>
      <c r="AC202" s="337">
        <f>AA202</f>
        <v>652.1</v>
      </c>
      <c r="AD202" s="337">
        <f t="shared" ref="AD202:AF203" si="154">AC202</f>
        <v>652.1</v>
      </c>
      <c r="AE202" s="337">
        <f t="shared" si="154"/>
        <v>652.1</v>
      </c>
      <c r="AF202" s="337">
        <f t="shared" si="154"/>
        <v>652.1</v>
      </c>
      <c r="AG202" s="169">
        <f t="shared" si="148"/>
        <v>652.1</v>
      </c>
      <c r="AH202" s="337">
        <f>AF202</f>
        <v>652.1</v>
      </c>
      <c r="AI202" s="337">
        <f t="shared" ref="AI202:AK203" si="155">AH202</f>
        <v>652.1</v>
      </c>
      <c r="AJ202" s="337">
        <f t="shared" si="155"/>
        <v>652.1</v>
      </c>
      <c r="AK202" s="337">
        <f t="shared" si="155"/>
        <v>652.1</v>
      </c>
      <c r="AL202" s="169">
        <f t="shared" si="149"/>
        <v>652.1</v>
      </c>
    </row>
    <row r="203" spans="1:38" outlineLevel="1" x14ac:dyDescent="0.25">
      <c r="A203" s="166"/>
      <c r="B203" s="211" t="s">
        <v>241</v>
      </c>
      <c r="C203" s="212"/>
      <c r="D203" s="72">
        <v>0</v>
      </c>
      <c r="E203" s="72">
        <v>0</v>
      </c>
      <c r="F203" s="72">
        <v>0</v>
      </c>
      <c r="G203" s="72">
        <v>1291.7</v>
      </c>
      <c r="H203" s="73">
        <f t="shared" si="150"/>
        <v>1291.7</v>
      </c>
      <c r="I203" s="72">
        <v>1414</v>
      </c>
      <c r="J203" s="72">
        <v>86.7</v>
      </c>
      <c r="K203" s="72">
        <v>90.9</v>
      </c>
      <c r="L203" s="337">
        <f>K203</f>
        <v>90.9</v>
      </c>
      <c r="M203" s="169">
        <f t="shared" si="144"/>
        <v>90.9</v>
      </c>
      <c r="N203" s="337">
        <f>L203</f>
        <v>90.9</v>
      </c>
      <c r="O203" s="337">
        <f t="shared" si="151"/>
        <v>90.9</v>
      </c>
      <c r="P203" s="337">
        <f t="shared" si="151"/>
        <v>90.9</v>
      </c>
      <c r="Q203" s="337">
        <f t="shared" si="151"/>
        <v>90.9</v>
      </c>
      <c r="R203" s="169">
        <f t="shared" si="145"/>
        <v>90.9</v>
      </c>
      <c r="S203" s="337">
        <f>Q203</f>
        <v>90.9</v>
      </c>
      <c r="T203" s="337">
        <f t="shared" si="152"/>
        <v>90.9</v>
      </c>
      <c r="U203" s="337">
        <f t="shared" si="152"/>
        <v>90.9</v>
      </c>
      <c r="V203" s="337">
        <f t="shared" si="152"/>
        <v>90.9</v>
      </c>
      <c r="W203" s="169">
        <f t="shared" si="146"/>
        <v>90.9</v>
      </c>
      <c r="X203" s="337">
        <f>V203</f>
        <v>90.9</v>
      </c>
      <c r="Y203" s="337">
        <f t="shared" si="153"/>
        <v>90.9</v>
      </c>
      <c r="Z203" s="337">
        <f t="shared" si="153"/>
        <v>90.9</v>
      </c>
      <c r="AA203" s="337">
        <f t="shared" si="153"/>
        <v>90.9</v>
      </c>
      <c r="AB203" s="169">
        <f t="shared" si="147"/>
        <v>90.9</v>
      </c>
      <c r="AC203" s="337">
        <f>AA203</f>
        <v>90.9</v>
      </c>
      <c r="AD203" s="337">
        <f t="shared" si="154"/>
        <v>90.9</v>
      </c>
      <c r="AE203" s="337">
        <f t="shared" si="154"/>
        <v>90.9</v>
      </c>
      <c r="AF203" s="337">
        <f t="shared" si="154"/>
        <v>90.9</v>
      </c>
      <c r="AG203" s="169">
        <f t="shared" si="148"/>
        <v>90.9</v>
      </c>
      <c r="AH203" s="337">
        <f>AF203</f>
        <v>90.9</v>
      </c>
      <c r="AI203" s="337">
        <f t="shared" si="155"/>
        <v>90.9</v>
      </c>
      <c r="AJ203" s="337">
        <f t="shared" si="155"/>
        <v>90.9</v>
      </c>
      <c r="AK203" s="337">
        <f t="shared" si="155"/>
        <v>90.9</v>
      </c>
      <c r="AL203" s="169">
        <f t="shared" si="149"/>
        <v>90.9</v>
      </c>
    </row>
    <row r="204" spans="1:38" outlineLevel="1" x14ac:dyDescent="0.25">
      <c r="A204" s="166"/>
      <c r="B204" s="211" t="s">
        <v>242</v>
      </c>
      <c r="C204" s="212"/>
      <c r="D204" s="72">
        <v>0</v>
      </c>
      <c r="E204" s="72">
        <v>0</v>
      </c>
      <c r="F204" s="72">
        <v>0</v>
      </c>
      <c r="G204" s="72">
        <v>0</v>
      </c>
      <c r="H204" s="73">
        <f t="shared" si="150"/>
        <v>0</v>
      </c>
      <c r="I204" s="72">
        <v>1268.9000000000001</v>
      </c>
      <c r="J204" s="72">
        <v>1253.5</v>
      </c>
      <c r="K204" s="72">
        <v>1237.0999999999999</v>
      </c>
      <c r="L204" s="337">
        <f>K204*0.99</f>
        <v>1224.7289999999998</v>
      </c>
      <c r="M204" s="168">
        <f t="shared" si="144"/>
        <v>1224.7289999999998</v>
      </c>
      <c r="N204" s="337">
        <f>L204*0.99</f>
        <v>1212.4817099999998</v>
      </c>
      <c r="O204" s="337">
        <f>N204*0.99</f>
        <v>1200.3568928999998</v>
      </c>
      <c r="P204" s="337">
        <f>O204*0.99</f>
        <v>1188.3533239709998</v>
      </c>
      <c r="Q204" s="337">
        <f>P204*0.99</f>
        <v>1176.4697907312898</v>
      </c>
      <c r="R204" s="169">
        <f t="shared" si="145"/>
        <v>1176.4697907312898</v>
      </c>
      <c r="S204" s="337">
        <f>Q204*0.99</f>
        <v>1164.7050928239769</v>
      </c>
      <c r="T204" s="337">
        <f>S204*0.99</f>
        <v>1153.058041895737</v>
      </c>
      <c r="U204" s="337">
        <f>T204*0.99</f>
        <v>1141.5274614767795</v>
      </c>
      <c r="V204" s="337">
        <f>U204*0.99</f>
        <v>1130.1121868620116</v>
      </c>
      <c r="W204" s="169">
        <f t="shared" si="146"/>
        <v>1130.1121868620116</v>
      </c>
      <c r="X204" s="337">
        <f>V204*0.99</f>
        <v>1118.8110649933915</v>
      </c>
      <c r="Y204" s="337">
        <f>X204*0.99</f>
        <v>1107.6229543434576</v>
      </c>
      <c r="Z204" s="337">
        <f>Y204*0.99</f>
        <v>1096.546724800023</v>
      </c>
      <c r="AA204" s="337">
        <f>Z204*0.99</f>
        <v>1085.5812575520226</v>
      </c>
      <c r="AB204" s="169">
        <f t="shared" si="147"/>
        <v>1085.5812575520226</v>
      </c>
      <c r="AC204" s="337">
        <f>AA204*0.99</f>
        <v>1074.7254449765023</v>
      </c>
      <c r="AD204" s="337">
        <f>AC204*0.99</f>
        <v>1063.9781905267373</v>
      </c>
      <c r="AE204" s="337">
        <f>AD204*0.99</f>
        <v>1053.3384086214699</v>
      </c>
      <c r="AF204" s="337">
        <f>AE204*0.99</f>
        <v>1042.8050245352551</v>
      </c>
      <c r="AG204" s="169">
        <f t="shared" si="148"/>
        <v>1042.8050245352551</v>
      </c>
      <c r="AH204" s="337">
        <f>AF204*0.99</f>
        <v>1032.3769742899026</v>
      </c>
      <c r="AI204" s="337">
        <f>AH204*0.99</f>
        <v>1022.0532045470036</v>
      </c>
      <c r="AJ204" s="337">
        <f>AI204*0.99</f>
        <v>1011.8326725015336</v>
      </c>
      <c r="AK204" s="337">
        <f>AJ204*0.99</f>
        <v>1001.7143457765183</v>
      </c>
      <c r="AL204" s="169">
        <f t="shared" si="149"/>
        <v>1001.7143457765183</v>
      </c>
    </row>
    <row r="205" spans="1:38" outlineLevel="1" x14ac:dyDescent="0.25">
      <c r="A205" s="166"/>
      <c r="B205" s="286" t="s">
        <v>176</v>
      </c>
      <c r="C205" s="287"/>
      <c r="D205" s="72">
        <v>1554.2</v>
      </c>
      <c r="E205" s="72">
        <v>1311.4</v>
      </c>
      <c r="F205" s="72">
        <v>1300.2</v>
      </c>
      <c r="G205" s="72">
        <v>1269</v>
      </c>
      <c r="H205" s="73">
        <f t="shared" si="150"/>
        <v>1269</v>
      </c>
      <c r="I205" s="72">
        <v>1694.1</v>
      </c>
      <c r="J205" s="72">
        <v>1436.3</v>
      </c>
      <c r="K205" s="72">
        <v>1463.3</v>
      </c>
      <c r="L205" s="337">
        <f>K205*0.99</f>
        <v>1448.6669999999999</v>
      </c>
      <c r="M205" s="169">
        <f t="shared" si="144"/>
        <v>1448.6669999999999</v>
      </c>
      <c r="N205" s="337">
        <f>M205*1.3</f>
        <v>1883.2671</v>
      </c>
      <c r="O205" s="337">
        <f>N205*0.85</f>
        <v>1600.7770350000001</v>
      </c>
      <c r="P205" s="337">
        <f>O205*0.99</f>
        <v>1584.76926465</v>
      </c>
      <c r="Q205" s="337">
        <f>P205*0.99</f>
        <v>1568.9215720034999</v>
      </c>
      <c r="R205" s="169">
        <f t="shared" si="145"/>
        <v>1568.9215720034999</v>
      </c>
      <c r="S205" s="337">
        <f>R205*1.3</f>
        <v>2039.59804360455</v>
      </c>
      <c r="T205" s="337">
        <f>S205*0.85</f>
        <v>1733.6583370638675</v>
      </c>
      <c r="U205" s="337">
        <f>T205*0.99</f>
        <v>1716.3217536932289</v>
      </c>
      <c r="V205" s="337">
        <f>U205*0.99</f>
        <v>1699.1585361562966</v>
      </c>
      <c r="W205" s="169">
        <f t="shared" si="146"/>
        <v>1699.1585361562966</v>
      </c>
      <c r="X205" s="337">
        <f>W205*1.3</f>
        <v>2208.9060970031856</v>
      </c>
      <c r="Y205" s="337">
        <f>X205*0.85</f>
        <v>1877.5701824527077</v>
      </c>
      <c r="Z205" s="337">
        <f>Y205*0.99</f>
        <v>1858.7944806281807</v>
      </c>
      <c r="AA205" s="337">
        <f>Z205*0.99</f>
        <v>1840.206535821899</v>
      </c>
      <c r="AB205" s="169">
        <f t="shared" si="147"/>
        <v>1840.206535821899</v>
      </c>
      <c r="AC205" s="337">
        <f>AB205*1.3</f>
        <v>2392.2684965684689</v>
      </c>
      <c r="AD205" s="337">
        <f>AC205*0.85</f>
        <v>2033.4282220831985</v>
      </c>
      <c r="AE205" s="337">
        <f>AD205*0.99</f>
        <v>2013.0939398623666</v>
      </c>
      <c r="AF205" s="337">
        <f>AE205*0.99</f>
        <v>1992.9630004637429</v>
      </c>
      <c r="AG205" s="169">
        <f t="shared" si="148"/>
        <v>1992.9630004637429</v>
      </c>
      <c r="AH205" s="337">
        <f>AG205*1.3</f>
        <v>2590.851900602866</v>
      </c>
      <c r="AI205" s="337">
        <f>AH205*0.85</f>
        <v>2202.2241155124361</v>
      </c>
      <c r="AJ205" s="337">
        <f>AI205*0.99</f>
        <v>2180.2018743573117</v>
      </c>
      <c r="AK205" s="337">
        <f>AJ205*0.99</f>
        <v>2158.3998556137385</v>
      </c>
      <c r="AL205" s="169">
        <f t="shared" si="149"/>
        <v>2158.3998556137385</v>
      </c>
    </row>
    <row r="206" spans="1:38" outlineLevel="1" x14ac:dyDescent="0.25">
      <c r="A206" s="166"/>
      <c r="B206" s="286" t="s">
        <v>246</v>
      </c>
      <c r="C206" s="306"/>
      <c r="D206" s="72">
        <v>0</v>
      </c>
      <c r="E206" s="72">
        <f>75+0</f>
        <v>75</v>
      </c>
      <c r="F206" s="72">
        <v>0</v>
      </c>
      <c r="G206" s="72">
        <v>0</v>
      </c>
      <c r="H206" s="73">
        <f t="shared" si="150"/>
        <v>0</v>
      </c>
      <c r="I206" s="72">
        <f>497.9+498.7</f>
        <v>996.59999999999991</v>
      </c>
      <c r="J206" s="72">
        <f>1107.1+1249.4</f>
        <v>2356.5</v>
      </c>
      <c r="K206" s="72">
        <f>936.5+1249.6</f>
        <v>2186.1</v>
      </c>
      <c r="L206" s="337">
        <f>K206-437</f>
        <v>1749.1</v>
      </c>
      <c r="M206" s="169">
        <f t="shared" si="144"/>
        <v>1749.1</v>
      </c>
      <c r="N206" s="337">
        <f>L206-437</f>
        <v>1312.1</v>
      </c>
      <c r="O206" s="337">
        <f>N206-437</f>
        <v>875.09999999999991</v>
      </c>
      <c r="P206" s="337">
        <f>O206-437</f>
        <v>438.09999999999991</v>
      </c>
      <c r="Q206" s="337">
        <v>1000</v>
      </c>
      <c r="R206" s="169">
        <f t="shared" si="145"/>
        <v>1000</v>
      </c>
      <c r="S206" s="337">
        <f>Q206-437</f>
        <v>563</v>
      </c>
      <c r="T206" s="337">
        <f>S206-437</f>
        <v>126</v>
      </c>
      <c r="U206" s="337">
        <f>T206-437</f>
        <v>-311</v>
      </c>
      <c r="V206" s="337">
        <v>1001</v>
      </c>
      <c r="W206" s="169">
        <f t="shared" si="146"/>
        <v>1001</v>
      </c>
      <c r="X206" s="337">
        <f>V206-437</f>
        <v>564</v>
      </c>
      <c r="Y206" s="337">
        <f>X206-437</f>
        <v>127</v>
      </c>
      <c r="Z206" s="337">
        <f>Y206-437</f>
        <v>-310</v>
      </c>
      <c r="AA206" s="337">
        <v>1002</v>
      </c>
      <c r="AB206" s="169">
        <f t="shared" si="147"/>
        <v>1002</v>
      </c>
      <c r="AC206" s="337">
        <f>AA206-437</f>
        <v>565</v>
      </c>
      <c r="AD206" s="337">
        <f>AC206-437</f>
        <v>128</v>
      </c>
      <c r="AE206" s="337">
        <f>AD206-437</f>
        <v>-309</v>
      </c>
      <c r="AF206" s="337">
        <v>1003</v>
      </c>
      <c r="AG206" s="169">
        <f t="shared" si="148"/>
        <v>1003</v>
      </c>
      <c r="AH206" s="337">
        <f>AF206-437</f>
        <v>566</v>
      </c>
      <c r="AI206" s="337">
        <f>AH206-437</f>
        <v>129</v>
      </c>
      <c r="AJ206" s="337">
        <f>AI206-437</f>
        <v>-308</v>
      </c>
      <c r="AK206" s="337">
        <v>1000</v>
      </c>
      <c r="AL206" s="169">
        <f t="shared" si="149"/>
        <v>1000</v>
      </c>
    </row>
    <row r="207" spans="1:38" ht="17.25" outlineLevel="1" x14ac:dyDescent="0.4">
      <c r="A207" s="166"/>
      <c r="B207" s="286" t="s">
        <v>239</v>
      </c>
      <c r="C207" s="306"/>
      <c r="D207" s="159">
        <v>208.8</v>
      </c>
      <c r="E207" s="159">
        <v>221</v>
      </c>
      <c r="F207" s="159">
        <v>211.5</v>
      </c>
      <c r="G207" s="159">
        <v>0</v>
      </c>
      <c r="H207" s="152">
        <f t="shared" si="150"/>
        <v>0</v>
      </c>
      <c r="I207" s="159">
        <v>0</v>
      </c>
      <c r="J207" s="159">
        <v>0</v>
      </c>
      <c r="K207" s="159">
        <v>0</v>
      </c>
      <c r="L207" s="183"/>
      <c r="M207" s="292"/>
      <c r="N207" s="183"/>
      <c r="O207" s="183"/>
      <c r="P207" s="183"/>
      <c r="Q207" s="183"/>
      <c r="R207" s="292"/>
      <c r="S207" s="183"/>
      <c r="T207" s="183"/>
      <c r="U207" s="183"/>
      <c r="V207" s="183"/>
      <c r="W207" s="292"/>
      <c r="X207" s="183"/>
      <c r="Y207" s="183"/>
      <c r="Z207" s="183"/>
      <c r="AA207" s="183"/>
      <c r="AB207" s="292"/>
      <c r="AC207" s="183"/>
      <c r="AD207" s="183"/>
      <c r="AE207" s="183"/>
      <c r="AF207" s="183"/>
      <c r="AG207" s="292"/>
      <c r="AH207" s="183"/>
      <c r="AI207" s="183"/>
      <c r="AJ207" s="183"/>
      <c r="AK207" s="183"/>
      <c r="AL207" s="292"/>
    </row>
    <row r="208" spans="1:38" outlineLevel="1" x14ac:dyDescent="0.25">
      <c r="A208" s="166"/>
      <c r="B208" s="286" t="s">
        <v>8</v>
      </c>
      <c r="C208" s="306"/>
      <c r="D208" s="71">
        <f t="shared" ref="D208:R208" si="156">SUM(D200:D207)</f>
        <v>5427.5</v>
      </c>
      <c r="E208" s="71">
        <f t="shared" si="156"/>
        <v>5273.4</v>
      </c>
      <c r="F208" s="71">
        <f t="shared" si="156"/>
        <v>5895.8</v>
      </c>
      <c r="G208" s="71">
        <f t="shared" si="156"/>
        <v>6168.7</v>
      </c>
      <c r="H208" s="153">
        <f t="shared" si="156"/>
        <v>6168.7</v>
      </c>
      <c r="I208" s="71">
        <f t="shared" si="156"/>
        <v>8675.5</v>
      </c>
      <c r="J208" s="71">
        <f t="shared" si="156"/>
        <v>8265.7999999999993</v>
      </c>
      <c r="K208" s="71">
        <f t="shared" si="156"/>
        <v>8002</v>
      </c>
      <c r="L208" s="71">
        <f t="shared" si="156"/>
        <v>7768.0006135491985</v>
      </c>
      <c r="M208" s="293">
        <f t="shared" si="156"/>
        <v>7768.0006135491985</v>
      </c>
      <c r="N208" s="71">
        <f t="shared" si="156"/>
        <v>7850.3457963159999</v>
      </c>
      <c r="O208" s="198">
        <f t="shared" si="156"/>
        <v>6950.1433541913975</v>
      </c>
      <c r="P208" s="198">
        <f t="shared" si="156"/>
        <v>6332.2194250434477</v>
      </c>
      <c r="Q208" s="198">
        <f t="shared" si="156"/>
        <v>7073.9109499851684</v>
      </c>
      <c r="R208" s="293">
        <f t="shared" si="156"/>
        <v>7073.9109499851684</v>
      </c>
      <c r="S208" s="198">
        <f t="shared" ref="S208:AL208" si="157">SUM(S200:S207)</f>
        <v>7283.4054037210608</v>
      </c>
      <c r="T208" s="198">
        <f t="shared" si="157"/>
        <v>6364.1512761821969</v>
      </c>
      <c r="U208" s="198">
        <f t="shared" si="157"/>
        <v>5974.4710831220436</v>
      </c>
      <c r="V208" s="198">
        <f t="shared" si="157"/>
        <v>7283.019440287565</v>
      </c>
      <c r="W208" s="293">
        <f t="shared" si="157"/>
        <v>7283.019440287565</v>
      </c>
      <c r="X208" s="198">
        <f t="shared" si="157"/>
        <v>7671.2421277285284</v>
      </c>
      <c r="Y208" s="198">
        <f t="shared" si="157"/>
        <v>6551.1420398417949</v>
      </c>
      <c r="Z208" s="198">
        <f t="shared" si="157"/>
        <v>6185.2374541208846</v>
      </c>
      <c r="AA208" s="198">
        <f t="shared" si="157"/>
        <v>7495.7642612475611</v>
      </c>
      <c r="AB208" s="293">
        <f t="shared" si="157"/>
        <v>7495.7642612475611</v>
      </c>
      <c r="AC208" s="198">
        <f t="shared" si="157"/>
        <v>7838.6249675270155</v>
      </c>
      <c r="AD208" s="198">
        <f t="shared" si="157"/>
        <v>6761.7931445589466</v>
      </c>
      <c r="AE208" s="198">
        <f t="shared" si="157"/>
        <v>6413.5517932978419</v>
      </c>
      <c r="AF208" s="198">
        <f t="shared" si="157"/>
        <v>7711.8256492995652</v>
      </c>
      <c r="AG208" s="293">
        <f t="shared" si="157"/>
        <v>7711.8256492995652</v>
      </c>
      <c r="AH208" s="71">
        <f t="shared" si="157"/>
        <v>8144.2762528751082</v>
      </c>
      <c r="AI208" s="198">
        <f t="shared" si="157"/>
        <v>7002.4977058733912</v>
      </c>
      <c r="AJ208" s="198">
        <f t="shared" si="157"/>
        <v>6672.1644365403226</v>
      </c>
      <c r="AK208" s="198">
        <f t="shared" si="157"/>
        <v>7957.3393300867874</v>
      </c>
      <c r="AL208" s="293">
        <f t="shared" si="157"/>
        <v>7957.3393300867874</v>
      </c>
    </row>
    <row r="209" spans="1:38" outlineLevel="1" x14ac:dyDescent="0.25">
      <c r="A209" s="166"/>
      <c r="B209" s="286" t="s">
        <v>177</v>
      </c>
      <c r="C209" s="306"/>
      <c r="D209" s="72">
        <v>9130.7000000000007</v>
      </c>
      <c r="E209" s="72">
        <v>9141.5</v>
      </c>
      <c r="F209" s="72">
        <v>11159.1</v>
      </c>
      <c r="G209" s="72">
        <v>11167</v>
      </c>
      <c r="H209" s="73">
        <f t="shared" si="150"/>
        <v>11167</v>
      </c>
      <c r="I209" s="72">
        <v>10653.2</v>
      </c>
      <c r="J209" s="72">
        <v>11658.7</v>
      </c>
      <c r="K209" s="72">
        <v>14645.6</v>
      </c>
      <c r="L209" s="337">
        <f>K209</f>
        <v>14645.6</v>
      </c>
      <c r="M209" s="169">
        <f>L209</f>
        <v>14645.6</v>
      </c>
      <c r="N209" s="337">
        <f>L209</f>
        <v>14645.6</v>
      </c>
      <c r="O209" s="337">
        <f>N209</f>
        <v>14645.6</v>
      </c>
      <c r="P209" s="337">
        <f>O209</f>
        <v>14645.6</v>
      </c>
      <c r="Q209" s="337">
        <f>P209-1000</f>
        <v>13645.6</v>
      </c>
      <c r="R209" s="169">
        <f>Q209</f>
        <v>13645.6</v>
      </c>
      <c r="S209" s="337">
        <f>Q209</f>
        <v>13645.6</v>
      </c>
      <c r="T209" s="337">
        <f>S209</f>
        <v>13645.6</v>
      </c>
      <c r="U209" s="337">
        <f>T209</f>
        <v>13645.6</v>
      </c>
      <c r="V209" s="337">
        <f>U209-1000</f>
        <v>12645.6</v>
      </c>
      <c r="W209" s="169">
        <f>V209</f>
        <v>12645.6</v>
      </c>
      <c r="X209" s="337">
        <f>V209</f>
        <v>12645.6</v>
      </c>
      <c r="Y209" s="337">
        <f>X209</f>
        <v>12645.6</v>
      </c>
      <c r="Z209" s="337">
        <f>Y209</f>
        <v>12645.6</v>
      </c>
      <c r="AA209" s="337">
        <f>Z209-1500</f>
        <v>11145.6</v>
      </c>
      <c r="AB209" s="169">
        <f>AA209</f>
        <v>11145.6</v>
      </c>
      <c r="AC209" s="337">
        <f>AA209</f>
        <v>11145.6</v>
      </c>
      <c r="AD209" s="337">
        <f>AC209</f>
        <v>11145.6</v>
      </c>
      <c r="AE209" s="337">
        <f>AD209</f>
        <v>11145.6</v>
      </c>
      <c r="AF209" s="337">
        <f>AE209-1000</f>
        <v>10145.6</v>
      </c>
      <c r="AG209" s="169">
        <f>AF209</f>
        <v>10145.6</v>
      </c>
      <c r="AH209" s="337">
        <f>AF209</f>
        <v>10145.6</v>
      </c>
      <c r="AI209" s="337">
        <f>AH209</f>
        <v>10145.6</v>
      </c>
      <c r="AJ209" s="337">
        <f>AI209</f>
        <v>10145.6</v>
      </c>
      <c r="AK209" s="337">
        <f>AJ209-1000</f>
        <v>9145.6</v>
      </c>
      <c r="AL209" s="169">
        <f>AK209</f>
        <v>9145.6</v>
      </c>
    </row>
    <row r="210" spans="1:38" outlineLevel="1" x14ac:dyDescent="0.25">
      <c r="A210" s="166"/>
      <c r="B210" s="211" t="s">
        <v>247</v>
      </c>
      <c r="C210" s="144"/>
      <c r="D210" s="72">
        <v>0</v>
      </c>
      <c r="E210" s="72">
        <v>0</v>
      </c>
      <c r="F210" s="72">
        <v>0</v>
      </c>
      <c r="G210" s="72">
        <v>0</v>
      </c>
      <c r="H210" s="73">
        <f t="shared" si="150"/>
        <v>0</v>
      </c>
      <c r="I210" s="72">
        <v>7711.7</v>
      </c>
      <c r="J210" s="72">
        <v>7650.4</v>
      </c>
      <c r="K210" s="72">
        <v>7653.6</v>
      </c>
      <c r="L210" s="337">
        <f>K210*0.99</f>
        <v>7577.0640000000003</v>
      </c>
      <c r="M210" s="168">
        <f>L210</f>
        <v>7577.0640000000003</v>
      </c>
      <c r="N210" s="337">
        <f>L210*0.99</f>
        <v>7501.2933600000006</v>
      </c>
      <c r="O210" s="337">
        <f>N210*0.99</f>
        <v>7426.2804264000006</v>
      </c>
      <c r="P210" s="337">
        <f>O210*0.99</f>
        <v>7352.0176221360007</v>
      </c>
      <c r="Q210" s="337">
        <f>P210*0.99</f>
        <v>7278.4974459146406</v>
      </c>
      <c r="R210" s="169">
        <f>Q210</f>
        <v>7278.4974459146406</v>
      </c>
      <c r="S210" s="337">
        <f>Q210*0.99</f>
        <v>7205.7124714554939</v>
      </c>
      <c r="T210" s="337">
        <f>S210*0.99</f>
        <v>7133.6553467409385</v>
      </c>
      <c r="U210" s="337">
        <f>T210*0.99</f>
        <v>7062.3187932735291</v>
      </c>
      <c r="V210" s="337">
        <f>U210*0.99</f>
        <v>6991.6956053407939</v>
      </c>
      <c r="W210" s="169">
        <f>V210</f>
        <v>6991.6956053407939</v>
      </c>
      <c r="X210" s="337">
        <f>V210*0.99</f>
        <v>6921.7786492873856</v>
      </c>
      <c r="Y210" s="337">
        <f>X210*0.99</f>
        <v>6852.5608627945121</v>
      </c>
      <c r="Z210" s="337">
        <f>Y210*0.99</f>
        <v>6784.035254166567</v>
      </c>
      <c r="AA210" s="337">
        <f>Z210*0.99</f>
        <v>6716.1949016249009</v>
      </c>
      <c r="AB210" s="169">
        <f>AA210</f>
        <v>6716.1949016249009</v>
      </c>
      <c r="AC210" s="337">
        <f>AA210*0.99</f>
        <v>6649.0329526086516</v>
      </c>
      <c r="AD210" s="337">
        <f>AC210*0.99</f>
        <v>6582.5426230825651</v>
      </c>
      <c r="AE210" s="337">
        <f>AD210*0.99</f>
        <v>6516.7171968517396</v>
      </c>
      <c r="AF210" s="337">
        <f>AE210*0.99</f>
        <v>6451.5500248832222</v>
      </c>
      <c r="AG210" s="169">
        <f>AF210</f>
        <v>6451.5500248832222</v>
      </c>
      <c r="AH210" s="337">
        <f>AF210*0.99</f>
        <v>6387.0345246343895</v>
      </c>
      <c r="AI210" s="337">
        <f>AH210*0.99</f>
        <v>6323.1641793880453</v>
      </c>
      <c r="AJ210" s="337">
        <f>AI210*0.99</f>
        <v>6259.9325375941644</v>
      </c>
      <c r="AK210" s="337">
        <f>AJ210*0.99</f>
        <v>6197.3332122182228</v>
      </c>
      <c r="AL210" s="169">
        <f>AK210</f>
        <v>6197.3332122182228</v>
      </c>
    </row>
    <row r="211" spans="1:38" outlineLevel="1" x14ac:dyDescent="0.25">
      <c r="A211" s="166"/>
      <c r="B211" s="42" t="s">
        <v>186</v>
      </c>
      <c r="C211" s="144"/>
      <c r="D211" s="72">
        <v>6823.7</v>
      </c>
      <c r="E211" s="72">
        <v>6761.9</v>
      </c>
      <c r="F211" s="72">
        <v>6717.9</v>
      </c>
      <c r="G211" s="72">
        <v>6744.4</v>
      </c>
      <c r="H211" s="73">
        <f>G211</f>
        <v>6744.4</v>
      </c>
      <c r="I211" s="72">
        <v>6748.8</v>
      </c>
      <c r="J211" s="72">
        <v>6685.5</v>
      </c>
      <c r="K211" s="72">
        <v>6642.6</v>
      </c>
      <c r="L211" s="337">
        <f>K211*0.996</f>
        <v>6616.0296000000008</v>
      </c>
      <c r="M211" s="169">
        <f>L211</f>
        <v>6616.0296000000008</v>
      </c>
      <c r="N211" s="337">
        <f>L211*0.996</f>
        <v>6589.5654816000006</v>
      </c>
      <c r="O211" s="337">
        <f>N211*0.996</f>
        <v>6563.2072196736008</v>
      </c>
      <c r="P211" s="337">
        <f>O211*0.996</f>
        <v>6536.9543907949064</v>
      </c>
      <c r="Q211" s="337">
        <f>P211*0.996</f>
        <v>6510.8065732317264</v>
      </c>
      <c r="R211" s="169">
        <f>Q211</f>
        <v>6510.8065732317264</v>
      </c>
      <c r="S211" s="337">
        <f>Q211*0.996</f>
        <v>6484.7633469387993</v>
      </c>
      <c r="T211" s="337">
        <f>S211*0.996</f>
        <v>6458.8242935510443</v>
      </c>
      <c r="U211" s="337">
        <f>T211*0.996</f>
        <v>6432.9889963768401</v>
      </c>
      <c r="V211" s="337">
        <f>U211*0.996</f>
        <v>6407.2570403913323</v>
      </c>
      <c r="W211" s="169">
        <f>V211</f>
        <v>6407.2570403913323</v>
      </c>
      <c r="X211" s="337">
        <f>V211*0.996</f>
        <v>6381.6280122297667</v>
      </c>
      <c r="Y211" s="337">
        <f>X211*0.996</f>
        <v>6356.1015001808473</v>
      </c>
      <c r="Z211" s="337">
        <f>Y211*0.996</f>
        <v>6330.6770941801242</v>
      </c>
      <c r="AA211" s="337">
        <f>Z211*0.996</f>
        <v>6305.3543858034036</v>
      </c>
      <c r="AB211" s="169">
        <f>AA211</f>
        <v>6305.3543858034036</v>
      </c>
      <c r="AC211" s="337">
        <f>AA211*0.996</f>
        <v>6280.13296826019</v>
      </c>
      <c r="AD211" s="337">
        <f>AC211*0.996</f>
        <v>6255.0124363871491</v>
      </c>
      <c r="AE211" s="337">
        <f>AD211*0.996</f>
        <v>6229.9923866416002</v>
      </c>
      <c r="AF211" s="337">
        <f>AE211*0.996</f>
        <v>6205.0724170950334</v>
      </c>
      <c r="AG211" s="169">
        <f>AF211</f>
        <v>6205.0724170950334</v>
      </c>
      <c r="AH211" s="337">
        <f>AF211*0.996</f>
        <v>6180.2521274266528</v>
      </c>
      <c r="AI211" s="337">
        <f>AH211*0.996</f>
        <v>6155.5311189169461</v>
      </c>
      <c r="AJ211" s="337">
        <f>AI211*0.996</f>
        <v>6130.9089944412781</v>
      </c>
      <c r="AK211" s="337">
        <f>AJ211*0.996</f>
        <v>6106.3853584635126</v>
      </c>
      <c r="AL211" s="169">
        <f>AK211</f>
        <v>6106.3853584635126</v>
      </c>
    </row>
    <row r="212" spans="1:38" ht="15.75" customHeight="1" outlineLevel="1" x14ac:dyDescent="0.4">
      <c r="A212" s="166"/>
      <c r="B212" s="468" t="s">
        <v>178</v>
      </c>
      <c r="C212" s="469"/>
      <c r="D212" s="159">
        <v>1478.2</v>
      </c>
      <c r="E212" s="159">
        <v>1500.3</v>
      </c>
      <c r="F212" s="159">
        <v>1440.6</v>
      </c>
      <c r="G212" s="159">
        <v>1370.5</v>
      </c>
      <c r="H212" s="152">
        <f t="shared" si="150"/>
        <v>1370.5</v>
      </c>
      <c r="I212" s="159">
        <v>701.2</v>
      </c>
      <c r="J212" s="159">
        <v>751.4</v>
      </c>
      <c r="K212" s="159">
        <v>821.1</v>
      </c>
      <c r="L212" s="51">
        <f>K212*1.015</f>
        <v>833.41649999999993</v>
      </c>
      <c r="M212" s="183">
        <f>L212</f>
        <v>833.41649999999993</v>
      </c>
      <c r="N212" s="51">
        <f>L212*1.015</f>
        <v>845.91774749999979</v>
      </c>
      <c r="O212" s="51">
        <f>N212*1.015</f>
        <v>858.60651371249969</v>
      </c>
      <c r="P212" s="51">
        <f>O212*1.015</f>
        <v>871.48561141818709</v>
      </c>
      <c r="Q212" s="51">
        <f>P212*1.015</f>
        <v>884.5578955894598</v>
      </c>
      <c r="R212" s="292">
        <f>Q212</f>
        <v>884.5578955894598</v>
      </c>
      <c r="S212" s="51">
        <f>Q212*1.015</f>
        <v>897.82626402330163</v>
      </c>
      <c r="T212" s="51">
        <f>S212*1.015</f>
        <v>911.29365798365109</v>
      </c>
      <c r="U212" s="51">
        <f>T212*1.015</f>
        <v>924.96306285340575</v>
      </c>
      <c r="V212" s="51">
        <f>U212*1.015</f>
        <v>938.83750879620675</v>
      </c>
      <c r="W212" s="292">
        <f>V212</f>
        <v>938.83750879620675</v>
      </c>
      <c r="X212" s="51">
        <f>V212*1.015</f>
        <v>952.92007142814975</v>
      </c>
      <c r="Y212" s="51">
        <f>X212*1.015</f>
        <v>967.21387249957195</v>
      </c>
      <c r="Z212" s="51">
        <f>Y212*1.015</f>
        <v>981.72208058706542</v>
      </c>
      <c r="AA212" s="51">
        <f>Z212*1.015</f>
        <v>996.44791179587128</v>
      </c>
      <c r="AB212" s="292">
        <f>AA212</f>
        <v>996.44791179587128</v>
      </c>
      <c r="AC212" s="51">
        <f>AA212*1.015</f>
        <v>1011.3946304728092</v>
      </c>
      <c r="AD212" s="51">
        <f>AC212*1.015</f>
        <v>1026.5655499299012</v>
      </c>
      <c r="AE212" s="51">
        <f>AD212*1.015</f>
        <v>1041.9640331788496</v>
      </c>
      <c r="AF212" s="51">
        <f>AE212*1.015</f>
        <v>1057.5934936765323</v>
      </c>
      <c r="AG212" s="292">
        <f>AF212</f>
        <v>1057.5934936765323</v>
      </c>
      <c r="AH212" s="51">
        <f>AF212*1.015</f>
        <v>1073.4573960816801</v>
      </c>
      <c r="AI212" s="51">
        <f>AH212*1.015</f>
        <v>1089.5592570229053</v>
      </c>
      <c r="AJ212" s="51">
        <f>AI212*1.015</f>
        <v>1105.9026458782487</v>
      </c>
      <c r="AK212" s="51">
        <f>AJ212*1.015</f>
        <v>1122.4911855664222</v>
      </c>
      <c r="AL212" s="292">
        <f>AK212</f>
        <v>1122.4911855664222</v>
      </c>
    </row>
    <row r="213" spans="1:38" outlineLevel="1" x14ac:dyDescent="0.25">
      <c r="A213" s="166"/>
      <c r="B213" s="519" t="s">
        <v>9</v>
      </c>
      <c r="C213" s="520"/>
      <c r="D213" s="71">
        <f t="shared" ref="D213:K213" si="158">SUM(D208:D212)</f>
        <v>22860.100000000002</v>
      </c>
      <c r="E213" s="71">
        <f t="shared" si="158"/>
        <v>22677.1</v>
      </c>
      <c r="F213" s="71">
        <f t="shared" si="158"/>
        <v>25213.4</v>
      </c>
      <c r="G213" s="71">
        <f t="shared" si="158"/>
        <v>25450.6</v>
      </c>
      <c r="H213" s="153">
        <f t="shared" si="158"/>
        <v>25450.6</v>
      </c>
      <c r="I213" s="71">
        <f t="shared" si="158"/>
        <v>34490.400000000001</v>
      </c>
      <c r="J213" s="71">
        <f t="shared" si="158"/>
        <v>35011.800000000003</v>
      </c>
      <c r="K213" s="71">
        <f t="shared" si="158"/>
        <v>37764.899999999994</v>
      </c>
      <c r="L213" s="198">
        <f t="shared" ref="L213:R213" si="159">SUM(L208:L212)</f>
        <v>37440.110713549198</v>
      </c>
      <c r="M213" s="293">
        <f t="shared" si="159"/>
        <v>37440.110713549198</v>
      </c>
      <c r="N213" s="198">
        <f t="shared" si="159"/>
        <v>37432.722385416004</v>
      </c>
      <c r="O213" s="198">
        <f t="shared" si="159"/>
        <v>36443.837513977502</v>
      </c>
      <c r="P213" s="198">
        <f t="shared" si="159"/>
        <v>35738.277049392542</v>
      </c>
      <c r="Q213" s="198">
        <f t="shared" si="159"/>
        <v>35393.372864720994</v>
      </c>
      <c r="R213" s="293">
        <f t="shared" si="159"/>
        <v>35393.372864720994</v>
      </c>
      <c r="S213" s="198">
        <f t="shared" ref="S213:AL213" si="160">SUM(S208:S212)</f>
        <v>35517.307486138656</v>
      </c>
      <c r="T213" s="198">
        <f t="shared" si="160"/>
        <v>34513.524574457835</v>
      </c>
      <c r="U213" s="198">
        <f t="shared" si="160"/>
        <v>34040.341935625824</v>
      </c>
      <c r="V213" s="198">
        <f t="shared" si="160"/>
        <v>34266.409594815901</v>
      </c>
      <c r="W213" s="293">
        <f t="shared" si="160"/>
        <v>34266.409594815901</v>
      </c>
      <c r="X213" s="198">
        <f t="shared" si="160"/>
        <v>34573.168860673832</v>
      </c>
      <c r="Y213" s="198">
        <f t="shared" si="160"/>
        <v>33372.61827531673</v>
      </c>
      <c r="Z213" s="198">
        <f t="shared" si="160"/>
        <v>32927.271883054644</v>
      </c>
      <c r="AA213" s="198">
        <f t="shared" si="160"/>
        <v>32659.361460471737</v>
      </c>
      <c r="AB213" s="293">
        <f t="shared" si="160"/>
        <v>32659.361460471737</v>
      </c>
      <c r="AC213" s="198">
        <f t="shared" si="160"/>
        <v>32924.785518868666</v>
      </c>
      <c r="AD213" s="198">
        <f t="shared" si="160"/>
        <v>31771.513753958563</v>
      </c>
      <c r="AE213" s="198">
        <f t="shared" si="160"/>
        <v>31347.825409970032</v>
      </c>
      <c r="AF213" s="198">
        <f t="shared" si="160"/>
        <v>31571.641584954355</v>
      </c>
      <c r="AG213" s="293">
        <f t="shared" si="160"/>
        <v>31571.641584954355</v>
      </c>
      <c r="AH213" s="198">
        <f t="shared" si="160"/>
        <v>31930.620301017832</v>
      </c>
      <c r="AI213" s="198">
        <f t="shared" si="160"/>
        <v>30716.352261201289</v>
      </c>
      <c r="AJ213" s="198">
        <f t="shared" si="160"/>
        <v>30314.508614454015</v>
      </c>
      <c r="AK213" s="198">
        <f t="shared" si="160"/>
        <v>30529.149086334943</v>
      </c>
      <c r="AL213" s="293">
        <f t="shared" si="160"/>
        <v>30529.149086334943</v>
      </c>
    </row>
    <row r="214" spans="1:38" ht="18" x14ac:dyDescent="0.4">
      <c r="A214" s="166"/>
      <c r="B214" s="448" t="s">
        <v>55</v>
      </c>
      <c r="C214" s="467"/>
      <c r="D214" s="23" t="s">
        <v>72</v>
      </c>
      <c r="E214" s="23" t="s">
        <v>211</v>
      </c>
      <c r="F214" s="23" t="s">
        <v>215</v>
      </c>
      <c r="G214" s="23" t="s">
        <v>225</v>
      </c>
      <c r="H214" s="77" t="s">
        <v>226</v>
      </c>
      <c r="I214" s="23" t="s">
        <v>227</v>
      </c>
      <c r="J214" s="23" t="s">
        <v>228</v>
      </c>
      <c r="K214" s="23" t="s">
        <v>229</v>
      </c>
      <c r="L214" s="154" t="s">
        <v>90</v>
      </c>
      <c r="M214" s="155" t="s">
        <v>91</v>
      </c>
      <c r="N214" s="154" t="s">
        <v>92</v>
      </c>
      <c r="O214" s="154" t="s">
        <v>93</v>
      </c>
      <c r="P214" s="154" t="s">
        <v>94</v>
      </c>
      <c r="Q214" s="154" t="s">
        <v>95</v>
      </c>
      <c r="R214" s="155" t="s">
        <v>96</v>
      </c>
      <c r="S214" s="154" t="s">
        <v>92</v>
      </c>
      <c r="T214" s="154" t="s">
        <v>93</v>
      </c>
      <c r="U214" s="154" t="s">
        <v>94</v>
      </c>
      <c r="V214" s="154" t="s">
        <v>95</v>
      </c>
      <c r="W214" s="155" t="s">
        <v>96</v>
      </c>
      <c r="X214" s="154" t="s">
        <v>92</v>
      </c>
      <c r="Y214" s="154" t="s">
        <v>93</v>
      </c>
      <c r="Z214" s="154" t="s">
        <v>94</v>
      </c>
      <c r="AA214" s="154" t="s">
        <v>95</v>
      </c>
      <c r="AB214" s="155" t="s">
        <v>96</v>
      </c>
      <c r="AC214" s="21" t="s">
        <v>92</v>
      </c>
      <c r="AD214" s="21" t="s">
        <v>93</v>
      </c>
      <c r="AE214" s="21" t="s">
        <v>94</v>
      </c>
      <c r="AF214" s="21" t="s">
        <v>95</v>
      </c>
      <c r="AG214" s="79" t="s">
        <v>96</v>
      </c>
      <c r="AH214" s="154" t="s">
        <v>92</v>
      </c>
      <c r="AI214" s="154" t="s">
        <v>93</v>
      </c>
      <c r="AJ214" s="154" t="s">
        <v>94</v>
      </c>
      <c r="AK214" s="154" t="s">
        <v>95</v>
      </c>
      <c r="AL214" s="79" t="s">
        <v>96</v>
      </c>
    </row>
    <row r="215" spans="1:38" outlineLevel="1" x14ac:dyDescent="0.25">
      <c r="A215" s="166"/>
      <c r="B215" s="452" t="s">
        <v>179</v>
      </c>
      <c r="C215" s="453"/>
      <c r="D215" s="25">
        <f>1.2+41.1</f>
        <v>42.300000000000004</v>
      </c>
      <c r="E215" s="25">
        <f>1.2+41.1</f>
        <v>42.300000000000004</v>
      </c>
      <c r="F215" s="25">
        <f>1.2+41.1</f>
        <v>42.300000000000004</v>
      </c>
      <c r="G215" s="25">
        <f>1.2+41.1</f>
        <v>42.300000000000004</v>
      </c>
      <c r="H215" s="26">
        <f>G215</f>
        <v>42.300000000000004</v>
      </c>
      <c r="I215" s="25">
        <f>1.2+41.1</f>
        <v>42.300000000000004</v>
      </c>
      <c r="J215" s="25">
        <f>1.2+41.1</f>
        <v>42.300000000000004</v>
      </c>
      <c r="K215" s="25">
        <f>1.2+115.4</f>
        <v>116.60000000000001</v>
      </c>
      <c r="L215" s="168">
        <f>K215+L247+L270</f>
        <v>173.87560516066986</v>
      </c>
      <c r="M215" s="169">
        <f>L215</f>
        <v>173.87560516066986</v>
      </c>
      <c r="N215" s="168">
        <f>L215+N247+N270</f>
        <v>240.93080249555825</v>
      </c>
      <c r="O215" s="168">
        <f>N215+O247+O270</f>
        <v>305.02331254437502</v>
      </c>
      <c r="P215" s="168">
        <f>O215+P247+P270</f>
        <v>371.44848208115008</v>
      </c>
      <c r="Q215" s="168">
        <f>P215+Q247+Q270</f>
        <v>439.35056335561865</v>
      </c>
      <c r="R215" s="169">
        <f>Q215</f>
        <v>439.35056335561865</v>
      </c>
      <c r="S215" s="168">
        <f>Q215+S247+S270</f>
        <v>514.23848358010275</v>
      </c>
      <c r="T215" s="168">
        <f>S215+T247+T270</f>
        <v>581.3469620552811</v>
      </c>
      <c r="U215" s="168">
        <f>T215+U247+U270</f>
        <v>651.62243641329121</v>
      </c>
      <c r="V215" s="168">
        <f>U215+V247+V270</f>
        <v>723.68656235962032</v>
      </c>
      <c r="W215" s="169">
        <f>V215</f>
        <v>723.68656235962032</v>
      </c>
      <c r="X215" s="168">
        <f>V215+X247+X270</f>
        <v>802.28508672676355</v>
      </c>
      <c r="Y215" s="168">
        <f>X215+Y247+Y270</f>
        <v>872.53553796122151</v>
      </c>
      <c r="Z215" s="168">
        <f>Y215+Z247+Z270</f>
        <v>946.6074742501421</v>
      </c>
      <c r="AA215" s="168">
        <f>Z215+AA247+AA270</f>
        <v>1022.077178841404</v>
      </c>
      <c r="AB215" s="169">
        <f>AA215</f>
        <v>1022.077178841404</v>
      </c>
      <c r="AC215" s="168">
        <f>AA215+AC247+AC270</f>
        <v>1105.3988170586415</v>
      </c>
      <c r="AD215" s="168">
        <f>AC215+AD247+AD270</f>
        <v>1179.3552806232037</v>
      </c>
      <c r="AE215" s="168">
        <f>AD215+AE247+AE270</f>
        <v>1257.8606559692446</v>
      </c>
      <c r="AF215" s="168">
        <f>AE215+AF247+AF270</f>
        <v>1337.4182902018995</v>
      </c>
      <c r="AG215" s="169">
        <f>AF215</f>
        <v>1337.4182902018995</v>
      </c>
      <c r="AH215" s="168">
        <f>AF215+AH247+AH270</f>
        <v>1425.4947374826213</v>
      </c>
      <c r="AI215" s="168">
        <f>AH215+AI247+AI270</f>
        <v>1503.0815336466496</v>
      </c>
      <c r="AJ215" s="168">
        <f>AI215+AJ247+AJ270</f>
        <v>1586.0483634761749</v>
      </c>
      <c r="AK215" s="168">
        <f>AJ215+AK247+AK270</f>
        <v>1670.1969425171158</v>
      </c>
      <c r="AL215" s="169">
        <f>AK215</f>
        <v>1670.1969425171158</v>
      </c>
    </row>
    <row r="216" spans="1:38" outlineLevel="1" x14ac:dyDescent="0.25">
      <c r="A216" s="166"/>
      <c r="B216" s="480" t="s">
        <v>29</v>
      </c>
      <c r="C216" s="481"/>
      <c r="D216" s="25">
        <v>-2584</v>
      </c>
      <c r="E216" s="168">
        <v>-4807.7</v>
      </c>
      <c r="F216" s="168">
        <v>-4013.9</v>
      </c>
      <c r="G216" s="168">
        <v>-5771.2</v>
      </c>
      <c r="H216" s="169">
        <f>G216</f>
        <v>-5771.2</v>
      </c>
      <c r="I216" s="168">
        <v>-6414.8</v>
      </c>
      <c r="J216" s="168">
        <v>-7050.6</v>
      </c>
      <c r="K216" s="168">
        <v>-8208.2999999999993</v>
      </c>
      <c r="L216" s="168">
        <f>K216+L241+L268+L269</f>
        <v>-8594.3818180042672</v>
      </c>
      <c r="M216" s="169">
        <f>L216</f>
        <v>-8594.3818180042672</v>
      </c>
      <c r="N216" s="168">
        <f>L216+N241+N268+N269</f>
        <v>-8558.2935140313493</v>
      </c>
      <c r="O216" s="168">
        <f>N216+O241+O268+O269</f>
        <v>-8540.7177553443144</v>
      </c>
      <c r="P216" s="168">
        <f>O216+P241+P268+P269</f>
        <v>-8464.2625958973949</v>
      </c>
      <c r="Q216" s="168">
        <f>P216+Q241+Q268+Q269</f>
        <v>-8339.2930423582238</v>
      </c>
      <c r="R216" s="169">
        <f>Q216</f>
        <v>-8339.2930423582238</v>
      </c>
      <c r="S216" s="168">
        <f>Q216+S241+S268+S269</f>
        <v>-8337.5759546145109</v>
      </c>
      <c r="T216" s="168">
        <f>S216+T241+T268+T269</f>
        <v>-8271.6683697488115</v>
      </c>
      <c r="U216" s="168">
        <f>T216+U241+U268+U269</f>
        <v>-8136.0934033013618</v>
      </c>
      <c r="V216" s="168">
        <f>U216+V241+V268+V269</f>
        <v>-7945.5395975886759</v>
      </c>
      <c r="W216" s="169">
        <f>V216</f>
        <v>-7945.5395975886759</v>
      </c>
      <c r="X216" s="168">
        <f>V216+X241+X268+X269</f>
        <v>-7805.8493584872276</v>
      </c>
      <c r="Y216" s="168">
        <f>X216+Y241+Y268+Y269</f>
        <v>-7838.4343635483874</v>
      </c>
      <c r="Z216" s="168">
        <f>Y216+Z241+Z268+Z269</f>
        <v>-7758.0084038990317</v>
      </c>
      <c r="AA216" s="168">
        <f>Z216+AA241+AA268+AA269</f>
        <v>-7627.5529454368952</v>
      </c>
      <c r="AB216" s="169">
        <f>AA216</f>
        <v>-7627.5529454368952</v>
      </c>
      <c r="AC216" s="168">
        <f>AA216+AC241+AC268+AC269</f>
        <v>-7439.0842770707768</v>
      </c>
      <c r="AD216" s="168">
        <f>AC216+AD241+AD268+AD269</f>
        <v>-7432.534924391387</v>
      </c>
      <c r="AE216" s="168">
        <f>AD216+AE241+AE268+AE269</f>
        <v>-7289.9037149589994</v>
      </c>
      <c r="AF216" s="168">
        <f>AE216+AF241+AF268+AF269</f>
        <v>-7101.6351413940138</v>
      </c>
      <c r="AG216" s="169">
        <f>AF216</f>
        <v>-7101.6351413940138</v>
      </c>
      <c r="AH216" s="168">
        <f>AF216+AH241+AH268+AH269</f>
        <v>-6852.3835042155133</v>
      </c>
      <c r="AI216" s="168">
        <f>AH216+AI241+AI268+AI269</f>
        <v>-6805.101959850359</v>
      </c>
      <c r="AJ216" s="168">
        <f>AI216+AJ241+AJ268+AJ269</f>
        <v>-6605.5722084549861</v>
      </c>
      <c r="AK216" s="168">
        <f>AJ216+AK241+AK268+AK269</f>
        <v>-6354.7125646737977</v>
      </c>
      <c r="AL216" s="169">
        <f>AK216</f>
        <v>-6354.7125646737977</v>
      </c>
    </row>
    <row r="217" spans="1:38" outlineLevel="1" x14ac:dyDescent="0.25">
      <c r="A217" s="166"/>
      <c r="B217" s="480" t="s">
        <v>67</v>
      </c>
      <c r="C217" s="481"/>
      <c r="D217" s="25">
        <v>-343.2</v>
      </c>
      <c r="E217" s="170">
        <v>-271.5</v>
      </c>
      <c r="F217" s="168">
        <v>-349</v>
      </c>
      <c r="G217" s="168">
        <v>-503.3</v>
      </c>
      <c r="H217" s="169">
        <f>+G217</f>
        <v>-503.3</v>
      </c>
      <c r="I217" s="168">
        <v>-387.4</v>
      </c>
      <c r="J217" s="168">
        <v>-521.79999999999995</v>
      </c>
      <c r="K217" s="168">
        <v>-529.9</v>
      </c>
      <c r="L217" s="168">
        <f>K217</f>
        <v>-529.9</v>
      </c>
      <c r="M217" s="169">
        <f>L217</f>
        <v>-529.9</v>
      </c>
      <c r="N217" s="168">
        <f>L217</f>
        <v>-529.9</v>
      </c>
      <c r="O217" s="168">
        <f t="shared" ref="O217:Q218" si="161">N217</f>
        <v>-529.9</v>
      </c>
      <c r="P217" s="168">
        <f t="shared" si="161"/>
        <v>-529.9</v>
      </c>
      <c r="Q217" s="168">
        <f t="shared" si="161"/>
        <v>-529.9</v>
      </c>
      <c r="R217" s="169">
        <f>Q217</f>
        <v>-529.9</v>
      </c>
      <c r="S217" s="168">
        <f>Q217</f>
        <v>-529.9</v>
      </c>
      <c r="T217" s="168">
        <f t="shared" ref="T217:V218" si="162">S217</f>
        <v>-529.9</v>
      </c>
      <c r="U217" s="168">
        <f t="shared" si="162"/>
        <v>-529.9</v>
      </c>
      <c r="V217" s="168">
        <f t="shared" si="162"/>
        <v>-529.9</v>
      </c>
      <c r="W217" s="169">
        <f>V217</f>
        <v>-529.9</v>
      </c>
      <c r="X217" s="168">
        <f>V217</f>
        <v>-529.9</v>
      </c>
      <c r="Y217" s="168">
        <f t="shared" ref="Y217:AA218" si="163">X217</f>
        <v>-529.9</v>
      </c>
      <c r="Z217" s="168">
        <f t="shared" si="163"/>
        <v>-529.9</v>
      </c>
      <c r="AA217" s="168">
        <f t="shared" si="163"/>
        <v>-529.9</v>
      </c>
      <c r="AB217" s="169">
        <f>AA217</f>
        <v>-529.9</v>
      </c>
      <c r="AC217" s="168">
        <f>AA217</f>
        <v>-529.9</v>
      </c>
      <c r="AD217" s="168">
        <f t="shared" ref="AD217:AF218" si="164">AC217</f>
        <v>-529.9</v>
      </c>
      <c r="AE217" s="168">
        <f t="shared" si="164"/>
        <v>-529.9</v>
      </c>
      <c r="AF217" s="168">
        <f t="shared" si="164"/>
        <v>-529.9</v>
      </c>
      <c r="AG217" s="169">
        <f>AF217</f>
        <v>-529.9</v>
      </c>
      <c r="AH217" s="168">
        <f>AF217</f>
        <v>-529.9</v>
      </c>
      <c r="AI217" s="168">
        <f t="shared" ref="AI217:AK218" si="165">AH217</f>
        <v>-529.9</v>
      </c>
      <c r="AJ217" s="168">
        <f t="shared" si="165"/>
        <v>-529.9</v>
      </c>
      <c r="AK217" s="168">
        <f t="shared" si="165"/>
        <v>-529.9</v>
      </c>
      <c r="AL217" s="169">
        <f>AK217</f>
        <v>-529.9</v>
      </c>
    </row>
    <row r="218" spans="1:38" ht="17.25" outlineLevel="1" x14ac:dyDescent="0.4">
      <c r="A218" s="166"/>
      <c r="B218" s="94" t="s">
        <v>180</v>
      </c>
      <c r="C218" s="95"/>
      <c r="D218" s="28">
        <v>6.1</v>
      </c>
      <c r="E218" s="183">
        <v>1.7</v>
      </c>
      <c r="F218" s="183">
        <v>1.6</v>
      </c>
      <c r="G218" s="183">
        <v>1.2</v>
      </c>
      <c r="H218" s="29">
        <f>+G218</f>
        <v>1.2</v>
      </c>
      <c r="I218" s="183">
        <v>0.8</v>
      </c>
      <c r="J218" s="183">
        <v>-2.8</v>
      </c>
      <c r="K218" s="183">
        <v>-2.7</v>
      </c>
      <c r="L218" s="183">
        <f>K218</f>
        <v>-2.7</v>
      </c>
      <c r="M218" s="292">
        <f>L218</f>
        <v>-2.7</v>
      </c>
      <c r="N218" s="183">
        <f>L218</f>
        <v>-2.7</v>
      </c>
      <c r="O218" s="183">
        <f t="shared" si="161"/>
        <v>-2.7</v>
      </c>
      <c r="P218" s="183">
        <f t="shared" si="161"/>
        <v>-2.7</v>
      </c>
      <c r="Q218" s="183">
        <f t="shared" si="161"/>
        <v>-2.7</v>
      </c>
      <c r="R218" s="292">
        <f>Q218</f>
        <v>-2.7</v>
      </c>
      <c r="S218" s="183">
        <f>Q218</f>
        <v>-2.7</v>
      </c>
      <c r="T218" s="183">
        <f t="shared" si="162"/>
        <v>-2.7</v>
      </c>
      <c r="U218" s="183">
        <f t="shared" si="162"/>
        <v>-2.7</v>
      </c>
      <c r="V218" s="183">
        <f t="shared" si="162"/>
        <v>-2.7</v>
      </c>
      <c r="W218" s="292">
        <f>V218</f>
        <v>-2.7</v>
      </c>
      <c r="X218" s="183">
        <f>V218</f>
        <v>-2.7</v>
      </c>
      <c r="Y218" s="183">
        <f t="shared" si="163"/>
        <v>-2.7</v>
      </c>
      <c r="Z218" s="183">
        <f t="shared" si="163"/>
        <v>-2.7</v>
      </c>
      <c r="AA218" s="183">
        <f t="shared" si="163"/>
        <v>-2.7</v>
      </c>
      <c r="AB218" s="292">
        <f>AA218</f>
        <v>-2.7</v>
      </c>
      <c r="AC218" s="183">
        <f>AA218</f>
        <v>-2.7</v>
      </c>
      <c r="AD218" s="183">
        <f t="shared" si="164"/>
        <v>-2.7</v>
      </c>
      <c r="AE218" s="183">
        <f t="shared" si="164"/>
        <v>-2.7</v>
      </c>
      <c r="AF218" s="183">
        <f t="shared" si="164"/>
        <v>-2.7</v>
      </c>
      <c r="AG218" s="292">
        <f>AF218</f>
        <v>-2.7</v>
      </c>
      <c r="AH218" s="183">
        <f>AF218</f>
        <v>-2.7</v>
      </c>
      <c r="AI218" s="183">
        <f t="shared" si="165"/>
        <v>-2.7</v>
      </c>
      <c r="AJ218" s="183">
        <f t="shared" si="165"/>
        <v>-2.7</v>
      </c>
      <c r="AK218" s="183">
        <f t="shared" si="165"/>
        <v>-2.7</v>
      </c>
      <c r="AL218" s="292">
        <f>AK218</f>
        <v>-2.7</v>
      </c>
    </row>
    <row r="219" spans="1:38" outlineLevel="1" x14ac:dyDescent="0.25">
      <c r="A219" s="166"/>
      <c r="B219" s="470" t="s">
        <v>30</v>
      </c>
      <c r="C219" s="471"/>
      <c r="D219" s="32">
        <f t="shared" ref="D219:K219" si="166">SUM(D215:D218)</f>
        <v>-2878.7999999999997</v>
      </c>
      <c r="E219" s="32">
        <f t="shared" si="166"/>
        <v>-5035.2</v>
      </c>
      <c r="F219" s="32">
        <f t="shared" si="166"/>
        <v>-4319</v>
      </c>
      <c r="G219" s="32">
        <f t="shared" si="166"/>
        <v>-6231</v>
      </c>
      <c r="H219" s="33">
        <f t="shared" si="166"/>
        <v>-6231</v>
      </c>
      <c r="I219" s="32">
        <f t="shared" si="166"/>
        <v>-6759.0999999999995</v>
      </c>
      <c r="J219" s="32">
        <f t="shared" si="166"/>
        <v>-7532.9000000000005</v>
      </c>
      <c r="K219" s="32">
        <f t="shared" si="166"/>
        <v>-8624.2999999999993</v>
      </c>
      <c r="L219" s="198">
        <f t="shared" ref="L219:R219" si="167">SUM(L215:L218)</f>
        <v>-8953.1062128435969</v>
      </c>
      <c r="M219" s="293">
        <f t="shared" si="167"/>
        <v>-8953.1062128435969</v>
      </c>
      <c r="N219" s="198">
        <f t="shared" si="167"/>
        <v>-8849.9627115357907</v>
      </c>
      <c r="O219" s="198">
        <f t="shared" si="167"/>
        <v>-8768.2944427999391</v>
      </c>
      <c r="P219" s="198">
        <f t="shared" si="167"/>
        <v>-8625.4141138162449</v>
      </c>
      <c r="Q219" s="198">
        <f t="shared" si="167"/>
        <v>-8432.5424790026063</v>
      </c>
      <c r="R219" s="293">
        <f t="shared" si="167"/>
        <v>-8432.5424790026063</v>
      </c>
      <c r="S219" s="198">
        <f t="shared" ref="S219:AL219" si="168">SUM(S215:S218)</f>
        <v>-8355.9374710344091</v>
      </c>
      <c r="T219" s="198">
        <f t="shared" si="168"/>
        <v>-8222.9214076935314</v>
      </c>
      <c r="U219" s="198">
        <f t="shared" si="168"/>
        <v>-8017.07096688807</v>
      </c>
      <c r="V219" s="198">
        <f t="shared" si="168"/>
        <v>-7754.4530352290549</v>
      </c>
      <c r="W219" s="293">
        <f t="shared" si="168"/>
        <v>-7754.4530352290549</v>
      </c>
      <c r="X219" s="198">
        <f t="shared" si="168"/>
        <v>-7536.1642717604636</v>
      </c>
      <c r="Y219" s="198">
        <f t="shared" si="168"/>
        <v>-7498.4988255871658</v>
      </c>
      <c r="Z219" s="198">
        <f t="shared" si="168"/>
        <v>-7344.0009296488888</v>
      </c>
      <c r="AA219" s="198">
        <f t="shared" si="168"/>
        <v>-7138.0757665954907</v>
      </c>
      <c r="AB219" s="293">
        <f t="shared" si="168"/>
        <v>-7138.0757665954907</v>
      </c>
      <c r="AC219" s="198">
        <f t="shared" si="168"/>
        <v>-6866.2854600121345</v>
      </c>
      <c r="AD219" s="198">
        <f t="shared" si="168"/>
        <v>-6785.7796437681827</v>
      </c>
      <c r="AE219" s="198">
        <f t="shared" si="168"/>
        <v>-6564.6430589897545</v>
      </c>
      <c r="AF219" s="198">
        <f t="shared" si="168"/>
        <v>-6296.816851192114</v>
      </c>
      <c r="AG219" s="293">
        <f t="shared" si="168"/>
        <v>-6296.816851192114</v>
      </c>
      <c r="AH219" s="198">
        <f t="shared" si="168"/>
        <v>-5959.4887667328912</v>
      </c>
      <c r="AI219" s="198">
        <f t="shared" si="168"/>
        <v>-5834.620426203709</v>
      </c>
      <c r="AJ219" s="198">
        <f t="shared" si="168"/>
        <v>-5552.1238449788107</v>
      </c>
      <c r="AK219" s="198">
        <f t="shared" si="168"/>
        <v>-5217.1156221566816</v>
      </c>
      <c r="AL219" s="293">
        <f t="shared" si="168"/>
        <v>-5217.1156221566816</v>
      </c>
    </row>
    <row r="220" spans="1:38" outlineLevel="1" x14ac:dyDescent="0.25">
      <c r="A220" s="166"/>
      <c r="B220" s="465" t="s">
        <v>10</v>
      </c>
      <c r="C220" s="466"/>
      <c r="D220" s="39">
        <f t="shared" ref="D220:K220" si="169">D219+D213</f>
        <v>19981.300000000003</v>
      </c>
      <c r="E220" s="39">
        <f t="shared" si="169"/>
        <v>17641.899999999998</v>
      </c>
      <c r="F220" s="39">
        <f t="shared" si="169"/>
        <v>20894.400000000001</v>
      </c>
      <c r="G220" s="39">
        <f t="shared" si="169"/>
        <v>19219.599999999999</v>
      </c>
      <c r="H220" s="156">
        <f t="shared" si="169"/>
        <v>19219.599999999999</v>
      </c>
      <c r="I220" s="39">
        <f t="shared" si="169"/>
        <v>27731.300000000003</v>
      </c>
      <c r="J220" s="39">
        <f t="shared" si="169"/>
        <v>27478.9</v>
      </c>
      <c r="K220" s="39">
        <f t="shared" si="169"/>
        <v>29140.599999999995</v>
      </c>
      <c r="L220" s="318">
        <f t="shared" ref="L220:R220" si="170">L219+L213</f>
        <v>28487.004500705603</v>
      </c>
      <c r="M220" s="319">
        <f t="shared" si="170"/>
        <v>28487.004500705603</v>
      </c>
      <c r="N220" s="318">
        <f t="shared" si="170"/>
        <v>28582.759673880213</v>
      </c>
      <c r="O220" s="318">
        <f t="shared" si="170"/>
        <v>27675.543071177563</v>
      </c>
      <c r="P220" s="318">
        <f t="shared" si="170"/>
        <v>27112.862935576297</v>
      </c>
      <c r="Q220" s="318">
        <f t="shared" si="170"/>
        <v>26960.830385718386</v>
      </c>
      <c r="R220" s="319">
        <f t="shared" si="170"/>
        <v>26960.830385718386</v>
      </c>
      <c r="S220" s="318">
        <f t="shared" ref="S220:AL220" si="171">S219+S213</f>
        <v>27161.370015104247</v>
      </c>
      <c r="T220" s="318">
        <f t="shared" si="171"/>
        <v>26290.603166764304</v>
      </c>
      <c r="U220" s="318">
        <f t="shared" si="171"/>
        <v>26023.270968737754</v>
      </c>
      <c r="V220" s="318">
        <f t="shared" si="171"/>
        <v>26511.956559586848</v>
      </c>
      <c r="W220" s="319">
        <f t="shared" si="171"/>
        <v>26511.956559586848</v>
      </c>
      <c r="X220" s="318">
        <f t="shared" si="171"/>
        <v>27037.004588913369</v>
      </c>
      <c r="Y220" s="318">
        <f t="shared" si="171"/>
        <v>25874.119449729566</v>
      </c>
      <c r="Z220" s="318">
        <f t="shared" si="171"/>
        <v>25583.270953405754</v>
      </c>
      <c r="AA220" s="318">
        <f t="shared" si="171"/>
        <v>25521.285693876245</v>
      </c>
      <c r="AB220" s="319">
        <f t="shared" si="171"/>
        <v>25521.285693876245</v>
      </c>
      <c r="AC220" s="318">
        <f t="shared" si="171"/>
        <v>26058.500058856531</v>
      </c>
      <c r="AD220" s="318">
        <f t="shared" si="171"/>
        <v>24985.73411019038</v>
      </c>
      <c r="AE220" s="318">
        <f t="shared" si="171"/>
        <v>24783.182350980278</v>
      </c>
      <c r="AF220" s="318">
        <f t="shared" si="171"/>
        <v>25274.824733762242</v>
      </c>
      <c r="AG220" s="319">
        <f t="shared" si="171"/>
        <v>25274.824733762242</v>
      </c>
      <c r="AH220" s="318">
        <f t="shared" si="171"/>
        <v>25971.131534284941</v>
      </c>
      <c r="AI220" s="318">
        <f t="shared" si="171"/>
        <v>24881.731834997579</v>
      </c>
      <c r="AJ220" s="318">
        <f t="shared" si="171"/>
        <v>24762.384769475204</v>
      </c>
      <c r="AK220" s="318">
        <f t="shared" si="171"/>
        <v>25312.033464178261</v>
      </c>
      <c r="AL220" s="319">
        <f t="shared" si="171"/>
        <v>25312.033464178261</v>
      </c>
    </row>
    <row r="221" spans="1:38" x14ac:dyDescent="0.25">
      <c r="A221" s="166"/>
      <c r="B221" s="12"/>
      <c r="C221" s="150"/>
      <c r="D221" s="294">
        <f t="shared" ref="D221:K221" si="172">ROUND((D220-D198),0)</f>
        <v>0</v>
      </c>
      <c r="E221" s="294">
        <f t="shared" si="172"/>
        <v>0</v>
      </c>
      <c r="F221" s="294">
        <f t="shared" si="172"/>
        <v>0</v>
      </c>
      <c r="G221" s="294">
        <f t="shared" si="172"/>
        <v>0</v>
      </c>
      <c r="H221" s="294">
        <f t="shared" si="172"/>
        <v>0</v>
      </c>
      <c r="I221" s="294">
        <f t="shared" si="172"/>
        <v>0</v>
      </c>
      <c r="J221" s="294">
        <f t="shared" si="172"/>
        <v>0</v>
      </c>
      <c r="K221" s="294">
        <f t="shared" si="172"/>
        <v>0</v>
      </c>
      <c r="L221" s="294">
        <f t="shared" ref="L221:R221" si="173">ROUND((L220-L198),0)</f>
        <v>0</v>
      </c>
      <c r="M221" s="294">
        <f t="shared" si="173"/>
        <v>0</v>
      </c>
      <c r="N221" s="294">
        <f t="shared" si="173"/>
        <v>0</v>
      </c>
      <c r="O221" s="294">
        <f t="shared" si="173"/>
        <v>0</v>
      </c>
      <c r="P221" s="294">
        <f t="shared" si="173"/>
        <v>0</v>
      </c>
      <c r="Q221" s="294">
        <f t="shared" si="173"/>
        <v>0</v>
      </c>
      <c r="R221" s="294">
        <f t="shared" si="173"/>
        <v>0</v>
      </c>
      <c r="S221" s="294">
        <f t="shared" ref="S221:AL221" si="174">ROUND((S220-S198),0)</f>
        <v>0</v>
      </c>
      <c r="T221" s="294">
        <f t="shared" si="174"/>
        <v>0</v>
      </c>
      <c r="U221" s="294">
        <f t="shared" si="174"/>
        <v>0</v>
      </c>
      <c r="V221" s="294">
        <f t="shared" si="174"/>
        <v>0</v>
      </c>
      <c r="W221" s="294">
        <f t="shared" si="174"/>
        <v>0</v>
      </c>
      <c r="X221" s="294">
        <f t="shared" si="174"/>
        <v>0</v>
      </c>
      <c r="Y221" s="294">
        <f t="shared" si="174"/>
        <v>0</v>
      </c>
      <c r="Z221" s="294">
        <f t="shared" si="174"/>
        <v>0</v>
      </c>
      <c r="AA221" s="294">
        <f t="shared" si="174"/>
        <v>0</v>
      </c>
      <c r="AB221" s="294">
        <f t="shared" si="174"/>
        <v>0</v>
      </c>
      <c r="AC221" s="294">
        <f t="shared" si="174"/>
        <v>0</v>
      </c>
      <c r="AD221" s="294">
        <f t="shared" si="174"/>
        <v>0</v>
      </c>
      <c r="AE221" s="294">
        <f t="shared" si="174"/>
        <v>0</v>
      </c>
      <c r="AF221" s="294">
        <f t="shared" si="174"/>
        <v>0</v>
      </c>
      <c r="AG221" s="294">
        <f t="shared" si="174"/>
        <v>0</v>
      </c>
      <c r="AH221" s="294">
        <f t="shared" si="174"/>
        <v>0</v>
      </c>
      <c r="AI221" s="294">
        <f t="shared" si="174"/>
        <v>0</v>
      </c>
      <c r="AJ221" s="294">
        <f t="shared" si="174"/>
        <v>0</v>
      </c>
      <c r="AK221" s="294">
        <f t="shared" si="174"/>
        <v>0</v>
      </c>
      <c r="AL221" s="294">
        <f t="shared" si="174"/>
        <v>0</v>
      </c>
    </row>
    <row r="222" spans="1:38" ht="15.75" x14ac:dyDescent="0.25">
      <c r="A222" s="166"/>
      <c r="B222" s="448" t="s">
        <v>19</v>
      </c>
      <c r="C222" s="467"/>
      <c r="D222" s="22" t="s">
        <v>59</v>
      </c>
      <c r="E222" s="22" t="s">
        <v>212</v>
      </c>
      <c r="F222" s="22" t="s">
        <v>214</v>
      </c>
      <c r="G222" s="22" t="s">
        <v>73</v>
      </c>
      <c r="H222" s="76" t="s">
        <v>73</v>
      </c>
      <c r="I222" s="22" t="s">
        <v>74</v>
      </c>
      <c r="J222" s="22" t="s">
        <v>75</v>
      </c>
      <c r="K222" s="22" t="s">
        <v>76</v>
      </c>
      <c r="L222" s="24" t="s">
        <v>77</v>
      </c>
      <c r="M222" s="78" t="s">
        <v>77</v>
      </c>
      <c r="N222" s="24" t="s">
        <v>78</v>
      </c>
      <c r="O222" s="24" t="s">
        <v>79</v>
      </c>
      <c r="P222" s="24" t="s">
        <v>80</v>
      </c>
      <c r="Q222" s="24" t="s">
        <v>81</v>
      </c>
      <c r="R222" s="78" t="s">
        <v>81</v>
      </c>
      <c r="S222" s="24" t="s">
        <v>82</v>
      </c>
      <c r="T222" s="24" t="s">
        <v>83</v>
      </c>
      <c r="U222" s="24" t="s">
        <v>84</v>
      </c>
      <c r="V222" s="24" t="s">
        <v>85</v>
      </c>
      <c r="W222" s="78" t="s">
        <v>85</v>
      </c>
      <c r="X222" s="24" t="s">
        <v>86</v>
      </c>
      <c r="Y222" s="24" t="s">
        <v>87</v>
      </c>
      <c r="Z222" s="24" t="s">
        <v>88</v>
      </c>
      <c r="AA222" s="24" t="s">
        <v>89</v>
      </c>
      <c r="AB222" s="78" t="s">
        <v>89</v>
      </c>
      <c r="AC222" s="24" t="s">
        <v>216</v>
      </c>
      <c r="AD222" s="24" t="s">
        <v>217</v>
      </c>
      <c r="AE222" s="24" t="s">
        <v>218</v>
      </c>
      <c r="AF222" s="24" t="s">
        <v>219</v>
      </c>
      <c r="AG222" s="78" t="s">
        <v>219</v>
      </c>
      <c r="AH222" s="24" t="s">
        <v>249</v>
      </c>
      <c r="AI222" s="24" t="s">
        <v>250</v>
      </c>
      <c r="AJ222" s="24" t="s">
        <v>251</v>
      </c>
      <c r="AK222" s="24" t="s">
        <v>252</v>
      </c>
      <c r="AL222" s="78" t="s">
        <v>252</v>
      </c>
    </row>
    <row r="223" spans="1:38" ht="17.25" x14ac:dyDescent="0.4">
      <c r="A223" s="166"/>
      <c r="B223" s="463"/>
      <c r="C223" s="464"/>
      <c r="D223" s="23" t="s">
        <v>72</v>
      </c>
      <c r="E223" s="23" t="s">
        <v>211</v>
      </c>
      <c r="F223" s="23" t="s">
        <v>215</v>
      </c>
      <c r="G223" s="23" t="s">
        <v>225</v>
      </c>
      <c r="H223" s="77" t="s">
        <v>226</v>
      </c>
      <c r="I223" s="23" t="s">
        <v>227</v>
      </c>
      <c r="J223" s="23" t="s">
        <v>228</v>
      </c>
      <c r="K223" s="23" t="s">
        <v>229</v>
      </c>
      <c r="L223" s="21" t="s">
        <v>90</v>
      </c>
      <c r="M223" s="79" t="s">
        <v>91</v>
      </c>
      <c r="N223" s="21" t="s">
        <v>92</v>
      </c>
      <c r="O223" s="21" t="s">
        <v>93</v>
      </c>
      <c r="P223" s="21" t="s">
        <v>94</v>
      </c>
      <c r="Q223" s="21" t="s">
        <v>95</v>
      </c>
      <c r="R223" s="79" t="s">
        <v>96</v>
      </c>
      <c r="S223" s="21" t="s">
        <v>97</v>
      </c>
      <c r="T223" s="21" t="s">
        <v>98</v>
      </c>
      <c r="U223" s="21" t="s">
        <v>99</v>
      </c>
      <c r="V223" s="21" t="s">
        <v>100</v>
      </c>
      <c r="W223" s="79" t="s">
        <v>101</v>
      </c>
      <c r="X223" s="21" t="s">
        <v>102</v>
      </c>
      <c r="Y223" s="21" t="s">
        <v>103</v>
      </c>
      <c r="Z223" s="21" t="s">
        <v>104</v>
      </c>
      <c r="AA223" s="21" t="s">
        <v>105</v>
      </c>
      <c r="AB223" s="79" t="s">
        <v>106</v>
      </c>
      <c r="AC223" s="21" t="s">
        <v>220</v>
      </c>
      <c r="AD223" s="21" t="s">
        <v>221</v>
      </c>
      <c r="AE223" s="21" t="s">
        <v>222</v>
      </c>
      <c r="AF223" s="21" t="s">
        <v>223</v>
      </c>
      <c r="AG223" s="79" t="s">
        <v>224</v>
      </c>
      <c r="AH223" s="21" t="s">
        <v>253</v>
      </c>
      <c r="AI223" s="21" t="s">
        <v>254</v>
      </c>
      <c r="AJ223" s="21" t="s">
        <v>255</v>
      </c>
      <c r="AK223" s="21" t="s">
        <v>256</v>
      </c>
      <c r="AL223" s="79" t="s">
        <v>257</v>
      </c>
    </row>
    <row r="224" spans="1:38" outlineLevel="1" x14ac:dyDescent="0.25">
      <c r="A224" s="166"/>
      <c r="B224" s="239" t="s">
        <v>248</v>
      </c>
      <c r="C224" s="240"/>
      <c r="D224" s="190">
        <f>31+30+31</f>
        <v>92</v>
      </c>
      <c r="E224" s="190">
        <f>31+28+31</f>
        <v>90</v>
      </c>
      <c r="F224" s="190">
        <f>30+31+30</f>
        <v>91</v>
      </c>
      <c r="G224" s="190">
        <f>31+31+30</f>
        <v>92</v>
      </c>
      <c r="H224" s="206"/>
      <c r="I224" s="190">
        <f>31+30+31</f>
        <v>92</v>
      </c>
      <c r="J224" s="190">
        <f>31+29+31</f>
        <v>91</v>
      </c>
      <c r="K224" s="190">
        <f>30+31+30</f>
        <v>91</v>
      </c>
      <c r="L224" s="190">
        <v>92</v>
      </c>
      <c r="M224" s="206"/>
      <c r="N224" s="190">
        <v>92</v>
      </c>
      <c r="O224" s="190">
        <v>90</v>
      </c>
      <c r="P224" s="190">
        <v>91</v>
      </c>
      <c r="Q224" s="190">
        <v>92</v>
      </c>
      <c r="R224" s="206"/>
      <c r="S224" s="190">
        <v>92</v>
      </c>
      <c r="T224" s="190">
        <v>90</v>
      </c>
      <c r="U224" s="190">
        <v>91</v>
      </c>
      <c r="V224" s="190">
        <v>92</v>
      </c>
      <c r="W224" s="206"/>
      <c r="X224" s="190">
        <v>92</v>
      </c>
      <c r="Y224" s="190">
        <v>90</v>
      </c>
      <c r="Z224" s="190">
        <v>91</v>
      </c>
      <c r="AA224" s="190">
        <v>92</v>
      </c>
      <c r="AB224" s="206"/>
      <c r="AC224" s="190">
        <v>92</v>
      </c>
      <c r="AD224" s="190">
        <v>91</v>
      </c>
      <c r="AE224" s="190">
        <v>91</v>
      </c>
      <c r="AF224" s="190">
        <v>92</v>
      </c>
      <c r="AG224" s="206"/>
      <c r="AH224" s="190">
        <v>92</v>
      </c>
      <c r="AI224" s="190">
        <v>90</v>
      </c>
      <c r="AJ224" s="190">
        <v>91</v>
      </c>
      <c r="AK224" s="190">
        <v>92</v>
      </c>
      <c r="AL224" s="206"/>
    </row>
    <row r="225" spans="1:39" outlineLevel="1" x14ac:dyDescent="0.25">
      <c r="A225" s="166"/>
      <c r="B225" s="452" t="s">
        <v>20</v>
      </c>
      <c r="C225" s="453"/>
      <c r="D225" s="49">
        <f t="shared" ref="D225:K225" si="175">D16/D186</f>
        <v>9.1942057111172737</v>
      </c>
      <c r="E225" s="232">
        <f t="shared" si="175"/>
        <v>8.9623365548607161</v>
      </c>
      <c r="F225" s="232">
        <f t="shared" si="175"/>
        <v>8.6301543131798635</v>
      </c>
      <c r="G225" s="232">
        <f t="shared" si="175"/>
        <v>7.6757679180887379</v>
      </c>
      <c r="H225" s="233">
        <f t="shared" si="175"/>
        <v>30.157679180887374</v>
      </c>
      <c r="I225" s="232">
        <f t="shared" si="175"/>
        <v>7.8153287082920375</v>
      </c>
      <c r="J225" s="232">
        <f t="shared" si="175"/>
        <v>6.3716259298618487</v>
      </c>
      <c r="K225" s="232">
        <f t="shared" si="175"/>
        <v>4.7918510952218822</v>
      </c>
      <c r="L225" s="362">
        <v>6.7</v>
      </c>
      <c r="M225" s="233"/>
      <c r="N225" s="362">
        <v>7.5</v>
      </c>
      <c r="O225" s="362">
        <v>7.9</v>
      </c>
      <c r="P225" s="362">
        <v>7.4</v>
      </c>
      <c r="Q225" s="362">
        <v>7.5</v>
      </c>
      <c r="R225" s="233"/>
      <c r="S225" s="362">
        <v>7.5</v>
      </c>
      <c r="T225" s="362">
        <v>7.9</v>
      </c>
      <c r="U225" s="362">
        <v>7.4</v>
      </c>
      <c r="V225" s="362">
        <v>7.5</v>
      </c>
      <c r="W225" s="233"/>
      <c r="X225" s="362">
        <v>7.5</v>
      </c>
      <c r="Y225" s="362">
        <v>7.9</v>
      </c>
      <c r="Z225" s="362">
        <v>7.4</v>
      </c>
      <c r="AA225" s="362">
        <v>7.5</v>
      </c>
      <c r="AB225" s="310"/>
      <c r="AC225" s="362">
        <v>7.5</v>
      </c>
      <c r="AD225" s="362">
        <v>7.9</v>
      </c>
      <c r="AE225" s="362">
        <v>7.4</v>
      </c>
      <c r="AF225" s="362">
        <v>7.5</v>
      </c>
      <c r="AG225" s="310"/>
      <c r="AH225" s="362">
        <v>7.5</v>
      </c>
      <c r="AI225" s="362">
        <v>7.9</v>
      </c>
      <c r="AJ225" s="362">
        <v>7.4</v>
      </c>
      <c r="AK225" s="362">
        <v>7.5</v>
      </c>
      <c r="AL225" s="310"/>
    </row>
    <row r="226" spans="1:39" s="34" customFormat="1" outlineLevel="1" x14ac:dyDescent="0.25">
      <c r="A226" s="231"/>
      <c r="B226" s="478" t="s">
        <v>40</v>
      </c>
      <c r="C226" s="479"/>
      <c r="D226" s="38">
        <f>D224/D225</f>
        <v>10.00630210924661</v>
      </c>
      <c r="E226" s="38">
        <f>E224/E225</f>
        <v>10.042024136126486</v>
      </c>
      <c r="F226" s="190">
        <f>F224/F225</f>
        <v>10.544423274219552</v>
      </c>
      <c r="G226" s="190">
        <f>G224/G225</f>
        <v>11.985771453979545</v>
      </c>
      <c r="H226" s="233"/>
      <c r="I226" s="190">
        <f>I224/I225</f>
        <v>11.771737752039567</v>
      </c>
      <c r="J226" s="190">
        <f>J224/J225</f>
        <v>14.28206881598479</v>
      </c>
      <c r="K226" s="190">
        <f>K224/K225</f>
        <v>18.990573411335589</v>
      </c>
      <c r="L226" s="190">
        <f>L224/L225</f>
        <v>13.731343283582088</v>
      </c>
      <c r="M226" s="233"/>
      <c r="N226" s="190">
        <f>N224/N225</f>
        <v>12.266666666666667</v>
      </c>
      <c r="O226" s="190">
        <f>O224/O225</f>
        <v>11.39240506329114</v>
      </c>
      <c r="P226" s="190">
        <f>P224/P225</f>
        <v>12.297297297297296</v>
      </c>
      <c r="Q226" s="190">
        <f>Q224/Q225</f>
        <v>12.266666666666667</v>
      </c>
      <c r="R226" s="233"/>
      <c r="S226" s="190">
        <f>S224/S225</f>
        <v>12.266666666666667</v>
      </c>
      <c r="T226" s="190">
        <f>T224/T225</f>
        <v>11.39240506329114</v>
      </c>
      <c r="U226" s="190">
        <f>U224/U225</f>
        <v>12.297297297297296</v>
      </c>
      <c r="V226" s="190">
        <f>V224/V225</f>
        <v>12.266666666666667</v>
      </c>
      <c r="W226" s="233"/>
      <c r="X226" s="190">
        <f>X224/X225</f>
        <v>12.266666666666667</v>
      </c>
      <c r="Y226" s="190">
        <f>Y224/Y225</f>
        <v>11.39240506329114</v>
      </c>
      <c r="Z226" s="190">
        <f>Z224/Z225</f>
        <v>12.297297297297296</v>
      </c>
      <c r="AA226" s="190">
        <f>AA224/AA225</f>
        <v>12.266666666666667</v>
      </c>
      <c r="AB226" s="233"/>
      <c r="AC226" s="190">
        <f>AC224/AC225</f>
        <v>12.266666666666667</v>
      </c>
      <c r="AD226" s="190">
        <f>AD224/AD225</f>
        <v>11.518987341772151</v>
      </c>
      <c r="AE226" s="190">
        <f>AE224/AE225</f>
        <v>12.297297297297296</v>
      </c>
      <c r="AF226" s="190">
        <f>AF224/AF225</f>
        <v>12.266666666666667</v>
      </c>
      <c r="AG226" s="233"/>
      <c r="AH226" s="190">
        <f>AH224/AH225</f>
        <v>12.266666666666667</v>
      </c>
      <c r="AI226" s="190">
        <f>AI224/AI225</f>
        <v>11.39240506329114</v>
      </c>
      <c r="AJ226" s="190">
        <f>AJ224/AJ225</f>
        <v>12.297297297297296</v>
      </c>
      <c r="AK226" s="190">
        <f>AK224/AK225</f>
        <v>12.266666666666667</v>
      </c>
      <c r="AL226" s="233"/>
    </row>
    <row r="227" spans="1:39" outlineLevel="1" x14ac:dyDescent="0.25">
      <c r="A227" s="166"/>
      <c r="B227" s="452" t="s">
        <v>200</v>
      </c>
      <c r="C227" s="453"/>
      <c r="D227" s="49">
        <f t="shared" ref="D227:K227" si="176">D17/D187</f>
        <v>1.6062306215857083</v>
      </c>
      <c r="E227" s="49">
        <f t="shared" si="176"/>
        <v>1.3943173943173943</v>
      </c>
      <c r="F227" s="232">
        <f t="shared" si="176"/>
        <v>1.4497759029791721</v>
      </c>
      <c r="G227" s="232">
        <f t="shared" si="176"/>
        <v>1.3989146070354381</v>
      </c>
      <c r="H227" s="233">
        <f t="shared" si="176"/>
        <v>5.5753236563358177</v>
      </c>
      <c r="I227" s="232">
        <f t="shared" si="176"/>
        <v>1.5875630013487614</v>
      </c>
      <c r="J227" s="232">
        <f t="shared" si="176"/>
        <v>1.3387615601125855</v>
      </c>
      <c r="K227" s="232">
        <f t="shared" si="176"/>
        <v>0.93698699330723578</v>
      </c>
      <c r="L227" s="362">
        <v>1</v>
      </c>
      <c r="M227" s="233"/>
      <c r="N227" s="362">
        <v>1.1000000000000001</v>
      </c>
      <c r="O227" s="362">
        <v>1.1000000000000001</v>
      </c>
      <c r="P227" s="362">
        <v>1.1000000000000001</v>
      </c>
      <c r="Q227" s="362">
        <v>1</v>
      </c>
      <c r="R227" s="233"/>
      <c r="S227" s="362">
        <v>1.1000000000000001</v>
      </c>
      <c r="T227" s="362">
        <v>1.1000000000000001</v>
      </c>
      <c r="U227" s="362">
        <v>1.1000000000000001</v>
      </c>
      <c r="V227" s="362">
        <v>1</v>
      </c>
      <c r="W227" s="233"/>
      <c r="X227" s="362">
        <v>1.1000000000000001</v>
      </c>
      <c r="Y227" s="362">
        <v>1.1000000000000001</v>
      </c>
      <c r="Z227" s="362">
        <v>1.1000000000000001</v>
      </c>
      <c r="AA227" s="362">
        <v>1</v>
      </c>
      <c r="AB227" s="310"/>
      <c r="AC227" s="362">
        <v>1.1000000000000001</v>
      </c>
      <c r="AD227" s="362">
        <v>1.1000000000000001</v>
      </c>
      <c r="AE227" s="362">
        <v>1.1000000000000001</v>
      </c>
      <c r="AF227" s="362">
        <v>1</v>
      </c>
      <c r="AG227" s="310"/>
      <c r="AH227" s="362">
        <v>1.1000000000000001</v>
      </c>
      <c r="AI227" s="362">
        <v>1.1000000000000001</v>
      </c>
      <c r="AJ227" s="362">
        <v>1.1000000000000001</v>
      </c>
      <c r="AK227" s="362">
        <v>1</v>
      </c>
      <c r="AL227" s="310"/>
    </row>
    <row r="228" spans="1:39" s="34" customFormat="1" outlineLevel="1" x14ac:dyDescent="0.25">
      <c r="A228" s="231"/>
      <c r="B228" s="478" t="s">
        <v>287</v>
      </c>
      <c r="C228" s="479"/>
      <c r="D228" s="38">
        <f t="shared" ref="D228:J228" si="177">D224/D227</f>
        <v>57.276955602536987</v>
      </c>
      <c r="E228" s="38">
        <f t="shared" si="177"/>
        <v>64.547713717693838</v>
      </c>
      <c r="F228" s="190">
        <f t="shared" si="177"/>
        <v>62.768321513002363</v>
      </c>
      <c r="G228" s="190">
        <f t="shared" si="177"/>
        <v>65.765272259873825</v>
      </c>
      <c r="H228" s="233"/>
      <c r="I228" s="190">
        <f t="shared" si="177"/>
        <v>57.950456090144868</v>
      </c>
      <c r="J228" s="190">
        <f t="shared" si="177"/>
        <v>67.973269259648589</v>
      </c>
      <c r="K228" s="190">
        <f>K224/K227</f>
        <v>97.119811320754721</v>
      </c>
      <c r="L228" s="190">
        <f t="shared" ref="L228:Q228" si="178">L224/L227</f>
        <v>92</v>
      </c>
      <c r="M228" s="233"/>
      <c r="N228" s="190">
        <f t="shared" si="178"/>
        <v>83.636363636363626</v>
      </c>
      <c r="O228" s="190">
        <f t="shared" si="178"/>
        <v>81.818181818181813</v>
      </c>
      <c r="P228" s="190">
        <f t="shared" si="178"/>
        <v>82.72727272727272</v>
      </c>
      <c r="Q228" s="190">
        <f t="shared" si="178"/>
        <v>92</v>
      </c>
      <c r="R228" s="233"/>
      <c r="S228" s="190">
        <f>S224/S227</f>
        <v>83.636363636363626</v>
      </c>
      <c r="T228" s="190">
        <f>T224/T227</f>
        <v>81.818181818181813</v>
      </c>
      <c r="U228" s="190">
        <f>U224/U227</f>
        <v>82.72727272727272</v>
      </c>
      <c r="V228" s="190">
        <f>V224/V227</f>
        <v>92</v>
      </c>
      <c r="W228" s="233"/>
      <c r="X228" s="190">
        <f>X224/X227</f>
        <v>83.636363636363626</v>
      </c>
      <c r="Y228" s="190">
        <f>Y224/Y227</f>
        <v>81.818181818181813</v>
      </c>
      <c r="Z228" s="190">
        <f>Z224/Z227</f>
        <v>82.72727272727272</v>
      </c>
      <c r="AA228" s="190">
        <f>AA224/AA227</f>
        <v>92</v>
      </c>
      <c r="AB228" s="233"/>
      <c r="AC228" s="190">
        <f>AC224/AC227</f>
        <v>83.636363636363626</v>
      </c>
      <c r="AD228" s="190">
        <f>AD224/AD227</f>
        <v>82.72727272727272</v>
      </c>
      <c r="AE228" s="190">
        <f>AE224/AE227</f>
        <v>82.72727272727272</v>
      </c>
      <c r="AF228" s="190">
        <f>AF224/AF227</f>
        <v>92</v>
      </c>
      <c r="AG228" s="233"/>
      <c r="AH228" s="190">
        <f>AH224/AH227</f>
        <v>83.636363636363626</v>
      </c>
      <c r="AI228" s="190">
        <f>AI224/AI227</f>
        <v>81.818181818181813</v>
      </c>
      <c r="AJ228" s="190">
        <f>AJ224/AJ227</f>
        <v>82.72727272727272</v>
      </c>
      <c r="AK228" s="190">
        <f>AK224/AK227</f>
        <v>92</v>
      </c>
      <c r="AL228" s="233"/>
    </row>
    <row r="229" spans="1:39" s="34" customFormat="1" outlineLevel="1" x14ac:dyDescent="0.25">
      <c r="A229" s="231"/>
      <c r="B229" s="452" t="s">
        <v>41</v>
      </c>
      <c r="C229" s="453"/>
      <c r="D229" s="49">
        <f t="shared" ref="D229:K229" si="179">D21/D200</f>
        <v>0.40708768741481144</v>
      </c>
      <c r="E229" s="49">
        <f t="shared" si="179"/>
        <v>0.41770766845992524</v>
      </c>
      <c r="F229" s="232">
        <f t="shared" si="179"/>
        <v>0.40134450846865721</v>
      </c>
      <c r="G229" s="232">
        <f t="shared" si="179"/>
        <v>0.38522316550390839</v>
      </c>
      <c r="H229" s="234">
        <f t="shared" si="179"/>
        <v>1.533243674876019</v>
      </c>
      <c r="I229" s="232">
        <f t="shared" si="179"/>
        <v>0.39996315401621224</v>
      </c>
      <c r="J229" s="232">
        <f t="shared" si="179"/>
        <v>0.40743710534228722</v>
      </c>
      <c r="K229" s="232">
        <f t="shared" si="179"/>
        <v>0.464567843866171</v>
      </c>
      <c r="L229" s="362">
        <v>0.4</v>
      </c>
      <c r="M229" s="234"/>
      <c r="N229" s="362">
        <v>0.4</v>
      </c>
      <c r="O229" s="362">
        <v>0.4</v>
      </c>
      <c r="P229" s="362">
        <v>0.4</v>
      </c>
      <c r="Q229" s="362">
        <v>0.4</v>
      </c>
      <c r="R229" s="234"/>
      <c r="S229" s="362">
        <v>0.4</v>
      </c>
      <c r="T229" s="362">
        <v>0.4</v>
      </c>
      <c r="U229" s="362">
        <v>0.4</v>
      </c>
      <c r="V229" s="362">
        <v>0.4</v>
      </c>
      <c r="W229" s="234"/>
      <c r="X229" s="362">
        <v>0.4</v>
      </c>
      <c r="Y229" s="362">
        <v>0.4</v>
      </c>
      <c r="Z229" s="362">
        <v>0.4</v>
      </c>
      <c r="AA229" s="362">
        <v>0.4</v>
      </c>
      <c r="AB229" s="233"/>
      <c r="AC229" s="362">
        <v>0.4</v>
      </c>
      <c r="AD229" s="362">
        <v>0.4</v>
      </c>
      <c r="AE229" s="362">
        <v>0.4</v>
      </c>
      <c r="AF229" s="362">
        <v>0.4</v>
      </c>
      <c r="AG229" s="233"/>
      <c r="AH229" s="362">
        <v>0.4</v>
      </c>
      <c r="AI229" s="362">
        <v>0.4</v>
      </c>
      <c r="AJ229" s="362">
        <v>0.4</v>
      </c>
      <c r="AK229" s="362">
        <v>0.4</v>
      </c>
      <c r="AL229" s="233"/>
    </row>
    <row r="230" spans="1:39" s="34" customFormat="1" outlineLevel="1" x14ac:dyDescent="0.25">
      <c r="A230" s="231"/>
      <c r="B230" s="478" t="s">
        <v>21</v>
      </c>
      <c r="C230" s="479"/>
      <c r="D230" s="25">
        <f>D224/D229</f>
        <v>225.99553571428572</v>
      </c>
      <c r="E230" s="25">
        <f>E224/E229</f>
        <v>215.46168958742632</v>
      </c>
      <c r="F230" s="168">
        <f>F224/F229</f>
        <v>226.73787252556016</v>
      </c>
      <c r="G230" s="168">
        <f>G224/G229</f>
        <v>238.82260528038412</v>
      </c>
      <c r="H230" s="235"/>
      <c r="I230" s="168">
        <f>I224/I229</f>
        <v>230.02118839244588</v>
      </c>
      <c r="J230" s="168">
        <f>J224/J229</f>
        <v>223.34735547355476</v>
      </c>
      <c r="K230" s="168">
        <f>K224/K229</f>
        <v>195.88097024256064</v>
      </c>
      <c r="L230" s="168">
        <f t="shared" ref="L230:Q230" si="180">L224/L229</f>
        <v>230</v>
      </c>
      <c r="M230" s="235"/>
      <c r="N230" s="168">
        <f t="shared" si="180"/>
        <v>230</v>
      </c>
      <c r="O230" s="168">
        <f t="shared" si="180"/>
        <v>225</v>
      </c>
      <c r="P230" s="168">
        <f t="shared" si="180"/>
        <v>227.5</v>
      </c>
      <c r="Q230" s="168">
        <f t="shared" si="180"/>
        <v>230</v>
      </c>
      <c r="R230" s="235"/>
      <c r="S230" s="168">
        <f>S224/S229</f>
        <v>230</v>
      </c>
      <c r="T230" s="168">
        <f>T224/T229</f>
        <v>225</v>
      </c>
      <c r="U230" s="168">
        <f>U224/U229</f>
        <v>227.5</v>
      </c>
      <c r="V230" s="168">
        <f>V224/V229</f>
        <v>230</v>
      </c>
      <c r="W230" s="235"/>
      <c r="X230" s="168">
        <f>X224/X229</f>
        <v>230</v>
      </c>
      <c r="Y230" s="168">
        <f>Y224/Y229</f>
        <v>225</v>
      </c>
      <c r="Z230" s="168">
        <f>Z224/Z229</f>
        <v>227.5</v>
      </c>
      <c r="AA230" s="168">
        <f>AA224/AA229</f>
        <v>230</v>
      </c>
      <c r="AB230" s="235"/>
      <c r="AC230" s="168">
        <f>AC224/AC229</f>
        <v>230</v>
      </c>
      <c r="AD230" s="168">
        <f>AD224/AD229</f>
        <v>227.5</v>
      </c>
      <c r="AE230" s="168">
        <f>AE224/AE229</f>
        <v>227.5</v>
      </c>
      <c r="AF230" s="168">
        <f>AF224/AF229</f>
        <v>230</v>
      </c>
      <c r="AG230" s="235"/>
      <c r="AH230" s="168">
        <f>AH224/AH229</f>
        <v>230</v>
      </c>
      <c r="AI230" s="168">
        <f>AI224/AI229</f>
        <v>225</v>
      </c>
      <c r="AJ230" s="168">
        <f>AJ224/AJ229</f>
        <v>227.5</v>
      </c>
      <c r="AK230" s="168">
        <f>AK224/AK229</f>
        <v>230</v>
      </c>
      <c r="AL230" s="235"/>
    </row>
    <row r="231" spans="1:39" s="34" customFormat="1" outlineLevel="1" x14ac:dyDescent="0.25">
      <c r="A231" s="231"/>
      <c r="B231" s="452" t="s">
        <v>202</v>
      </c>
      <c r="C231" s="453"/>
      <c r="D231" s="47">
        <f>(D190+D185)/D198</f>
        <v>2.4783172266068774E-2</v>
      </c>
      <c r="E231" s="47">
        <f>(E190+E185)/E198</f>
        <v>1.862044337628033E-2</v>
      </c>
      <c r="F231" s="200">
        <f t="shared" ref="F231:K231" si="181">(F190+F185)/F198</f>
        <v>1.4104190097872643E-2</v>
      </c>
      <c r="G231" s="200">
        <f t="shared" si="181"/>
        <v>1.5114935950133718E-2</v>
      </c>
      <c r="H231" s="235">
        <f t="shared" si="181"/>
        <v>1.5114935950133718E-2</v>
      </c>
      <c r="I231" s="200">
        <f t="shared" si="181"/>
        <v>9.6713821566244626E-3</v>
      </c>
      <c r="J231" s="200">
        <f t="shared" si="181"/>
        <v>9.1597553031598795E-3</v>
      </c>
      <c r="K231" s="200">
        <f t="shared" si="181"/>
        <v>1.5555616562459249E-2</v>
      </c>
      <c r="L231" s="355">
        <v>0.01</v>
      </c>
      <c r="M231" s="235"/>
      <c r="N231" s="355">
        <v>0.01</v>
      </c>
      <c r="O231" s="355">
        <v>0.01</v>
      </c>
      <c r="P231" s="355">
        <v>0.01</v>
      </c>
      <c r="Q231" s="355">
        <v>0.01</v>
      </c>
      <c r="R231" s="235"/>
      <c r="S231" s="355">
        <v>0.01</v>
      </c>
      <c r="T231" s="355">
        <v>0.01</v>
      </c>
      <c r="U231" s="355">
        <v>0.01</v>
      </c>
      <c r="V231" s="355">
        <v>0.01</v>
      </c>
      <c r="W231" s="235"/>
      <c r="X231" s="355">
        <v>0.01</v>
      </c>
      <c r="Y231" s="355">
        <v>0.01</v>
      </c>
      <c r="Z231" s="355">
        <v>0.01</v>
      </c>
      <c r="AA231" s="355">
        <v>0.01</v>
      </c>
      <c r="AB231" s="235"/>
      <c r="AC231" s="355">
        <v>0.01</v>
      </c>
      <c r="AD231" s="355">
        <v>0.01</v>
      </c>
      <c r="AE231" s="355">
        <v>0.01</v>
      </c>
      <c r="AF231" s="355">
        <v>0.01</v>
      </c>
      <c r="AG231" s="235"/>
      <c r="AH231" s="355">
        <v>0.01</v>
      </c>
      <c r="AI231" s="355">
        <v>0.01</v>
      </c>
      <c r="AJ231" s="355">
        <v>0.01</v>
      </c>
      <c r="AK231" s="355">
        <v>0.01</v>
      </c>
      <c r="AL231" s="235"/>
    </row>
    <row r="232" spans="1:39" s="34" customFormat="1" outlineLevel="1" x14ac:dyDescent="0.25">
      <c r="A232" s="231"/>
      <c r="B232" s="36" t="s">
        <v>201</v>
      </c>
      <c r="C232" s="163"/>
      <c r="D232" s="47">
        <f>D185/(D185+D190)</f>
        <v>0.4648626817447496</v>
      </c>
      <c r="E232" s="47">
        <f>E185/(E185+E190)</f>
        <v>0.23318112633181123</v>
      </c>
      <c r="F232" s="200">
        <f t="shared" ref="F232:K232" si="182">F185/(F185+F190)</f>
        <v>0.24465558194774345</v>
      </c>
      <c r="G232" s="200">
        <f t="shared" si="182"/>
        <v>0.24268502581755594</v>
      </c>
      <c r="H232" s="235">
        <f t="shared" si="182"/>
        <v>0.24268502581755594</v>
      </c>
      <c r="I232" s="200">
        <f t="shared" si="182"/>
        <v>0.25503355704697983</v>
      </c>
      <c r="J232" s="200">
        <f t="shared" si="182"/>
        <v>0.21017083829956296</v>
      </c>
      <c r="K232" s="200">
        <f t="shared" si="182"/>
        <v>0.50716964482682547</v>
      </c>
      <c r="L232" s="355">
        <v>0.3</v>
      </c>
      <c r="M232" s="235"/>
      <c r="N232" s="355">
        <v>0.3</v>
      </c>
      <c r="O232" s="355">
        <v>0.3</v>
      </c>
      <c r="P232" s="355">
        <v>0.3</v>
      </c>
      <c r="Q232" s="355">
        <v>0.3</v>
      </c>
      <c r="R232" s="235"/>
      <c r="S232" s="355">
        <v>0.3</v>
      </c>
      <c r="T232" s="355">
        <v>0.3</v>
      </c>
      <c r="U232" s="355">
        <v>0.3</v>
      </c>
      <c r="V232" s="355">
        <v>0.3</v>
      </c>
      <c r="W232" s="235"/>
      <c r="X232" s="355">
        <v>0.3</v>
      </c>
      <c r="Y232" s="355">
        <v>0.3</v>
      </c>
      <c r="Z232" s="355">
        <v>0.3</v>
      </c>
      <c r="AA232" s="355">
        <v>0.3</v>
      </c>
      <c r="AB232" s="235"/>
      <c r="AC232" s="355">
        <v>0.3</v>
      </c>
      <c r="AD232" s="355">
        <v>0.3</v>
      </c>
      <c r="AE232" s="355">
        <v>0.3</v>
      </c>
      <c r="AF232" s="355">
        <v>0.3</v>
      </c>
      <c r="AG232" s="235"/>
      <c r="AH232" s="355">
        <v>0.3</v>
      </c>
      <c r="AI232" s="355">
        <v>0.3</v>
      </c>
      <c r="AJ232" s="355">
        <v>0.3</v>
      </c>
      <c r="AK232" s="355">
        <v>0.3</v>
      </c>
      <c r="AL232" s="235"/>
    </row>
    <row r="233" spans="1:39" s="34" customFormat="1" outlineLevel="1" x14ac:dyDescent="0.25">
      <c r="A233" s="231"/>
      <c r="B233" s="60" t="s">
        <v>203</v>
      </c>
      <c r="C233" s="163"/>
      <c r="D233" s="47">
        <f>+(D206+D209)/D219</f>
        <v>-3.1717034875642636</v>
      </c>
      <c r="E233" s="47">
        <f>+(E206+E209)/E219</f>
        <v>-1.8304138862408643</v>
      </c>
      <c r="F233" s="200">
        <f>+(F206+F209)/F219</f>
        <v>-2.5837230840472332</v>
      </c>
      <c r="G233" s="200">
        <f>+(G206+G209)/G219</f>
        <v>-1.7921681913015568</v>
      </c>
      <c r="H233" s="235"/>
      <c r="I233" s="200">
        <f>+(I206+I209)/I219</f>
        <v>-1.7235726649997785</v>
      </c>
      <c r="J233" s="200">
        <f>+(J206+J209)/J219</f>
        <v>-1.8605318005017988</v>
      </c>
      <c r="K233" s="200">
        <f>+(K206+K209)/K219</f>
        <v>-1.9516598448569742</v>
      </c>
      <c r="L233" s="200">
        <f t="shared" ref="L233:AL233" si="183">+(L206+L209)/L219</f>
        <v>-1.831174523148305</v>
      </c>
      <c r="M233" s="235"/>
      <c r="N233" s="200">
        <f t="shared" si="183"/>
        <v>-1.8031375408169104</v>
      </c>
      <c r="O233" s="200">
        <f t="shared" si="183"/>
        <v>-1.7700933860341312</v>
      </c>
      <c r="P233" s="200">
        <f t="shared" si="183"/>
        <v>-1.7487508194926933</v>
      </c>
      <c r="Q233" s="200">
        <f t="shared" si="183"/>
        <v>-1.7367952828542725</v>
      </c>
      <c r="R233" s="235">
        <f t="shared" si="183"/>
        <v>-1.7367952828542725</v>
      </c>
      <c r="S233" s="200">
        <f t="shared" si="183"/>
        <v>-1.7004196176974349</v>
      </c>
      <c r="T233" s="200">
        <f t="shared" si="183"/>
        <v>-1.6747819074514094</v>
      </c>
      <c r="U233" s="200">
        <f t="shared" si="183"/>
        <v>-1.6632757842701245</v>
      </c>
      <c r="V233" s="200">
        <f t="shared" si="183"/>
        <v>-1.7598404346512238</v>
      </c>
      <c r="W233" s="235">
        <f t="shared" si="183"/>
        <v>-1.7598404346512238</v>
      </c>
      <c r="X233" s="200">
        <f t="shared" si="183"/>
        <v>-1.7528280334200053</v>
      </c>
      <c r="Y233" s="200">
        <f t="shared" si="183"/>
        <v>-1.7033542709129983</v>
      </c>
      <c r="Z233" s="200">
        <f t="shared" si="183"/>
        <v>-1.6796838832358041</v>
      </c>
      <c r="AA233" s="200">
        <f t="shared" si="183"/>
        <v>-1.7018031745821331</v>
      </c>
      <c r="AB233" s="235">
        <f t="shared" si="183"/>
        <v>-1.7018031745821331</v>
      </c>
      <c r="AC233" s="200">
        <f t="shared" si="183"/>
        <v>-1.7055218674201909</v>
      </c>
      <c r="AD233" s="200">
        <f t="shared" si="183"/>
        <v>-1.6613566298683557</v>
      </c>
      <c r="AE233" s="200">
        <f t="shared" si="183"/>
        <v>-1.6507523566205389</v>
      </c>
      <c r="AF233" s="200">
        <f t="shared" si="183"/>
        <v>-1.7705136203682574</v>
      </c>
      <c r="AG233" s="235">
        <f t="shared" si="183"/>
        <v>-1.7705136203682574</v>
      </c>
      <c r="AH233" s="200">
        <f t="shared" si="183"/>
        <v>-1.7974024986496131</v>
      </c>
      <c r="AI233" s="200">
        <f t="shared" si="183"/>
        <v>-1.7609714513485772</v>
      </c>
      <c r="AJ233" s="200">
        <f t="shared" si="183"/>
        <v>-1.7718624934666862</v>
      </c>
      <c r="AK233" s="200">
        <f t="shared" si="183"/>
        <v>-1.944676088241639</v>
      </c>
      <c r="AL233" s="235">
        <f t="shared" si="183"/>
        <v>-1.944676088241639</v>
      </c>
    </row>
    <row r="234" spans="1:39" s="34" customFormat="1" outlineLevel="1" x14ac:dyDescent="0.25">
      <c r="A234" s="231"/>
      <c r="B234" s="36" t="s">
        <v>204</v>
      </c>
      <c r="C234" s="163"/>
      <c r="D234" s="47">
        <f>+D206/(D206+D209)</f>
        <v>0</v>
      </c>
      <c r="E234" s="47">
        <f>+E206/(E206+E209)</f>
        <v>8.1375793413985785E-3</v>
      </c>
      <c r="F234" s="200">
        <f>+F206/(F206+F209)</f>
        <v>0</v>
      </c>
      <c r="G234" s="200">
        <f>+G206/(G206+G209)</f>
        <v>0</v>
      </c>
      <c r="H234" s="235"/>
      <c r="I234" s="200">
        <f>+I206/(I206+I209)</f>
        <v>8.5546532987690757E-2</v>
      </c>
      <c r="J234" s="200">
        <f>+J206/(J206+J209)</f>
        <v>0.16813887778982817</v>
      </c>
      <c r="K234" s="200">
        <f>+K206/(K206+K209)</f>
        <v>0.12987992894360045</v>
      </c>
      <c r="L234" s="200">
        <f t="shared" ref="L234:AL234" si="184">+L206/(L206+L209)</f>
        <v>0.10668691711345739</v>
      </c>
      <c r="M234" s="235"/>
      <c r="N234" s="200">
        <f t="shared" si="184"/>
        <v>8.2223628718424327E-2</v>
      </c>
      <c r="O234" s="200">
        <f t="shared" si="184"/>
        <v>5.6382766241213342E-2</v>
      </c>
      <c r="P234" s="200">
        <f t="shared" si="184"/>
        <v>2.9044597810881936E-2</v>
      </c>
      <c r="Q234" s="200">
        <f t="shared" si="184"/>
        <v>6.827989293712787E-2</v>
      </c>
      <c r="R234" s="235">
        <f t="shared" si="184"/>
        <v>6.827989293712787E-2</v>
      </c>
      <c r="S234" s="200">
        <f t="shared" si="184"/>
        <v>3.9623889756907789E-2</v>
      </c>
      <c r="T234" s="200">
        <f t="shared" si="184"/>
        <v>9.1492637021115923E-3</v>
      </c>
      <c r="U234" s="200">
        <f t="shared" si="184"/>
        <v>-2.332278433548813E-2</v>
      </c>
      <c r="V234" s="200">
        <f t="shared" si="184"/>
        <v>7.3351604062550382E-2</v>
      </c>
      <c r="W234" s="235">
        <f t="shared" si="184"/>
        <v>7.3351604062550382E-2</v>
      </c>
      <c r="X234" s="200">
        <f t="shared" si="184"/>
        <v>4.2696220930232558E-2</v>
      </c>
      <c r="Y234" s="200">
        <f t="shared" si="184"/>
        <v>9.9431595759673051E-3</v>
      </c>
      <c r="Z234" s="200">
        <f t="shared" si="184"/>
        <v>-2.5130516553714451E-2</v>
      </c>
      <c r="AA234" s="200">
        <f t="shared" si="184"/>
        <v>8.2485429220586784E-2</v>
      </c>
      <c r="AB234" s="235">
        <f t="shared" si="184"/>
        <v>8.2485429220586784E-2</v>
      </c>
      <c r="AC234" s="200">
        <f t="shared" si="184"/>
        <v>4.8246887435315015E-2</v>
      </c>
      <c r="AD234" s="200">
        <f t="shared" si="184"/>
        <v>1.1353959693443088E-2</v>
      </c>
      <c r="AE234" s="200">
        <f t="shared" si="184"/>
        <v>-2.8514478711034824E-2</v>
      </c>
      <c r="AF234" s="200">
        <f t="shared" si="184"/>
        <v>8.9966453186947237E-2</v>
      </c>
      <c r="AG234" s="235">
        <f t="shared" si="184"/>
        <v>8.9966453186947237E-2</v>
      </c>
      <c r="AH234" s="200">
        <f t="shared" si="184"/>
        <v>5.2839911871242387E-2</v>
      </c>
      <c r="AI234" s="200">
        <f t="shared" si="184"/>
        <v>1.2555233293753527E-2</v>
      </c>
      <c r="AJ234" s="200">
        <f t="shared" si="184"/>
        <v>-3.1308449215255753E-2</v>
      </c>
      <c r="AK234" s="200">
        <f t="shared" si="184"/>
        <v>9.8564895126951588E-2</v>
      </c>
      <c r="AL234" s="235">
        <f t="shared" si="184"/>
        <v>9.8564895126951588E-2</v>
      </c>
    </row>
    <row r="235" spans="1:39" s="34" customFormat="1" outlineLevel="1" x14ac:dyDescent="0.25">
      <c r="A235" s="231"/>
      <c r="B235" s="60" t="s">
        <v>198</v>
      </c>
      <c r="C235" s="163"/>
      <c r="D235" s="47">
        <f>+D194/(D205+D211)</f>
        <v>7.7585075018799465E-2</v>
      </c>
      <c r="E235" s="47">
        <f>+E194/(E205+E211)</f>
        <v>0.12468259571674534</v>
      </c>
      <c r="F235" s="191">
        <f t="shared" ref="F235:K235" si="185">+F194/(F205+F211)</f>
        <v>0.19119242713361023</v>
      </c>
      <c r="G235" s="191">
        <f t="shared" si="185"/>
        <v>0.22035590386103276</v>
      </c>
      <c r="H235" s="230">
        <f t="shared" si="185"/>
        <v>0.22035590386103276</v>
      </c>
      <c r="I235" s="229">
        <f t="shared" si="185"/>
        <v>0.20507171706404201</v>
      </c>
      <c r="J235" s="229">
        <f t="shared" si="185"/>
        <v>0.21050752296288999</v>
      </c>
      <c r="K235" s="191">
        <f t="shared" si="185"/>
        <v>0.2146584586535733</v>
      </c>
      <c r="L235" s="356">
        <f>K235</f>
        <v>0.2146584586535733</v>
      </c>
      <c r="M235" s="230"/>
      <c r="N235" s="365">
        <f>L235</f>
        <v>0.2146584586535733</v>
      </c>
      <c r="O235" s="365">
        <f t="shared" ref="O235:Q236" si="186">N235</f>
        <v>0.2146584586535733</v>
      </c>
      <c r="P235" s="356">
        <f t="shared" si="186"/>
        <v>0.2146584586535733</v>
      </c>
      <c r="Q235" s="356">
        <f t="shared" si="186"/>
        <v>0.2146584586535733</v>
      </c>
      <c r="R235" s="230"/>
      <c r="S235" s="365">
        <f>Q235</f>
        <v>0.2146584586535733</v>
      </c>
      <c r="T235" s="365">
        <f t="shared" ref="T235:V236" si="187">S235</f>
        <v>0.2146584586535733</v>
      </c>
      <c r="U235" s="356">
        <f t="shared" si="187"/>
        <v>0.2146584586535733</v>
      </c>
      <c r="V235" s="356">
        <f t="shared" si="187"/>
        <v>0.2146584586535733</v>
      </c>
      <c r="W235" s="230"/>
      <c r="X235" s="365">
        <f>V235</f>
        <v>0.2146584586535733</v>
      </c>
      <c r="Y235" s="365">
        <f t="shared" ref="Y235:AA236" si="188">X235</f>
        <v>0.2146584586535733</v>
      </c>
      <c r="Z235" s="356">
        <f t="shared" si="188"/>
        <v>0.2146584586535733</v>
      </c>
      <c r="AA235" s="356">
        <f t="shared" si="188"/>
        <v>0.2146584586535733</v>
      </c>
      <c r="AB235" s="235"/>
      <c r="AC235" s="365">
        <f>AA235</f>
        <v>0.2146584586535733</v>
      </c>
      <c r="AD235" s="365">
        <f t="shared" ref="AD235:AF236" si="189">AC235</f>
        <v>0.2146584586535733</v>
      </c>
      <c r="AE235" s="356">
        <f t="shared" si="189"/>
        <v>0.2146584586535733</v>
      </c>
      <c r="AF235" s="356">
        <f t="shared" si="189"/>
        <v>0.2146584586535733</v>
      </c>
      <c r="AG235" s="235"/>
      <c r="AH235" s="365">
        <f>AF235</f>
        <v>0.2146584586535733</v>
      </c>
      <c r="AI235" s="365">
        <f t="shared" ref="AI235:AK236" si="190">AH235</f>
        <v>0.2146584586535733</v>
      </c>
      <c r="AJ235" s="356">
        <f t="shared" si="190"/>
        <v>0.2146584586535733</v>
      </c>
      <c r="AK235" s="356">
        <f t="shared" si="190"/>
        <v>0.2146584586535733</v>
      </c>
      <c r="AL235" s="235"/>
    </row>
    <row r="236" spans="1:39" outlineLevel="1" x14ac:dyDescent="0.25">
      <c r="A236" s="166"/>
      <c r="B236" s="70" t="s">
        <v>47</v>
      </c>
      <c r="C236" s="164"/>
      <c r="D236" s="147"/>
      <c r="E236" s="147">
        <f>+E242/((E192+D192)/2)</f>
        <v>6.122482504846076E-2</v>
      </c>
      <c r="F236" s="236">
        <f>+F242/((F192+E192)/2)</f>
        <v>5.8442138063667992E-2</v>
      </c>
      <c r="G236" s="236">
        <f>+G242/((G192+F192)/2)</f>
        <v>5.7957922263164152E-2</v>
      </c>
      <c r="H236" s="237">
        <f>+H242/((H192+G192)/2)</f>
        <v>0.2253370026587061</v>
      </c>
      <c r="I236" s="238">
        <f>+I242/((I192+G192)/2)</f>
        <v>5.75858250276855E-2</v>
      </c>
      <c r="J236" s="238">
        <f>+J242/((J192+I192)/2)</f>
        <v>5.9117695395957084E-2</v>
      </c>
      <c r="K236" s="236">
        <f>+K242/((K192+J192)/2)</f>
        <v>5.9467301657388859E-2</v>
      </c>
      <c r="L236" s="363">
        <f>K236</f>
        <v>5.9467301657388859E-2</v>
      </c>
      <c r="M236" s="168"/>
      <c r="N236" s="363">
        <f>L236</f>
        <v>5.9467301657388859E-2</v>
      </c>
      <c r="O236" s="363">
        <f t="shared" si="186"/>
        <v>5.9467301657388859E-2</v>
      </c>
      <c r="P236" s="363">
        <f t="shared" si="186"/>
        <v>5.9467301657388859E-2</v>
      </c>
      <c r="Q236" s="363">
        <f t="shared" si="186"/>
        <v>5.9467301657388859E-2</v>
      </c>
      <c r="R236" s="236"/>
      <c r="S236" s="363">
        <f>Q236</f>
        <v>5.9467301657388859E-2</v>
      </c>
      <c r="T236" s="363">
        <f t="shared" si="187"/>
        <v>5.9467301657388859E-2</v>
      </c>
      <c r="U236" s="363">
        <f t="shared" si="187"/>
        <v>5.9467301657388859E-2</v>
      </c>
      <c r="V236" s="363">
        <f t="shared" si="187"/>
        <v>5.9467301657388859E-2</v>
      </c>
      <c r="W236" s="236"/>
      <c r="X236" s="363">
        <f>V236</f>
        <v>5.9467301657388859E-2</v>
      </c>
      <c r="Y236" s="363">
        <f t="shared" si="188"/>
        <v>5.9467301657388859E-2</v>
      </c>
      <c r="Z236" s="363">
        <f t="shared" si="188"/>
        <v>5.9467301657388859E-2</v>
      </c>
      <c r="AA236" s="363">
        <f t="shared" si="188"/>
        <v>5.9467301657388859E-2</v>
      </c>
      <c r="AB236" s="236"/>
      <c r="AC236" s="363">
        <f>AA236</f>
        <v>5.9467301657388859E-2</v>
      </c>
      <c r="AD236" s="363">
        <f t="shared" si="189"/>
        <v>5.9467301657388859E-2</v>
      </c>
      <c r="AE236" s="363">
        <f t="shared" si="189"/>
        <v>5.9467301657388859E-2</v>
      </c>
      <c r="AF236" s="363">
        <f t="shared" si="189"/>
        <v>5.9467301657388859E-2</v>
      </c>
      <c r="AG236" s="236"/>
      <c r="AH236" s="363">
        <f>AF236</f>
        <v>5.9467301657388859E-2</v>
      </c>
      <c r="AI236" s="363">
        <f t="shared" si="190"/>
        <v>5.9467301657388859E-2</v>
      </c>
      <c r="AJ236" s="363">
        <f t="shared" si="190"/>
        <v>5.9467301657388859E-2</v>
      </c>
      <c r="AK236" s="363">
        <f t="shared" si="190"/>
        <v>5.9467301657388859E-2</v>
      </c>
      <c r="AL236" s="236"/>
      <c r="AM236" s="169"/>
    </row>
    <row r="237" spans="1:39" x14ac:dyDescent="0.25">
      <c r="A237" s="166"/>
      <c r="B237" s="12"/>
      <c r="C237" s="12"/>
      <c r="D237" s="5"/>
      <c r="E237" s="5"/>
      <c r="F237" s="5"/>
      <c r="G237" s="5"/>
    </row>
    <row r="238" spans="1:39" ht="15.75" x14ac:dyDescent="0.25">
      <c r="A238" s="166"/>
      <c r="B238" s="448" t="s">
        <v>71</v>
      </c>
      <c r="C238" s="467"/>
      <c r="D238" s="22" t="s">
        <v>59</v>
      </c>
      <c r="E238" s="22" t="s">
        <v>212</v>
      </c>
      <c r="F238" s="22" t="s">
        <v>214</v>
      </c>
      <c r="G238" s="22" t="s">
        <v>73</v>
      </c>
      <c r="H238" s="76" t="s">
        <v>73</v>
      </c>
      <c r="I238" s="22" t="s">
        <v>74</v>
      </c>
      <c r="J238" s="22" t="s">
        <v>75</v>
      </c>
      <c r="K238" s="22" t="s">
        <v>76</v>
      </c>
      <c r="L238" s="24" t="s">
        <v>77</v>
      </c>
      <c r="M238" s="78" t="s">
        <v>77</v>
      </c>
      <c r="N238" s="24" t="s">
        <v>78</v>
      </c>
      <c r="O238" s="24" t="s">
        <v>79</v>
      </c>
      <c r="P238" s="24" t="s">
        <v>80</v>
      </c>
      <c r="Q238" s="24" t="s">
        <v>81</v>
      </c>
      <c r="R238" s="78" t="s">
        <v>81</v>
      </c>
      <c r="S238" s="24" t="s">
        <v>82</v>
      </c>
      <c r="T238" s="24" t="s">
        <v>83</v>
      </c>
      <c r="U238" s="24" t="s">
        <v>84</v>
      </c>
      <c r="V238" s="24" t="s">
        <v>85</v>
      </c>
      <c r="W238" s="78" t="s">
        <v>85</v>
      </c>
      <c r="X238" s="24" t="s">
        <v>86</v>
      </c>
      <c r="Y238" s="24" t="s">
        <v>87</v>
      </c>
      <c r="Z238" s="24" t="s">
        <v>88</v>
      </c>
      <c r="AA238" s="24" t="s">
        <v>89</v>
      </c>
      <c r="AB238" s="78" t="s">
        <v>89</v>
      </c>
      <c r="AC238" s="24" t="s">
        <v>216</v>
      </c>
      <c r="AD238" s="24" t="s">
        <v>217</v>
      </c>
      <c r="AE238" s="24" t="s">
        <v>218</v>
      </c>
      <c r="AF238" s="24" t="s">
        <v>219</v>
      </c>
      <c r="AG238" s="78" t="s">
        <v>219</v>
      </c>
      <c r="AH238" s="24" t="s">
        <v>249</v>
      </c>
      <c r="AI238" s="24" t="s">
        <v>250</v>
      </c>
      <c r="AJ238" s="24" t="s">
        <v>251</v>
      </c>
      <c r="AK238" s="24" t="s">
        <v>252</v>
      </c>
      <c r="AL238" s="78" t="s">
        <v>252</v>
      </c>
    </row>
    <row r="239" spans="1:39" ht="30" customHeight="1" x14ac:dyDescent="0.4">
      <c r="A239" s="166"/>
      <c r="B239" s="64" t="s">
        <v>3</v>
      </c>
      <c r="C239" s="80"/>
      <c r="D239" s="23" t="s">
        <v>72</v>
      </c>
      <c r="E239" s="23" t="s">
        <v>211</v>
      </c>
      <c r="F239" s="23" t="s">
        <v>215</v>
      </c>
      <c r="G239" s="23" t="s">
        <v>225</v>
      </c>
      <c r="H239" s="77" t="s">
        <v>226</v>
      </c>
      <c r="I239" s="23" t="s">
        <v>227</v>
      </c>
      <c r="J239" s="23" t="s">
        <v>228</v>
      </c>
      <c r="K239" s="23" t="s">
        <v>229</v>
      </c>
      <c r="L239" s="21" t="s">
        <v>90</v>
      </c>
      <c r="M239" s="79" t="s">
        <v>91</v>
      </c>
      <c r="N239" s="21" t="s">
        <v>92</v>
      </c>
      <c r="O239" s="21" t="s">
        <v>93</v>
      </c>
      <c r="P239" s="21" t="s">
        <v>94</v>
      </c>
      <c r="Q239" s="21" t="s">
        <v>95</v>
      </c>
      <c r="R239" s="79" t="s">
        <v>96</v>
      </c>
      <c r="S239" s="21" t="s">
        <v>97</v>
      </c>
      <c r="T239" s="21" t="s">
        <v>98</v>
      </c>
      <c r="U239" s="21" t="s">
        <v>99</v>
      </c>
      <c r="V239" s="21" t="s">
        <v>100</v>
      </c>
      <c r="W239" s="79" t="s">
        <v>101</v>
      </c>
      <c r="X239" s="21" t="s">
        <v>102</v>
      </c>
      <c r="Y239" s="21" t="s">
        <v>103</v>
      </c>
      <c r="Z239" s="21" t="s">
        <v>104</v>
      </c>
      <c r="AA239" s="21" t="s">
        <v>105</v>
      </c>
      <c r="AB239" s="79" t="s">
        <v>106</v>
      </c>
      <c r="AC239" s="21" t="s">
        <v>220</v>
      </c>
      <c r="AD239" s="21" t="s">
        <v>221</v>
      </c>
      <c r="AE239" s="21" t="s">
        <v>222</v>
      </c>
      <c r="AF239" s="21" t="s">
        <v>223</v>
      </c>
      <c r="AG239" s="79" t="s">
        <v>224</v>
      </c>
      <c r="AH239" s="21" t="s">
        <v>253</v>
      </c>
      <c r="AI239" s="21" t="s">
        <v>254</v>
      </c>
      <c r="AJ239" s="21" t="s">
        <v>255</v>
      </c>
      <c r="AK239" s="21" t="s">
        <v>256</v>
      </c>
      <c r="AL239" s="79" t="s">
        <v>257</v>
      </c>
    </row>
    <row r="240" spans="1:39" outlineLevel="1" x14ac:dyDescent="0.25">
      <c r="A240" s="166"/>
      <c r="B240" s="461" t="s">
        <v>11</v>
      </c>
      <c r="C240" s="462"/>
      <c r="D240" s="5"/>
      <c r="E240" s="5"/>
      <c r="F240" s="5"/>
      <c r="G240" s="5"/>
      <c r="H240" s="8"/>
      <c r="I240" s="5"/>
      <c r="J240" s="5"/>
      <c r="K240" s="226"/>
      <c r="L240" s="320"/>
      <c r="M240" s="321"/>
      <c r="N240" s="320"/>
      <c r="O240" s="320"/>
      <c r="P240" s="320"/>
      <c r="Q240" s="320"/>
      <c r="R240" s="321"/>
      <c r="S240" s="320"/>
      <c r="T240" s="320"/>
      <c r="U240" s="320"/>
      <c r="V240" s="320"/>
      <c r="W240" s="321"/>
      <c r="X240" s="320"/>
      <c r="Y240" s="320"/>
      <c r="Z240" s="320"/>
      <c r="AA240" s="320"/>
      <c r="AB240" s="321"/>
      <c r="AC240" s="320"/>
      <c r="AD240" s="320"/>
      <c r="AE240" s="320"/>
      <c r="AF240" s="320"/>
      <c r="AG240" s="321"/>
      <c r="AH240" s="320"/>
      <c r="AI240" s="320"/>
      <c r="AJ240" s="320"/>
      <c r="AK240" s="320"/>
      <c r="AL240" s="321"/>
    </row>
    <row r="241" spans="1:38" outlineLevel="1" x14ac:dyDescent="0.25">
      <c r="A241" s="166"/>
      <c r="B241" s="48" t="s">
        <v>181</v>
      </c>
      <c r="C241" s="89"/>
      <c r="D241" s="25">
        <f>D33</f>
        <v>760.40000000000043</v>
      </c>
      <c r="E241" s="168">
        <f>E33-0.2</f>
        <v>658.59999999999968</v>
      </c>
      <c r="F241" s="25">
        <f>F33</f>
        <v>1373.200000000001</v>
      </c>
      <c r="G241" s="25">
        <f>G33+0.2</f>
        <v>802.400000000001</v>
      </c>
      <c r="H241" s="26">
        <f>H33</f>
        <v>3594.6000000000054</v>
      </c>
      <c r="I241" s="25">
        <f>I33</f>
        <v>885.29999999999882</v>
      </c>
      <c r="J241" s="25">
        <f>J33</f>
        <v>324.79999999999905</v>
      </c>
      <c r="K241" s="25">
        <f>K33</f>
        <v>-678.09999999999923</v>
      </c>
      <c r="L241" s="168">
        <f>L33</f>
        <v>190.75444237456696</v>
      </c>
      <c r="M241" s="169">
        <f>SUM(I241:L241)</f>
        <v>722.75444237456554</v>
      </c>
      <c r="N241" s="168">
        <f>N33</f>
        <v>609.66728697538451</v>
      </c>
      <c r="O241" s="168">
        <f>O33</f>
        <v>609.61791902868322</v>
      </c>
      <c r="P241" s="168">
        <f>P33</f>
        <v>696.08112422117324</v>
      </c>
      <c r="Q241" s="168">
        <f>Q33</f>
        <v>768.46520516116493</v>
      </c>
      <c r="R241" s="168">
        <f>R33</f>
        <v>2683.83153538641</v>
      </c>
      <c r="S241" s="168">
        <f t="shared" ref="S241:AG241" si="191">S33</f>
        <v>592.76356249572461</v>
      </c>
      <c r="T241" s="168">
        <f t="shared" si="191"/>
        <v>674.94804039480061</v>
      </c>
      <c r="U241" s="168">
        <f t="shared" si="191"/>
        <v>772.16642655569069</v>
      </c>
      <c r="V241" s="168">
        <f t="shared" si="191"/>
        <v>851.51991528171936</v>
      </c>
      <c r="W241" s="168">
        <f t="shared" si="191"/>
        <v>2891.3979447279353</v>
      </c>
      <c r="X241" s="168">
        <f t="shared" si="191"/>
        <v>897.52772380732404</v>
      </c>
      <c r="Y241" s="168">
        <f t="shared" si="191"/>
        <v>722.304197464146</v>
      </c>
      <c r="Z241" s="168">
        <f t="shared" si="191"/>
        <v>832.28259728211538</v>
      </c>
      <c r="AA241" s="168">
        <f t="shared" si="191"/>
        <v>906.75943500318886</v>
      </c>
      <c r="AB241" s="168">
        <f t="shared" si="191"/>
        <v>3358.8739535567775</v>
      </c>
      <c r="AC241" s="168">
        <f t="shared" si="191"/>
        <v>961.6549999315381</v>
      </c>
      <c r="AD241" s="168">
        <f t="shared" si="191"/>
        <v>776.68139007818934</v>
      </c>
      <c r="AE241" s="168">
        <f t="shared" si="191"/>
        <v>909.6900452980608</v>
      </c>
      <c r="AF241" s="168">
        <f t="shared" si="191"/>
        <v>980.47176255005456</v>
      </c>
      <c r="AG241" s="168">
        <f t="shared" si="191"/>
        <v>3628.498197857848</v>
      </c>
      <c r="AH241" s="168">
        <f>AH33</f>
        <v>1038.2800270969126</v>
      </c>
      <c r="AI241" s="168">
        <f>AI33</f>
        <v>833.16227787312005</v>
      </c>
      <c r="AJ241" s="168">
        <f>AJ33</f>
        <v>982.26481115502463</v>
      </c>
      <c r="AK241" s="168">
        <f>AK33</f>
        <v>1059.441750071252</v>
      </c>
      <c r="AL241" s="168">
        <f>AL33</f>
        <v>3913.1488661963076</v>
      </c>
    </row>
    <row r="242" spans="1:38" outlineLevel="1" x14ac:dyDescent="0.25">
      <c r="A242" s="166"/>
      <c r="B242" s="48" t="s">
        <v>45</v>
      </c>
      <c r="C242" s="89"/>
      <c r="D242" s="25">
        <v>350.8</v>
      </c>
      <c r="E242" s="25">
        <f>723.5-D242</f>
        <v>372.7</v>
      </c>
      <c r="F242" s="25">
        <f>1083.6-E242-D242</f>
        <v>360.09999999999985</v>
      </c>
      <c r="G242" s="25">
        <f>1449.3-F242-E242-D242</f>
        <v>365.7</v>
      </c>
      <c r="H242" s="26">
        <f t="shared" ref="H242:H248" si="192">SUM(D242:G242)</f>
        <v>1449.3</v>
      </c>
      <c r="I242" s="25">
        <v>369.2</v>
      </c>
      <c r="J242" s="25">
        <f>746.9-I242</f>
        <v>377.7</v>
      </c>
      <c r="K242" s="25">
        <f>1124-J242-I242</f>
        <v>377.09999999999997</v>
      </c>
      <c r="L242" s="168">
        <f>(K192*L236)</f>
        <v>374.3823443142573</v>
      </c>
      <c r="M242" s="169">
        <f t="shared" ref="M242:M261" si="193">SUM(I242:L242)</f>
        <v>1498.3823443142574</v>
      </c>
      <c r="N242" s="168">
        <f>(L192*N236)</f>
        <v>373.74377044126737</v>
      </c>
      <c r="O242" s="168">
        <f>(N192*O236)</f>
        <v>376.83554621821588</v>
      </c>
      <c r="P242" s="168">
        <f>(O192*P236)</f>
        <v>378.62487247350606</v>
      </c>
      <c r="Q242" s="168">
        <f>(P192*Q236)</f>
        <v>381.18850946710648</v>
      </c>
      <c r="R242" s="169">
        <f t="shared" ref="R242:R248" si="194">SUM(N242:Q242)</f>
        <v>1510.3926986000959</v>
      </c>
      <c r="S242" s="168">
        <f>(Q192*S236)</f>
        <v>384.15731555889414</v>
      </c>
      <c r="T242" s="168">
        <f>(S192*T236)</f>
        <v>389.58714280512856</v>
      </c>
      <c r="U242" s="168">
        <f>(T192*U236)</f>
        <v>391.75687276525747</v>
      </c>
      <c r="V242" s="168">
        <f>(U192*V236)</f>
        <v>394.99330329664031</v>
      </c>
      <c r="W242" s="169">
        <f t="shared" ref="W242:W248" si="195">SUM(S242:V242)</f>
        <v>1560.4946344259204</v>
      </c>
      <c r="X242" s="168">
        <f>(V192*X236)</f>
        <v>398.7125939708983</v>
      </c>
      <c r="Y242" s="168">
        <f>(X192*Y236)</f>
        <v>404.67783096362245</v>
      </c>
      <c r="Z242" s="168">
        <f>(Y192*Z236)</f>
        <v>407.13643926462015</v>
      </c>
      <c r="AA242" s="168">
        <f>(Z192*AA236)</f>
        <v>410.89167775539431</v>
      </c>
      <c r="AB242" s="169">
        <f t="shared" ref="AB242:AB248" si="196">SUM(X242:AA242)</f>
        <v>1621.4185419545352</v>
      </c>
      <c r="AC242" s="168">
        <f>(AA192*AC236)</f>
        <v>414.9513426833978</v>
      </c>
      <c r="AD242" s="168">
        <f>(AC192*AD236)</f>
        <v>421.73416038163788</v>
      </c>
      <c r="AE242" s="168">
        <f>(AD192*AE236)</f>
        <v>424.57771399323371</v>
      </c>
      <c r="AF242" s="168">
        <f>(AE192*AF236)</f>
        <v>428.96965281760907</v>
      </c>
      <c r="AG242" s="169">
        <f t="shared" ref="AG242:AG248" si="197">SUM(AC242:AF242)</f>
        <v>1690.2328698758784</v>
      </c>
      <c r="AH242" s="385">
        <f>(AF192*AH236)</f>
        <v>433.49770495613672</v>
      </c>
      <c r="AI242" s="385">
        <f>(AH192*AI236)</f>
        <v>440.97284262886365</v>
      </c>
      <c r="AJ242" s="385">
        <f>(AI192*AJ236)</f>
        <v>444.04298933548802</v>
      </c>
      <c r="AK242" s="385">
        <f>(AJ192*AK236)</f>
        <v>448.96184412149319</v>
      </c>
      <c r="AL242" s="386">
        <f t="shared" ref="AL242:AL247" si="198">SUM(AH242:AK242)</f>
        <v>1767.4753810419816</v>
      </c>
    </row>
    <row r="243" spans="1:38" outlineLevel="1" x14ac:dyDescent="0.25">
      <c r="A243" s="166"/>
      <c r="B243" s="48" t="s">
        <v>182</v>
      </c>
      <c r="C243" s="89"/>
      <c r="D243" s="25">
        <v>-354.6</v>
      </c>
      <c r="E243" s="25">
        <f>-714.5-D243</f>
        <v>-359.9</v>
      </c>
      <c r="F243" s="25">
        <f>-1243.5-E243-D243</f>
        <v>-529</v>
      </c>
      <c r="G243" s="168">
        <f>-1495.4-F243-E243-D243</f>
        <v>-251.90000000000009</v>
      </c>
      <c r="H243" s="26">
        <f>SUM(D243:G243)</f>
        <v>-1495.4</v>
      </c>
      <c r="I243" s="25">
        <v>10.4</v>
      </c>
      <c r="J243" s="25">
        <f>47.7-I243</f>
        <v>37.300000000000004</v>
      </c>
      <c r="K243" s="25">
        <f>20-J243-I243</f>
        <v>-27.700000000000003</v>
      </c>
      <c r="L243" s="168">
        <f>-(L194-K194)</f>
        <v>8.8446583352865673</v>
      </c>
      <c r="M243" s="169">
        <f t="shared" si="193"/>
        <v>28.844658335286567</v>
      </c>
      <c r="N243" s="168">
        <f>-(N194-L194)</f>
        <v>-87.609840731318855</v>
      </c>
      <c r="O243" s="168">
        <f>-(O194-N194)</f>
        <v>66.296905815755736</v>
      </c>
      <c r="P243" s="168">
        <f>-(P194-O194)</f>
        <v>9.0715950922078719</v>
      </c>
      <c r="Q243" s="168">
        <f>-(Q194-P194)</f>
        <v>9.0146914919803294</v>
      </c>
      <c r="R243" s="169">
        <f t="shared" si="194"/>
        <v>-3.2266483313749177</v>
      </c>
      <c r="S243" s="168">
        <f>-(S194-Q194)</f>
        <v>-95.444287103977558</v>
      </c>
      <c r="T243" s="168">
        <f>-(T194-S194)</f>
        <v>71.240583066097543</v>
      </c>
      <c r="U243" s="168">
        <f>-(U194-T194)</f>
        <v>9.2672093349319766</v>
      </c>
      <c r="V243" s="168">
        <f>-(V194-U194)</f>
        <v>9.2078118320046087</v>
      </c>
      <c r="W243" s="169">
        <f t="shared" si="195"/>
        <v>-5.7286828709434303</v>
      </c>
      <c r="X243" s="168">
        <f>-(X194-V194)</f>
        <v>-103.92013803186114</v>
      </c>
      <c r="Y243" s="168">
        <f>-(Y194-X194)</f>
        <v>76.603538445200911</v>
      </c>
      <c r="Z243" s="168">
        <f>-(Z194-Y194)</f>
        <v>9.4879270180895219</v>
      </c>
      <c r="AA243" s="168">
        <f>-(AA194-Z194)</f>
        <v>9.4257931307349736</v>
      </c>
      <c r="AB243" s="169">
        <f t="shared" si="196"/>
        <v>-8.4028794378357361</v>
      </c>
      <c r="AC243" s="168">
        <f>-(AC194-AA194)</f>
        <v>-113.09077896024382</v>
      </c>
      <c r="AD243" s="168">
        <f>-(AD194-AC194)</f>
        <v>82.420434876258241</v>
      </c>
      <c r="AE243" s="168">
        <f>-(AE194-AD194)</f>
        <v>9.7356909931661448</v>
      </c>
      <c r="AF243" s="168">
        <f>-(AF194-AE194)</f>
        <v>9.6705586751168084</v>
      </c>
      <c r="AG243" s="169">
        <f t="shared" si="197"/>
        <v>-11.26409441570263</v>
      </c>
      <c r="AH243" s="385">
        <f>-(AH194-AF194)</f>
        <v>-123.01402462639453</v>
      </c>
      <c r="AI243" s="385">
        <f>-(AI194-AH194)</f>
        <v>88.728814920519426</v>
      </c>
      <c r="AJ243" s="385">
        <f>-(AJ194-AI194)</f>
        <v>10.012607631179208</v>
      </c>
      <c r="AK243" s="385">
        <f>-(AK194-AJ194)</f>
        <v>9.9441936386001544</v>
      </c>
      <c r="AL243" s="386">
        <f t="shared" si="198"/>
        <v>-14.328408436095742</v>
      </c>
    </row>
    <row r="244" spans="1:38" outlineLevel="1" x14ac:dyDescent="0.25">
      <c r="A244" s="166"/>
      <c r="B244" s="48" t="s">
        <v>183</v>
      </c>
      <c r="C244" s="89"/>
      <c r="D244" s="25">
        <v>-55</v>
      </c>
      <c r="E244" s="25">
        <f>-108.2-D244</f>
        <v>-53.2</v>
      </c>
      <c r="F244" s="25">
        <f>-174.1-E244-D244</f>
        <v>-65.899999999999991</v>
      </c>
      <c r="G244" s="168">
        <f>-250.6-F244-E244-D244</f>
        <v>-76.5</v>
      </c>
      <c r="H244" s="26">
        <f t="shared" si="192"/>
        <v>-250.6</v>
      </c>
      <c r="I244" s="25">
        <v>-62.9</v>
      </c>
      <c r="J244" s="25">
        <f>-116.3-I244</f>
        <v>-53.4</v>
      </c>
      <c r="K244" s="25">
        <f>-182.3-J244-I244</f>
        <v>-66</v>
      </c>
      <c r="L244" s="168">
        <f>-L24</f>
        <v>-75.524999999999991</v>
      </c>
      <c r="M244" s="169">
        <f t="shared" si="193"/>
        <v>-257.82499999999999</v>
      </c>
      <c r="N244" s="168">
        <f>-N24</f>
        <v>-71.431249999999991</v>
      </c>
      <c r="O244" s="168">
        <f>-O24</f>
        <v>-70.814062499999991</v>
      </c>
      <c r="P244" s="168">
        <f>-P24</f>
        <v>-71.542578124999991</v>
      </c>
      <c r="Q244" s="168">
        <f>-Q24</f>
        <v>-72.328222656250006</v>
      </c>
      <c r="R244" s="169">
        <f t="shared" si="194"/>
        <v>-286.11611328125002</v>
      </c>
      <c r="S244" s="168">
        <f>-S24</f>
        <v>-71.529028320312506</v>
      </c>
      <c r="T244" s="168">
        <f>-T24</f>
        <v>-71.553472900390616</v>
      </c>
      <c r="U244" s="168">
        <f>-U24</f>
        <v>-71.738325500488287</v>
      </c>
      <c r="V244" s="168">
        <f>-V24</f>
        <v>-71.787262344360357</v>
      </c>
      <c r="W244" s="169">
        <f t="shared" si="195"/>
        <v>-286.60808906555178</v>
      </c>
      <c r="X244" s="168">
        <f>-X24</f>
        <v>-71.652022266387931</v>
      </c>
      <c r="Y244" s="168">
        <f>-Y24</f>
        <v>-71.682770752906805</v>
      </c>
      <c r="Z244" s="168">
        <f>-Z24</f>
        <v>-71.715095216035849</v>
      </c>
      <c r="AA244" s="168">
        <f>-AA24</f>
        <v>-71.709287644922739</v>
      </c>
      <c r="AB244" s="169">
        <f t="shared" si="196"/>
        <v>-286.75917588025334</v>
      </c>
      <c r="AC244" s="168">
        <f>-AC24</f>
        <v>-71.689793970063334</v>
      </c>
      <c r="AD244" s="168">
        <f>-AD24</f>
        <v>-71.699236895982182</v>
      </c>
      <c r="AE244" s="168">
        <f>-AE24</f>
        <v>-71.703353431751026</v>
      </c>
      <c r="AF244" s="168">
        <f>-AF24</f>
        <v>-71.70041798567982</v>
      </c>
      <c r="AG244" s="169">
        <f t="shared" si="197"/>
        <v>-286.79280228347636</v>
      </c>
      <c r="AH244" s="385">
        <f>-AH24</f>
        <v>-71.698200570869091</v>
      </c>
      <c r="AI244" s="385">
        <f>-AI24</f>
        <v>-71.70030222107053</v>
      </c>
      <c r="AJ244" s="385">
        <f>-AJ24</f>
        <v>-71.700568552342617</v>
      </c>
      <c r="AK244" s="385">
        <f>-AK24</f>
        <v>-71.699872332490514</v>
      </c>
      <c r="AL244" s="386">
        <f t="shared" si="198"/>
        <v>-286.79894367677275</v>
      </c>
    </row>
    <row r="245" spans="1:38" outlineLevel="1" x14ac:dyDescent="0.25">
      <c r="A245" s="166"/>
      <c r="B245" s="48" t="s">
        <v>184</v>
      </c>
      <c r="C245" s="89"/>
      <c r="D245" s="25">
        <v>63.7</v>
      </c>
      <c r="E245" s="25">
        <f>93.3-D245</f>
        <v>29.599999999999994</v>
      </c>
      <c r="F245" s="25">
        <f>163.7-E245-D245</f>
        <v>70.399999999999991</v>
      </c>
      <c r="G245" s="168">
        <f>216.8-F245-E245-D245</f>
        <v>53.100000000000037</v>
      </c>
      <c r="H245" s="26">
        <f t="shared" si="192"/>
        <v>216.8</v>
      </c>
      <c r="I245" s="25">
        <v>64.3</v>
      </c>
      <c r="J245" s="25">
        <f>98.1-I245</f>
        <v>33.799999999999997</v>
      </c>
      <c r="K245" s="25">
        <f>165.6-J245-I245</f>
        <v>67.500000000000014</v>
      </c>
      <c r="L245" s="168">
        <f>-L289*L244</f>
        <v>75.524999999999991</v>
      </c>
      <c r="M245" s="169">
        <f t="shared" si="193"/>
        <v>241.125</v>
      </c>
      <c r="N245" s="168">
        <f>-N289*N244</f>
        <v>71.431249999999991</v>
      </c>
      <c r="O245" s="168">
        <f>-O289*O244</f>
        <v>70.814062499999991</v>
      </c>
      <c r="P245" s="168">
        <f>-P289*P244</f>
        <v>71.542578124999991</v>
      </c>
      <c r="Q245" s="168">
        <f>-Q289*Q244</f>
        <v>72.328222656250006</v>
      </c>
      <c r="R245" s="169">
        <f t="shared" si="194"/>
        <v>286.11611328125002</v>
      </c>
      <c r="S245" s="168">
        <f>-S289*S244</f>
        <v>71.529028320312506</v>
      </c>
      <c r="T245" s="168">
        <f>-T289*T244</f>
        <v>71.553472900390616</v>
      </c>
      <c r="U245" s="168">
        <f>-U289*U244</f>
        <v>71.738325500488287</v>
      </c>
      <c r="V245" s="168">
        <f>-V289*V244</f>
        <v>71.787262344360357</v>
      </c>
      <c r="W245" s="169">
        <f t="shared" si="195"/>
        <v>286.60808906555178</v>
      </c>
      <c r="X245" s="168">
        <f>-X289*X244</f>
        <v>71.652022266387931</v>
      </c>
      <c r="Y245" s="168">
        <f>-Y289*Y244</f>
        <v>71.682770752906805</v>
      </c>
      <c r="Z245" s="168">
        <f>-Z289*Z244</f>
        <v>71.715095216035849</v>
      </c>
      <c r="AA245" s="168">
        <f>-AA289*AA244</f>
        <v>71.709287644922739</v>
      </c>
      <c r="AB245" s="169">
        <f t="shared" si="196"/>
        <v>286.75917588025334</v>
      </c>
      <c r="AC245" s="168">
        <f>-AC289*AC244</f>
        <v>71.689793970063334</v>
      </c>
      <c r="AD245" s="168">
        <f>-AD289*AD244</f>
        <v>71.699236895982182</v>
      </c>
      <c r="AE245" s="168">
        <f>-AE289*AE244</f>
        <v>71.703353431751026</v>
      </c>
      <c r="AF245" s="168">
        <f>-AF289*AF244</f>
        <v>71.70041798567982</v>
      </c>
      <c r="AG245" s="169">
        <f t="shared" si="197"/>
        <v>286.79280228347636</v>
      </c>
      <c r="AH245" s="385">
        <f>-AH289*AH244</f>
        <v>71.698200570869091</v>
      </c>
      <c r="AI245" s="385">
        <f>-AI289*AI244</f>
        <v>71.70030222107053</v>
      </c>
      <c r="AJ245" s="385">
        <f>-AJ289*AJ244</f>
        <v>71.700568552342617</v>
      </c>
      <c r="AK245" s="385">
        <f>-AK289*AK244</f>
        <v>71.699872332490514</v>
      </c>
      <c r="AL245" s="386">
        <f t="shared" si="198"/>
        <v>286.79894367677275</v>
      </c>
    </row>
    <row r="246" spans="1:38" outlineLevel="1" x14ac:dyDescent="0.25">
      <c r="A246" s="166"/>
      <c r="B246" s="48" t="s">
        <v>190</v>
      </c>
      <c r="C246" s="89"/>
      <c r="D246" s="25">
        <v>0</v>
      </c>
      <c r="E246" s="25">
        <f>-21-D246</f>
        <v>-21</v>
      </c>
      <c r="F246" s="25">
        <f>-622.8-E246-D246</f>
        <v>-601.79999999999995</v>
      </c>
      <c r="G246" s="168">
        <f>-622.8-F246-E246-D246</f>
        <v>0</v>
      </c>
      <c r="H246" s="26">
        <f t="shared" si="192"/>
        <v>-622.79999999999995</v>
      </c>
      <c r="I246" s="25">
        <v>0</v>
      </c>
      <c r="J246" s="25">
        <f>0-I246</f>
        <v>0</v>
      </c>
      <c r="K246" s="25">
        <f>0-J246-I246</f>
        <v>0</v>
      </c>
      <c r="L246" s="168">
        <v>0</v>
      </c>
      <c r="M246" s="169">
        <f t="shared" si="193"/>
        <v>0</v>
      </c>
      <c r="N246" s="168">
        <v>0</v>
      </c>
      <c r="O246" s="168">
        <v>0</v>
      </c>
      <c r="P246" s="168">
        <v>0</v>
      </c>
      <c r="Q246" s="168">
        <v>0</v>
      </c>
      <c r="R246" s="169">
        <f t="shared" si="194"/>
        <v>0</v>
      </c>
      <c r="S246" s="168">
        <v>0</v>
      </c>
      <c r="T246" s="168">
        <v>0</v>
      </c>
      <c r="U246" s="168">
        <v>0</v>
      </c>
      <c r="V246" s="168">
        <v>0</v>
      </c>
      <c r="W246" s="169">
        <f t="shared" si="195"/>
        <v>0</v>
      </c>
      <c r="X246" s="168">
        <v>0</v>
      </c>
      <c r="Y246" s="168">
        <v>0</v>
      </c>
      <c r="Z246" s="168">
        <v>0</v>
      </c>
      <c r="AA246" s="168">
        <v>0</v>
      </c>
      <c r="AB246" s="169">
        <f t="shared" si="196"/>
        <v>0</v>
      </c>
      <c r="AC246" s="168">
        <v>0</v>
      </c>
      <c r="AD246" s="168">
        <v>0</v>
      </c>
      <c r="AE246" s="168">
        <v>0</v>
      </c>
      <c r="AF246" s="168">
        <v>0</v>
      </c>
      <c r="AG246" s="169">
        <f t="shared" si="197"/>
        <v>0</v>
      </c>
      <c r="AH246" s="385">
        <v>0</v>
      </c>
      <c r="AI246" s="385">
        <v>0</v>
      </c>
      <c r="AJ246" s="385">
        <v>0</v>
      </c>
      <c r="AK246" s="385">
        <v>0</v>
      </c>
      <c r="AL246" s="386">
        <f t="shared" si="198"/>
        <v>0</v>
      </c>
    </row>
    <row r="247" spans="1:38" outlineLevel="1" x14ac:dyDescent="0.25">
      <c r="A247" s="166"/>
      <c r="B247" s="48" t="s">
        <v>185</v>
      </c>
      <c r="C247" s="89"/>
      <c r="D247" s="25">
        <v>97.3</v>
      </c>
      <c r="E247" s="25">
        <f>192.1-D247</f>
        <v>94.8</v>
      </c>
      <c r="F247" s="25">
        <f>255.4-E247-D247</f>
        <v>63.300000000000026</v>
      </c>
      <c r="G247" s="168">
        <f>308-F247-E247-D247</f>
        <v>52.59999999999998</v>
      </c>
      <c r="H247" s="26">
        <f t="shared" si="192"/>
        <v>308</v>
      </c>
      <c r="I247" s="25">
        <v>90.3</v>
      </c>
      <c r="J247" s="25">
        <f>146.6-I247</f>
        <v>56.3</v>
      </c>
      <c r="K247" s="25">
        <f>188-J247-I247</f>
        <v>41.399999999999991</v>
      </c>
      <c r="L247" s="168">
        <f>L16*L288</f>
        <v>59.42882339979279</v>
      </c>
      <c r="M247" s="169">
        <f t="shared" si="193"/>
        <v>247.4288233997928</v>
      </c>
      <c r="N247" s="168">
        <f>N16*N288</f>
        <v>69.57606941514733</v>
      </c>
      <c r="O247" s="168">
        <f>O16*O288</f>
        <v>66.502002907794818</v>
      </c>
      <c r="P247" s="168">
        <f>P16*P288</f>
        <v>68.922356361465887</v>
      </c>
      <c r="Q247" s="168">
        <f>Q16*Q288</f>
        <v>70.45479109681699</v>
      </c>
      <c r="R247" s="169">
        <f t="shared" si="194"/>
        <v>275.45521978122503</v>
      </c>
      <c r="S247" s="168">
        <f>S16*S288</f>
        <v>77.70325557126921</v>
      </c>
      <c r="T247" s="168">
        <f>T16*T288</f>
        <v>69.631353605824202</v>
      </c>
      <c r="U247" s="168">
        <f>U16*U288</f>
        <v>72.917409484251039</v>
      </c>
      <c r="V247" s="168">
        <f>V16*V288</f>
        <v>74.773303613484373</v>
      </c>
      <c r="W247" s="169">
        <f t="shared" si="195"/>
        <v>295.0253222748288</v>
      </c>
      <c r="X247" s="168">
        <f>X16*X288</f>
        <v>81.553356110269021</v>
      </c>
      <c r="Y247" s="168">
        <f>Y16*Y288</f>
        <v>72.891445641768428</v>
      </c>
      <c r="Z247" s="168">
        <f>Z16*Z288</f>
        <v>76.8565955479026</v>
      </c>
      <c r="AA247" s="168">
        <f>AA16*AA288</f>
        <v>78.306911530783069</v>
      </c>
      <c r="AB247" s="169">
        <f t="shared" si="196"/>
        <v>309.6083088307231</v>
      </c>
      <c r="AC247" s="168">
        <f>AC16*AC288</f>
        <v>86.454030631419371</v>
      </c>
      <c r="AD247" s="168">
        <f>AD16*AD288</f>
        <v>76.736781743681064</v>
      </c>
      <c r="AE247" s="168">
        <f>AE16*AE288</f>
        <v>81.456705246267987</v>
      </c>
      <c r="AF247" s="168">
        <f>AF16*AF288</f>
        <v>82.548522737641818</v>
      </c>
      <c r="AG247" s="169">
        <f t="shared" si="197"/>
        <v>327.19604035901023</v>
      </c>
      <c r="AH247" s="168">
        <f>AH16*AH288</f>
        <v>91.387591915335349</v>
      </c>
      <c r="AI247" s="168">
        <f>AI16*AI288</f>
        <v>80.503593012300158</v>
      </c>
      <c r="AJ247" s="168">
        <f>AJ16*AJ288</f>
        <v>86.085883582514896</v>
      </c>
      <c r="AK247" s="168">
        <f>AK16*AK288</f>
        <v>87.312059456014012</v>
      </c>
      <c r="AL247" s="169">
        <f t="shared" si="198"/>
        <v>345.28912796616441</v>
      </c>
    </row>
    <row r="248" spans="1:38" outlineLevel="1" x14ac:dyDescent="0.25">
      <c r="A248" s="166"/>
      <c r="B248" s="90" t="s">
        <v>191</v>
      </c>
      <c r="C248" s="91"/>
      <c r="D248" s="25">
        <v>6.1</v>
      </c>
      <c r="E248" s="168">
        <f>5.4+91.1-D248</f>
        <v>90.4</v>
      </c>
      <c r="F248" s="168">
        <f>10.5+122.3-E248-D248</f>
        <v>36.300000000000004</v>
      </c>
      <c r="G248" s="168">
        <f>10.5+187.9-F248-E248-D248</f>
        <v>65.599999999999994</v>
      </c>
      <c r="H248" s="26">
        <f t="shared" si="192"/>
        <v>198.4</v>
      </c>
      <c r="I248" s="168">
        <f>5.1+294.9</f>
        <v>300</v>
      </c>
      <c r="J248" s="168">
        <f>596.3+67.7-I248</f>
        <v>364</v>
      </c>
      <c r="K248" s="168">
        <f>902.4+124.6+63.7-J248-I248</f>
        <v>426.70000000000005</v>
      </c>
      <c r="L248" s="330">
        <v>0</v>
      </c>
      <c r="M248" s="169">
        <f t="shared" si="193"/>
        <v>1090.7</v>
      </c>
      <c r="N248" s="337">
        <v>0</v>
      </c>
      <c r="O248" s="337">
        <v>0</v>
      </c>
      <c r="P248" s="337">
        <v>0</v>
      </c>
      <c r="Q248" s="337">
        <v>0</v>
      </c>
      <c r="R248" s="169">
        <f t="shared" si="194"/>
        <v>0</v>
      </c>
      <c r="S248" s="337">
        <v>0</v>
      </c>
      <c r="T248" s="337">
        <v>0</v>
      </c>
      <c r="U248" s="337">
        <v>0</v>
      </c>
      <c r="V248" s="337">
        <v>0</v>
      </c>
      <c r="W248" s="169">
        <f t="shared" si="195"/>
        <v>0</v>
      </c>
      <c r="X248" s="337">
        <v>0</v>
      </c>
      <c r="Y248" s="337">
        <v>0</v>
      </c>
      <c r="Z248" s="337">
        <v>0</v>
      </c>
      <c r="AA248" s="337">
        <v>0</v>
      </c>
      <c r="AB248" s="169">
        <f t="shared" si="196"/>
        <v>0</v>
      </c>
      <c r="AC248" s="337">
        <v>0</v>
      </c>
      <c r="AD248" s="337">
        <v>0</v>
      </c>
      <c r="AE248" s="337">
        <v>0</v>
      </c>
      <c r="AF248" s="337">
        <v>0</v>
      </c>
      <c r="AG248" s="169">
        <f t="shared" si="197"/>
        <v>0</v>
      </c>
      <c r="AH248" s="337"/>
      <c r="AI248" s="337"/>
      <c r="AJ248" s="337"/>
      <c r="AK248" s="337"/>
      <c r="AL248" s="375"/>
    </row>
    <row r="249" spans="1:38" outlineLevel="1" x14ac:dyDescent="0.25">
      <c r="A249" s="166"/>
      <c r="B249" s="457" t="s">
        <v>46</v>
      </c>
      <c r="C249" s="458"/>
      <c r="D249" s="161"/>
      <c r="E249" s="289"/>
      <c r="F249" s="157"/>
      <c r="G249" s="157"/>
      <c r="H249" s="158"/>
      <c r="I249" s="157"/>
      <c r="J249" s="157"/>
      <c r="K249" s="157"/>
      <c r="L249" s="157"/>
      <c r="M249" s="169">
        <f t="shared" si="193"/>
        <v>0</v>
      </c>
      <c r="N249" s="157"/>
      <c r="O249" s="157"/>
      <c r="P249" s="157"/>
      <c r="Q249" s="157"/>
      <c r="R249" s="158"/>
      <c r="S249" s="157"/>
      <c r="T249" s="157"/>
      <c r="U249" s="157"/>
      <c r="V249" s="157"/>
      <c r="W249" s="158"/>
      <c r="X249" s="157"/>
      <c r="Y249" s="157"/>
      <c r="Z249" s="157"/>
      <c r="AA249" s="157"/>
      <c r="AB249" s="158"/>
      <c r="AC249" s="157"/>
      <c r="AD249" s="157"/>
      <c r="AE249" s="157"/>
      <c r="AF249" s="157"/>
      <c r="AG249" s="158"/>
      <c r="AH249" s="157"/>
      <c r="AI249" s="157"/>
      <c r="AJ249" s="157"/>
      <c r="AK249" s="157"/>
      <c r="AL249" s="158"/>
    </row>
    <row r="250" spans="1:38" outlineLevel="1" x14ac:dyDescent="0.25">
      <c r="A250" s="166"/>
      <c r="B250" s="468" t="s">
        <v>61</v>
      </c>
      <c r="C250" s="469"/>
      <c r="D250" s="72">
        <v>-28.8</v>
      </c>
      <c r="E250" s="72">
        <f>9.8-D250</f>
        <v>38.6</v>
      </c>
      <c r="F250" s="72">
        <f>-70.1-E250-D250</f>
        <v>-79.899999999999991</v>
      </c>
      <c r="G250" s="72">
        <f>-197.7-F250-E250-D250</f>
        <v>-127.60000000000001</v>
      </c>
      <c r="H250" s="73">
        <f t="shared" ref="H250:H255" si="199">SUM(D250:G250)</f>
        <v>-197.7</v>
      </c>
      <c r="I250" s="72">
        <v>-22.9</v>
      </c>
      <c r="J250" s="72">
        <f>-60.7-I250</f>
        <v>-37.800000000000004</v>
      </c>
      <c r="K250" s="72">
        <f>13.4-J250-I250</f>
        <v>74.099999999999994</v>
      </c>
      <c r="L250" s="72">
        <f>-(L186-K186)</f>
        <v>-23.487336059792369</v>
      </c>
      <c r="M250" s="169">
        <f t="shared" si="193"/>
        <v>-10.087336059792378</v>
      </c>
      <c r="N250" s="72">
        <f>-(N186-L186)</f>
        <v>-41.490353723439966</v>
      </c>
      <c r="O250" s="72">
        <f t="shared" ref="O250:Q252" si="200">-(O186-N186)</f>
        <v>87.586567429533943</v>
      </c>
      <c r="P250" s="72">
        <f t="shared" si="200"/>
        <v>-91.362255351436716</v>
      </c>
      <c r="Q250" s="72">
        <f t="shared" si="200"/>
        <v>-8.1729459337411754</v>
      </c>
      <c r="R250" s="169">
        <f t="shared" ref="R250:R256" si="201">SUM(N250:Q250)</f>
        <v>-53.438987579083914</v>
      </c>
      <c r="S250" s="72">
        <f>-(S186-Q186)</f>
        <v>-98.562775708807635</v>
      </c>
      <c r="T250" s="72">
        <f t="shared" ref="T250:V252" si="202">-(T186-S186)</f>
        <v>157.70039984560344</v>
      </c>
      <c r="U250" s="72">
        <f t="shared" si="202"/>
        <v>-106.02249838098646</v>
      </c>
      <c r="V250" s="72">
        <f t="shared" si="202"/>
        <v>-11.837160205475584</v>
      </c>
      <c r="W250" s="169">
        <f t="shared" ref="W250:W256" si="203">SUM(S250:V250)</f>
        <v>-58.722034449666239</v>
      </c>
      <c r="X250" s="72">
        <f>-(X186-V186)</f>
        <v>-92.193428813766559</v>
      </c>
      <c r="Y250" s="72">
        <f t="shared" ref="Y250:AA252" si="204">-(Y186-X186)</f>
        <v>167.96773735754493</v>
      </c>
      <c r="Z250" s="72">
        <f t="shared" si="204"/>
        <v>-118.2250367027865</v>
      </c>
      <c r="AA250" s="72">
        <f t="shared" si="204"/>
        <v>-5.5983732504180352</v>
      </c>
      <c r="AB250" s="169">
        <f t="shared" ref="AB250:AB256" si="205">SUM(X250:AA250)</f>
        <v>-48.049101409426157</v>
      </c>
      <c r="AC250" s="72">
        <f>-(AC186-AA186)</f>
        <v>-110.78245267245279</v>
      </c>
      <c r="AD250" s="72">
        <f t="shared" ref="AD250:AF252" si="206">-(AD186-AC186)</f>
        <v>184.96544938073168</v>
      </c>
      <c r="AE250" s="72">
        <f t="shared" si="206"/>
        <v>-131.98103016065681</v>
      </c>
      <c r="AF250" s="72">
        <f t="shared" si="206"/>
        <v>0.12168344761653316</v>
      </c>
      <c r="AG250" s="169">
        <f t="shared" ref="AG250:AG256" si="207">SUM(AC250:AF250)</f>
        <v>-57.676350004761389</v>
      </c>
      <c r="AH250" s="72">
        <f>-(AH186-AF186)</f>
        <v>-120.19141376856624</v>
      </c>
      <c r="AI250" s="72">
        <f t="shared" ref="AI250:AK252" si="208">-(AI186-AH186)</f>
        <v>203.42404410774043</v>
      </c>
      <c r="AJ250" s="72">
        <f t="shared" si="208"/>
        <v>-147.15132989029007</v>
      </c>
      <c r="AK250" s="72">
        <f t="shared" si="208"/>
        <v>-0.85466076656280165</v>
      </c>
      <c r="AL250" s="169">
        <f t="shared" ref="AL250:AL256" si="209">SUM(AH250:AK250)</f>
        <v>-64.77336031767868</v>
      </c>
    </row>
    <row r="251" spans="1:38" outlineLevel="1" x14ac:dyDescent="0.25">
      <c r="A251" s="166"/>
      <c r="B251" s="42" t="s">
        <v>171</v>
      </c>
      <c r="C251" s="37"/>
      <c r="D251" s="72">
        <v>44.8</v>
      </c>
      <c r="E251" s="72">
        <f>-51-D251</f>
        <v>-95.8</v>
      </c>
      <c r="F251" s="72">
        <f>-140.5-E251-D251</f>
        <v>-89.5</v>
      </c>
      <c r="G251" s="72">
        <f>-173-F251-E251-D251</f>
        <v>-32.5</v>
      </c>
      <c r="H251" s="73">
        <f t="shared" si="199"/>
        <v>-173</v>
      </c>
      <c r="I251" s="72">
        <v>122.8</v>
      </c>
      <c r="J251" s="72">
        <f>36.9-I251</f>
        <v>-85.9</v>
      </c>
      <c r="K251" s="72">
        <f>-51.7-J251-I251</f>
        <v>-88.6</v>
      </c>
      <c r="L251" s="72">
        <f>-(L187-K187)</f>
        <v>-101.21002199986219</v>
      </c>
      <c r="M251" s="169">
        <f t="shared" si="193"/>
        <v>-152.91002199986218</v>
      </c>
      <c r="N251" s="72">
        <f>-(N187-L187)</f>
        <v>-20.488345125143496</v>
      </c>
      <c r="O251" s="72">
        <f t="shared" si="200"/>
        <v>104.52655935157327</v>
      </c>
      <c r="P251" s="72">
        <f t="shared" si="200"/>
        <v>-18.818985979748732</v>
      </c>
      <c r="Q251" s="72">
        <f t="shared" si="200"/>
        <v>-176.47928832391062</v>
      </c>
      <c r="R251" s="169">
        <f t="shared" si="201"/>
        <v>-111.26006007722958</v>
      </c>
      <c r="S251" s="72">
        <f>-(S187-Q187)</f>
        <v>-62.343713845681805</v>
      </c>
      <c r="T251" s="72">
        <f t="shared" si="202"/>
        <v>182.19664526030601</v>
      </c>
      <c r="U251" s="72">
        <f t="shared" si="202"/>
        <v>-36.257791959598308</v>
      </c>
      <c r="V251" s="72">
        <f t="shared" si="202"/>
        <v>-190.91662353362494</v>
      </c>
      <c r="W251" s="169">
        <f t="shared" si="203"/>
        <v>-107.32148407859904</v>
      </c>
      <c r="X251" s="72">
        <f>-(X187-V187)</f>
        <v>-48.188929551136653</v>
      </c>
      <c r="Y251" s="72">
        <f t="shared" si="204"/>
        <v>193.01924785035908</v>
      </c>
      <c r="Z251" s="72">
        <f t="shared" si="204"/>
        <v>-48.512663713355096</v>
      </c>
      <c r="AA251" s="72">
        <f t="shared" si="204"/>
        <v>-190.59344383576854</v>
      </c>
      <c r="AB251" s="169">
        <f t="shared" si="205"/>
        <v>-94.275789249901209</v>
      </c>
      <c r="AC251" s="72">
        <f>-(AC187-AA187)</f>
        <v>-75.520837285508378</v>
      </c>
      <c r="AD251" s="72">
        <f t="shared" si="206"/>
        <v>219.12542229758287</v>
      </c>
      <c r="AE251" s="72">
        <f t="shared" si="206"/>
        <v>-59.53132074993664</v>
      </c>
      <c r="AF251" s="72">
        <f t="shared" si="206"/>
        <v>-192.58574809044171</v>
      </c>
      <c r="AG251" s="169">
        <f t="shared" si="207"/>
        <v>-108.51248382830386</v>
      </c>
      <c r="AH251" s="72">
        <f>-(AH187-AF187)</f>
        <v>-86.541006576414929</v>
      </c>
      <c r="AI251" s="72">
        <f t="shared" si="208"/>
        <v>245.02772210338958</v>
      </c>
      <c r="AJ251" s="72">
        <f t="shared" si="208"/>
        <v>-76.029151026916907</v>
      </c>
      <c r="AK251" s="72">
        <f t="shared" si="208"/>
        <v>-205.06896118309669</v>
      </c>
      <c r="AL251" s="169">
        <f t="shared" si="209"/>
        <v>-122.61139668303895</v>
      </c>
    </row>
    <row r="252" spans="1:38" outlineLevel="1" x14ac:dyDescent="0.25">
      <c r="A252" s="166"/>
      <c r="B252" s="468" t="s">
        <v>194</v>
      </c>
      <c r="C252" s="469"/>
      <c r="D252" s="72">
        <v>847.3</v>
      </c>
      <c r="E252" s="72">
        <f>774.6-D252</f>
        <v>-72.699999999999932</v>
      </c>
      <c r="F252" s="72">
        <f>831.6-E252-D252</f>
        <v>57</v>
      </c>
      <c r="G252" s="72">
        <f>922-F252-E252-D252</f>
        <v>90.399999999999977</v>
      </c>
      <c r="H252" s="73">
        <f t="shared" si="199"/>
        <v>922</v>
      </c>
      <c r="I252" s="72">
        <v>-28.5</v>
      </c>
      <c r="J252" s="72">
        <f>-247.7-I252</f>
        <v>-219.2</v>
      </c>
      <c r="K252" s="72">
        <f>-492.1-J252-I252</f>
        <v>-244.40000000000003</v>
      </c>
      <c r="L252" s="72">
        <f>-(L188-K188)</f>
        <v>138.04499999999996</v>
      </c>
      <c r="M252" s="169">
        <f t="shared" si="193"/>
        <v>-354.05500000000006</v>
      </c>
      <c r="N252" s="72">
        <f>-(N188-L188)</f>
        <v>78.225500000000011</v>
      </c>
      <c r="O252" s="72">
        <f t="shared" si="200"/>
        <v>70.402950000000033</v>
      </c>
      <c r="P252" s="72">
        <f t="shared" si="200"/>
        <v>63.362655000000018</v>
      </c>
      <c r="Q252" s="72">
        <f t="shared" si="200"/>
        <v>57.026389499999937</v>
      </c>
      <c r="R252" s="169">
        <f t="shared" si="201"/>
        <v>269.0174945</v>
      </c>
      <c r="S252" s="72">
        <f>-(S188-Q188)</f>
        <v>51.32375055</v>
      </c>
      <c r="T252" s="72">
        <f t="shared" si="202"/>
        <v>46.191375494999988</v>
      </c>
      <c r="U252" s="72">
        <f t="shared" si="202"/>
        <v>41.572237945499978</v>
      </c>
      <c r="V252" s="72">
        <f t="shared" si="202"/>
        <v>37.415014150950014</v>
      </c>
      <c r="W252" s="169">
        <f t="shared" si="203"/>
        <v>176.50237814144998</v>
      </c>
      <c r="X252" s="72">
        <f>-(X188-V188)</f>
        <v>33.673512735855013</v>
      </c>
      <c r="Y252" s="72">
        <f t="shared" si="204"/>
        <v>30.306161462269472</v>
      </c>
      <c r="Z252" s="72">
        <f t="shared" si="204"/>
        <v>27.275545316042553</v>
      </c>
      <c r="AA252" s="72">
        <f t="shared" si="204"/>
        <v>24.547990784438298</v>
      </c>
      <c r="AB252" s="169">
        <f t="shared" si="205"/>
        <v>115.80321029860534</v>
      </c>
      <c r="AC252" s="72">
        <f>-(AC188-AA188)</f>
        <v>22.093191705994457</v>
      </c>
      <c r="AD252" s="72">
        <f t="shared" si="206"/>
        <v>19.883872535395028</v>
      </c>
      <c r="AE252" s="72">
        <f t="shared" si="206"/>
        <v>17.895485281855514</v>
      </c>
      <c r="AF252" s="72">
        <f t="shared" si="206"/>
        <v>16.105936753669965</v>
      </c>
      <c r="AG252" s="169">
        <f t="shared" si="207"/>
        <v>75.978486276914964</v>
      </c>
      <c r="AH252" s="72">
        <f>-(AH188-AF188)</f>
        <v>14.495343078302966</v>
      </c>
      <c r="AI252" s="72">
        <f t="shared" si="208"/>
        <v>13.045808770472675</v>
      </c>
      <c r="AJ252" s="72">
        <f t="shared" si="208"/>
        <v>11.741227893425403</v>
      </c>
      <c r="AK252" s="72">
        <f t="shared" si="208"/>
        <v>10.56710510408287</v>
      </c>
      <c r="AL252" s="169">
        <f t="shared" si="209"/>
        <v>49.849484846283914</v>
      </c>
    </row>
    <row r="253" spans="1:38" outlineLevel="1" x14ac:dyDescent="0.25">
      <c r="A253" s="166"/>
      <c r="B253" s="468" t="s">
        <v>28</v>
      </c>
      <c r="C253" s="469"/>
      <c r="D253" s="72">
        <v>-21.3</v>
      </c>
      <c r="E253" s="72">
        <f>-83.4-D253</f>
        <v>-62.100000000000009</v>
      </c>
      <c r="F253" s="72">
        <f>-15.1-E253-D253</f>
        <v>68.300000000000011</v>
      </c>
      <c r="G253" s="72">
        <f>31.9-F253-E253-D253</f>
        <v>47</v>
      </c>
      <c r="H253" s="73">
        <f t="shared" si="199"/>
        <v>31.900000000000006</v>
      </c>
      <c r="I253" s="72">
        <v>-110.3</v>
      </c>
      <c r="J253" s="72">
        <f>-186.4-I253</f>
        <v>-76.100000000000009</v>
      </c>
      <c r="K253" s="72">
        <f>-320.3-J253-I253</f>
        <v>-133.89999999999998</v>
      </c>
      <c r="L253" s="72">
        <f>L200-K200</f>
        <v>229.36037148430842</v>
      </c>
      <c r="M253" s="169">
        <f t="shared" si="193"/>
        <v>-90.939628515691538</v>
      </c>
      <c r="N253" s="72">
        <f>N200-L200</f>
        <v>42.455881447711818</v>
      </c>
      <c r="O253" s="72">
        <f>O200-N200</f>
        <v>-64.02427184064527</v>
      </c>
      <c r="P253" s="72">
        <f>P200-O200</f>
        <v>33.441430031364462</v>
      </c>
      <c r="Q253" s="72">
        <f>Q200-P200</f>
        <v>9.7440282408738312</v>
      </c>
      <c r="R253" s="169">
        <f t="shared" si="201"/>
        <v>21.617067879304841</v>
      </c>
      <c r="S253" s="72">
        <f>S200-Q200</f>
        <v>57.114460301057761</v>
      </c>
      <c r="T253" s="72">
        <f>T200-S200</f>
        <v>-76.361943004547356</v>
      </c>
      <c r="U253" s="72">
        <f>U200-T200</f>
        <v>39.273705693283546</v>
      </c>
      <c r="V253" s="72">
        <f>V200-U200</f>
        <v>7.5666891289918112</v>
      </c>
      <c r="W253" s="169">
        <f t="shared" si="203"/>
        <v>27.592912118785762</v>
      </c>
      <c r="X253" s="72">
        <f>X200-V200</f>
        <v>57.915688712332212</v>
      </c>
      <c r="Y253" s="72">
        <f>Y200-X200</f>
        <v>-81.366038665126553</v>
      </c>
      <c r="Z253" s="72">
        <f>Z200-Y200</f>
        <v>43.605282107759876</v>
      </c>
      <c r="AA253" s="72">
        <f>AA200-Z200</f>
        <v>5.2177804159573498</v>
      </c>
      <c r="AB253" s="169">
        <f t="shared" si="205"/>
        <v>25.372712570922886</v>
      </c>
      <c r="AC253" s="72">
        <f>AC200-AA200</f>
        <v>66.911634824371504</v>
      </c>
      <c r="AD253" s="72">
        <f>AD200-AC200</f>
        <v>-90.198829168904012</v>
      </c>
      <c r="AE253" s="72">
        <f>AE200-AD200</f>
        <v>48.240573035301395</v>
      </c>
      <c r="AF253" s="72">
        <f>AF200-AE200</f>
        <v>3.770941659718801</v>
      </c>
      <c r="AG253" s="169">
        <f t="shared" si="207"/>
        <v>28.724320350487687</v>
      </c>
      <c r="AH253" s="72">
        <f>AH200-AF200</f>
        <v>74.508168701363275</v>
      </c>
      <c r="AI253" s="72">
        <f>AI200-AH200</f>
        <v>-99.672842195921476</v>
      </c>
      <c r="AJ253" s="72">
        <f>AJ200-AI200</f>
        <v>54.882405432648511</v>
      </c>
      <c r="AK253" s="72">
        <f>AK200-AJ200</f>
        <v>4.6492259766489497</v>
      </c>
      <c r="AL253" s="169">
        <f t="shared" si="209"/>
        <v>34.36695791473926</v>
      </c>
    </row>
    <row r="254" spans="1:38" outlineLevel="1" x14ac:dyDescent="0.25">
      <c r="A254" s="166"/>
      <c r="B254" s="42" t="s">
        <v>176</v>
      </c>
      <c r="C254" s="37"/>
      <c r="D254" s="72">
        <v>362.7</v>
      </c>
      <c r="E254" s="72">
        <f>9.4-D254</f>
        <v>-353.3</v>
      </c>
      <c r="F254" s="72">
        <f>-32.4-E254-D254</f>
        <v>-41.799999999999955</v>
      </c>
      <c r="G254" s="72">
        <f>-30.5-F254-E254-D254</f>
        <v>1.8999999999999773</v>
      </c>
      <c r="H254" s="73">
        <f t="shared" si="199"/>
        <v>-30.5</v>
      </c>
      <c r="I254" s="72">
        <v>426.7</v>
      </c>
      <c r="J254" s="72">
        <f>112.1-I254</f>
        <v>-314.60000000000002</v>
      </c>
      <c r="K254" s="72">
        <f>92-J254-I254</f>
        <v>-20.099999999999966</v>
      </c>
      <c r="L254" s="72">
        <f>+(L205-K205)</f>
        <v>-14.633000000000038</v>
      </c>
      <c r="M254" s="169">
        <f t="shared" si="193"/>
        <v>77.366999999999962</v>
      </c>
      <c r="N254" s="72">
        <f>+(N205-L205)</f>
        <v>434.60010000000011</v>
      </c>
      <c r="O254" s="72">
        <f>+(O205-N205)</f>
        <v>-282.49006499999996</v>
      </c>
      <c r="P254" s="72">
        <f>+(P205-O205)</f>
        <v>-16.007770350000101</v>
      </c>
      <c r="Q254" s="72">
        <f>+(Q205-P205)</f>
        <v>-15.847692646500036</v>
      </c>
      <c r="R254" s="169">
        <f t="shared" si="201"/>
        <v>120.25457200350002</v>
      </c>
      <c r="S254" s="72">
        <f>+(S205-Q205)</f>
        <v>470.67647160105003</v>
      </c>
      <c r="T254" s="72">
        <f>+(T205-S205)</f>
        <v>-305.93970654068244</v>
      </c>
      <c r="U254" s="72">
        <f>+(U205-T205)</f>
        <v>-17.336583370638664</v>
      </c>
      <c r="V254" s="72">
        <f>+(V205-U205)</f>
        <v>-17.163217536932279</v>
      </c>
      <c r="W254" s="169">
        <f t="shared" si="203"/>
        <v>130.23696415279665</v>
      </c>
      <c r="X254" s="72">
        <f>+(X205-V205)</f>
        <v>509.74756084688897</v>
      </c>
      <c r="Y254" s="72">
        <f>+(Y205-X205)</f>
        <v>-331.33591455047781</v>
      </c>
      <c r="Z254" s="72">
        <f>+(Z205-Y205)</f>
        <v>-18.775701824527005</v>
      </c>
      <c r="AA254" s="72">
        <f>+(AA205-Z205)</f>
        <v>-18.587944806281712</v>
      </c>
      <c r="AB254" s="169">
        <f t="shared" si="205"/>
        <v>141.04799966560245</v>
      </c>
      <c r="AC254" s="72">
        <f>+(AC205-AA205)</f>
        <v>552.06196074656987</v>
      </c>
      <c r="AD254" s="72">
        <f>+(AD205-AC205)</f>
        <v>-358.84027448527036</v>
      </c>
      <c r="AE254" s="72">
        <f>+(AE205-AD205)</f>
        <v>-20.334282220831938</v>
      </c>
      <c r="AF254" s="72">
        <f>+(AF205-AE205)</f>
        <v>-20.130939398623696</v>
      </c>
      <c r="AG254" s="169">
        <f t="shared" si="207"/>
        <v>152.75646464184388</v>
      </c>
      <c r="AH254" s="72">
        <f>+(AH205-AF205)</f>
        <v>597.88890013912305</v>
      </c>
      <c r="AI254" s="72">
        <f>+(AI205-AH205)</f>
        <v>-388.62778509042982</v>
      </c>
      <c r="AJ254" s="72">
        <f>+(AJ205-AI205)</f>
        <v>-22.022241155124448</v>
      </c>
      <c r="AK254" s="72">
        <f>+(AK205-AJ205)</f>
        <v>-21.802018743573171</v>
      </c>
      <c r="AL254" s="169">
        <f t="shared" si="209"/>
        <v>165.43685514999561</v>
      </c>
    </row>
    <row r="255" spans="1:38" outlineLevel="1" x14ac:dyDescent="0.25">
      <c r="A255" s="166"/>
      <c r="B255" s="211" t="s">
        <v>236</v>
      </c>
      <c r="C255" s="212"/>
      <c r="D255" s="72">
        <v>0</v>
      </c>
      <c r="E255" s="72">
        <v>0</v>
      </c>
      <c r="F255" s="72">
        <f>1045.4-E255-D255</f>
        <v>1045.4000000000001</v>
      </c>
      <c r="G255" s="72">
        <f>1237-F255-E255-D255</f>
        <v>191.59999999999991</v>
      </c>
      <c r="H255" s="73">
        <f t="shared" si="199"/>
        <v>1237</v>
      </c>
      <c r="I255" s="72">
        <v>125.1</v>
      </c>
      <c r="J255" s="72">
        <f>-1227.4-I255</f>
        <v>-1352.5</v>
      </c>
      <c r="K255" s="72">
        <f>-1224.5-J255-I255</f>
        <v>2.9000000000000057</v>
      </c>
      <c r="L255" s="72">
        <f>+(L203-K203)</f>
        <v>0</v>
      </c>
      <c r="M255" s="169">
        <f t="shared" si="193"/>
        <v>-1224.5</v>
      </c>
      <c r="N255" s="72">
        <f>+(N203-L203)</f>
        <v>0</v>
      </c>
      <c r="O255" s="72">
        <f>+(O203-N203)</f>
        <v>0</v>
      </c>
      <c r="P255" s="72">
        <f>+(P203-O203)</f>
        <v>0</v>
      </c>
      <c r="Q255" s="72">
        <f>+(Q203-P203)</f>
        <v>0</v>
      </c>
      <c r="R255" s="169">
        <f t="shared" si="201"/>
        <v>0</v>
      </c>
      <c r="S255" s="72">
        <f>+(S203-Q203)</f>
        <v>0</v>
      </c>
      <c r="T255" s="72">
        <f>+(T203-S203)</f>
        <v>0</v>
      </c>
      <c r="U255" s="72">
        <f>+(U203-T203)</f>
        <v>0</v>
      </c>
      <c r="V255" s="72">
        <f>+(V203-U203)</f>
        <v>0</v>
      </c>
      <c r="W255" s="169">
        <f t="shared" si="203"/>
        <v>0</v>
      </c>
      <c r="X255" s="72">
        <f>+(X203-V203)</f>
        <v>0</v>
      </c>
      <c r="Y255" s="72">
        <f>+(Y203-X203)</f>
        <v>0</v>
      </c>
      <c r="Z255" s="72">
        <f>+(Z203-Y203)</f>
        <v>0</v>
      </c>
      <c r="AA255" s="72">
        <f>+(AA203-Z203)</f>
        <v>0</v>
      </c>
      <c r="AB255" s="169">
        <f t="shared" si="205"/>
        <v>0</v>
      </c>
      <c r="AC255" s="72">
        <f>+(AC203-AA203)</f>
        <v>0</v>
      </c>
      <c r="AD255" s="72">
        <f>+(AD203-AC203)</f>
        <v>0</v>
      </c>
      <c r="AE255" s="72">
        <f>+(AE203-AD203)</f>
        <v>0</v>
      </c>
      <c r="AF255" s="72">
        <f>+(AF203-AE203)</f>
        <v>0</v>
      </c>
      <c r="AG255" s="169">
        <f t="shared" si="207"/>
        <v>0</v>
      </c>
      <c r="AH255" s="72">
        <f>+(AH203-AF203)</f>
        <v>0</v>
      </c>
      <c r="AI255" s="72">
        <f>+(AI203-AH203)</f>
        <v>0</v>
      </c>
      <c r="AJ255" s="72">
        <f>+(AJ203-AI203)</f>
        <v>0</v>
      </c>
      <c r="AK255" s="72">
        <f>+(AK203-AJ203)</f>
        <v>0</v>
      </c>
      <c r="AL255" s="169">
        <f t="shared" si="209"/>
        <v>0</v>
      </c>
    </row>
    <row r="256" spans="1:38" ht="17.25" outlineLevel="1" x14ac:dyDescent="0.4">
      <c r="A256" s="166"/>
      <c r="B256" s="468" t="s">
        <v>192</v>
      </c>
      <c r="C256" s="469"/>
      <c r="D256" s="159">
        <v>305.60000000000002</v>
      </c>
      <c r="E256" s="159">
        <f>429.3-D256</f>
        <v>123.69999999999999</v>
      </c>
      <c r="F256" s="159">
        <f>-67.4-E256-D256</f>
        <v>-496.70000000000005</v>
      </c>
      <c r="G256" s="159">
        <f>-141.1-F256-E256-D256</f>
        <v>-73.699999999999989</v>
      </c>
      <c r="H256" s="152">
        <f>SUM(D256:G256)</f>
        <v>-141.10000000000002</v>
      </c>
      <c r="I256" s="159">
        <f>-31.8-301.6</f>
        <v>-333.40000000000003</v>
      </c>
      <c r="J256" s="159">
        <f>-608.6-140.5-I256</f>
        <v>-415.7</v>
      </c>
      <c r="K256" s="159">
        <f>-918.2+70.5-J256-I256</f>
        <v>-98.600000000000023</v>
      </c>
      <c r="L256" s="159">
        <f>(L201-K201)+(L211-K211)+(L212-K212)+(L204-K204)+(L202-K202)</f>
        <v>-25.980657935110003</v>
      </c>
      <c r="M256" s="169">
        <f t="shared" si="193"/>
        <v>-873.68065793511005</v>
      </c>
      <c r="N256" s="159">
        <f>(N201-L201)+(N211-L211)+(N212-L212)+(N204-L204)+(N202-L202)</f>
        <v>28.326330419090027</v>
      </c>
      <c r="O256" s="159">
        <f>(O201-N201)+(O211-N211)+(O212-N212)+(O204-N204)+(O202-N202)</f>
        <v>-130.35760099785728</v>
      </c>
      <c r="P256" s="159">
        <f>(P201-O201)+(P211-O211)+(P212-O212)+(P204-O204)+(P202-O202)</f>
        <v>-211.73132000232044</v>
      </c>
      <c r="Q256" s="159">
        <f>(Q201-P201)+(Q211-P211)+(Q212-P212)+(Q204-P204)+(Q202-P202)</f>
        <v>172.81965595543852</v>
      </c>
      <c r="R256" s="169">
        <f t="shared" si="201"/>
        <v>-140.94293462564917</v>
      </c>
      <c r="S256" s="159">
        <f>(S201-Q201)+(S211-Q211)+(S212-Q212)+(S204-Q204)+(S202-Q202)</f>
        <v>105.92866397469891</v>
      </c>
      <c r="T256" s="159">
        <f>(T201-S201)+(T211-S211)+(T212-S212)+(T204-S204)+(T202-S202)</f>
        <v>-112.42413742103895</v>
      </c>
      <c r="U256" s="159">
        <f>(U201-T201)+(U211-T211)+(U212-T212)+(U204-T204)+(U202-T202)</f>
        <v>13.216792312752091</v>
      </c>
      <c r="V256" s="159">
        <f>(V201-U201)+(V211-U211)+(V212-U212)+(V204-U204)+(V202-U202)</f>
        <v>-5.7126244692442469</v>
      </c>
      <c r="W256" s="169">
        <f t="shared" si="203"/>
        <v>1.0086943971678011</v>
      </c>
      <c r="X256" s="159">
        <f>(X201-V201)+(X211-V211)+(X212-V212)+(X204-V204)+(X202-V202)</f>
        <v>246.01297235211848</v>
      </c>
      <c r="Y256" s="159">
        <f>(Y201-X201)+(Y211-X211)+(Y212-X212)+(Y204-X204)+(Y202-X202)</f>
        <v>-281.63084564862538</v>
      </c>
      <c r="Z256" s="159">
        <f>(Z201-Y201)+(Z211-Y211)+(Z212-Y212)+(Z204-Y204)+(Z202-Y202)</f>
        <v>35.349636082626716</v>
      </c>
      <c r="AA256" s="159">
        <f>(AA201-Z201)+(AA211-Z211)+(AA212-Z212)+(AA204-Z204)+(AA202-Z202)</f>
        <v>1.3000943490865211</v>
      </c>
      <c r="AB256" s="169">
        <f t="shared" si="205"/>
        <v>1.0318571352063373</v>
      </c>
      <c r="AC256" s="159">
        <f>(AC201-AA201)+(AC211-AA211)+(AC212-AA212)+(AC204-AA204)+(AC202-AA202)</f>
        <v>150.6124118422365</v>
      </c>
      <c r="AD256" s="159">
        <f>(AD201-AC201)+(AD211-AC211)+(AD212-AC212)+(AD204-AC204)+(AD202-AC202)</f>
        <v>-200.74233172984304</v>
      </c>
      <c r="AE256" s="159">
        <f>(AE201-AD201)+(AE211-AD211)+(AE212-AD212)+(AE204-AD204)+(AE202-AD202)</f>
        <v>51.230791427825579</v>
      </c>
      <c r="AF256" s="159">
        <f>(AF201-AE201)+(AF211-AE211)+(AF212-AE212)+(AF204-AE204)+(AF202-AE202)</f>
        <v>-6.6566553082554947</v>
      </c>
      <c r="AG256" s="169">
        <f t="shared" si="207"/>
        <v>-5.5557837680364628</v>
      </c>
      <c r="AH256" s="159">
        <f>(AH201-AF201)+(AH211-AF211)+(AH212-AF212)+(AH204-AF204)+(AH202-AF202)</f>
        <v>188.0971474718242</v>
      </c>
      <c r="AI256" s="159">
        <f>(AI201-AH201)+(AI211-AH211)+(AI212-AH212)+(AI204-AH204)+(AI202-AH202)</f>
        <v>-225.09706728384776</v>
      </c>
      <c r="AJ256" s="159">
        <f>(AJ201-AI201)+(AJ211-AI211)+(AJ212-AI212)+(AJ204-AI204)+(AJ202-AI202)</f>
        <v>65.527830769081902</v>
      </c>
      <c r="AK256" s="159">
        <f>(AK201-AJ201)+(AK211-AJ211)+(AK212-AJ212)+(AK204-AJ204)+(AK202-AJ202)</f>
        <v>-13.607409976202234</v>
      </c>
      <c r="AL256" s="169">
        <f t="shared" si="209"/>
        <v>14.920500980856104</v>
      </c>
    </row>
    <row r="257" spans="1:38" outlineLevel="1" x14ac:dyDescent="0.25">
      <c r="A257" s="166"/>
      <c r="B257" s="474" t="s">
        <v>12</v>
      </c>
      <c r="C257" s="475"/>
      <c r="D257" s="71">
        <f t="shared" ref="D257:R257" si="210">D241+SUM(D242:D256)</f>
        <v>2379.0000000000005</v>
      </c>
      <c r="E257" s="71">
        <f t="shared" si="210"/>
        <v>390.39999999999969</v>
      </c>
      <c r="F257" s="71">
        <f t="shared" si="210"/>
        <v>1169.400000000001</v>
      </c>
      <c r="G257" s="71">
        <f t="shared" si="210"/>
        <v>1108.1000000000008</v>
      </c>
      <c r="H257" s="153">
        <f t="shared" si="210"/>
        <v>5046.9000000000051</v>
      </c>
      <c r="I257" s="71">
        <f t="shared" si="210"/>
        <v>1836.0999999999985</v>
      </c>
      <c r="J257" s="71">
        <f t="shared" si="210"/>
        <v>-1361.3000000000009</v>
      </c>
      <c r="K257" s="71">
        <f t="shared" si="210"/>
        <v>-367.69999999999925</v>
      </c>
      <c r="L257" s="71">
        <f t="shared" si="210"/>
        <v>835.5046239134474</v>
      </c>
      <c r="M257" s="169">
        <f t="shared" si="210"/>
        <v>942.60462391344595</v>
      </c>
      <c r="N257" s="71">
        <f t="shared" si="210"/>
        <v>1487.0063991186989</v>
      </c>
      <c r="O257" s="71">
        <f t="shared" si="210"/>
        <v>904.89651291305438</v>
      </c>
      <c r="P257" s="71">
        <f t="shared" si="210"/>
        <v>911.58370149621157</v>
      </c>
      <c r="Q257" s="71">
        <f t="shared" si="210"/>
        <v>1268.2133440092291</v>
      </c>
      <c r="R257" s="153">
        <f t="shared" si="210"/>
        <v>4571.6999575371983</v>
      </c>
      <c r="S257" s="71">
        <f t="shared" ref="S257:AG257" si="211">S241+SUM(S242:S256)</f>
        <v>1483.3167033942277</v>
      </c>
      <c r="T257" s="71">
        <f t="shared" si="211"/>
        <v>1096.7697535064917</v>
      </c>
      <c r="U257" s="71">
        <f t="shared" si="211"/>
        <v>1180.5537803804432</v>
      </c>
      <c r="V257" s="71">
        <f t="shared" si="211"/>
        <v>1149.8464115585134</v>
      </c>
      <c r="W257" s="153">
        <f t="shared" si="211"/>
        <v>4910.4866488396756</v>
      </c>
      <c r="X257" s="71">
        <f t="shared" si="211"/>
        <v>1980.8409121389218</v>
      </c>
      <c r="Y257" s="71">
        <f t="shared" si="211"/>
        <v>973.43736032068159</v>
      </c>
      <c r="Z257" s="71">
        <f t="shared" si="211"/>
        <v>1246.4806203784881</v>
      </c>
      <c r="AA257" s="71">
        <f t="shared" si="211"/>
        <v>1221.6699210771151</v>
      </c>
      <c r="AB257" s="153">
        <f t="shared" si="211"/>
        <v>5422.4288139152095</v>
      </c>
      <c r="AC257" s="71">
        <f t="shared" si="211"/>
        <v>1955.3455034473227</v>
      </c>
      <c r="AD257" s="71">
        <f t="shared" si="211"/>
        <v>1131.7660759094588</v>
      </c>
      <c r="AE257" s="71">
        <f t="shared" si="211"/>
        <v>1330.9803721442859</v>
      </c>
      <c r="AF257" s="71">
        <f t="shared" si="211"/>
        <v>1302.2857158441066</v>
      </c>
      <c r="AG257" s="153">
        <f t="shared" si="211"/>
        <v>5720.3776673451785</v>
      </c>
      <c r="AH257" s="71">
        <f>AH241+SUM(AH242:AH256)</f>
        <v>2108.4084383876225</v>
      </c>
      <c r="AI257" s="71">
        <f>AI241+SUM(AI242:AI256)</f>
        <v>1191.4674088462068</v>
      </c>
      <c r="AJ257" s="71">
        <f>AJ241+SUM(AJ242:AJ256)</f>
        <v>1409.355033727031</v>
      </c>
      <c r="AK257" s="71">
        <f>AK241+SUM(AK242:AK256)</f>
        <v>1379.5431276986565</v>
      </c>
      <c r="AL257" s="153">
        <f>AL241+SUM(AL242:AL256)</f>
        <v>6088.7740086595149</v>
      </c>
    </row>
    <row r="258" spans="1:38" outlineLevel="1" x14ac:dyDescent="0.25">
      <c r="A258" s="166"/>
      <c r="B258" s="450" t="s">
        <v>13</v>
      </c>
      <c r="C258" s="451"/>
      <c r="D258" s="290"/>
      <c r="E258" s="15"/>
      <c r="F258" s="15"/>
      <c r="G258" s="15"/>
      <c r="H258" s="16"/>
      <c r="I258" s="225"/>
      <c r="J258" s="225"/>
      <c r="K258" s="15"/>
      <c r="L258" s="15"/>
      <c r="M258" s="169">
        <f t="shared" si="193"/>
        <v>0</v>
      </c>
      <c r="N258" s="15"/>
      <c r="O258" s="15"/>
      <c r="P258" s="15"/>
      <c r="Q258" s="15"/>
      <c r="R258" s="160"/>
      <c r="S258" s="15"/>
      <c r="T258" s="15"/>
      <c r="U258" s="15"/>
      <c r="V258" s="15"/>
      <c r="W258" s="160"/>
      <c r="X258" s="15"/>
      <c r="Y258" s="15"/>
      <c r="Z258" s="15"/>
      <c r="AA258" s="15"/>
      <c r="AB258" s="160"/>
      <c r="AC258" s="15"/>
      <c r="AD258" s="15"/>
      <c r="AE258" s="15"/>
      <c r="AF258" s="15"/>
      <c r="AG258" s="160"/>
      <c r="AH258" s="15"/>
      <c r="AI258" s="15"/>
      <c r="AJ258" s="15"/>
      <c r="AK258" s="15"/>
      <c r="AL258" s="160"/>
    </row>
    <row r="259" spans="1:38" outlineLevel="1" x14ac:dyDescent="0.25">
      <c r="A259" s="166"/>
      <c r="B259" s="60" t="s">
        <v>188</v>
      </c>
      <c r="C259" s="61"/>
      <c r="D259" s="25">
        <f>-108.7+32.1+14.2</f>
        <v>-62.399999999999991</v>
      </c>
      <c r="E259" s="25">
        <f>-150.2+218.3+55.1-D259</f>
        <v>185.60000000000002</v>
      </c>
      <c r="F259" s="25">
        <f>-176.3+281.7+57.5-E259-D259</f>
        <v>39.699999999999946</v>
      </c>
      <c r="G259" s="25">
        <f>-190.4+298.3+59.8-F259-E259-D259</f>
        <v>4.8000000000000256</v>
      </c>
      <c r="H259" s="26">
        <f>SUM(D259:G259)</f>
        <v>167.7</v>
      </c>
      <c r="I259" s="25">
        <f>-38+64.6+1.3</f>
        <v>27.899999999999995</v>
      </c>
      <c r="J259" s="25">
        <f>-65.1+93.7+4.3-I259</f>
        <v>5.0000000000000107</v>
      </c>
      <c r="K259" s="25">
        <f>-297.4+133.5+10-J259-I259</f>
        <v>-186.79999999999998</v>
      </c>
      <c r="L259" s="25">
        <f>-(L185-K185)-(L190-K190)</f>
        <v>168.429954992944</v>
      </c>
      <c r="M259" s="169">
        <f t="shared" si="193"/>
        <v>14.529954992944027</v>
      </c>
      <c r="N259" s="25">
        <f>-(N185-L185)-(N190-L190)</f>
        <v>-0.95755173174609354</v>
      </c>
      <c r="O259" s="25">
        <f>-(O185-N185)-(O190-N190)</f>
        <v>9.0721660270264692</v>
      </c>
      <c r="P259" s="25">
        <f>-(P185-O185)-(P190-O190)</f>
        <v>5.6268013560126775</v>
      </c>
      <c r="Q259" s="25">
        <f>-(Q185-P185)-(Q190-P190)</f>
        <v>1.5203254985791403</v>
      </c>
      <c r="R259" s="169">
        <f>SUM(N259:Q259)</f>
        <v>15.261741149872194</v>
      </c>
      <c r="S259" s="25">
        <f>-(S185-Q185)-(S190-Q190)</f>
        <v>-2.0053962938586096</v>
      </c>
      <c r="T259" s="25">
        <f>-(T185-S185)-(T190-S190)</f>
        <v>8.7076684833994022</v>
      </c>
      <c r="U259" s="25">
        <f>-(U185-T185)-(U190-T190)</f>
        <v>2.6733219802654844</v>
      </c>
      <c r="V259" s="25">
        <f>-(V185-U185)-(V190-U190)</f>
        <v>-4.8868559084909435</v>
      </c>
      <c r="W259" s="169">
        <f>SUM(S259:V259)</f>
        <v>4.4887382613153335</v>
      </c>
      <c r="X259" s="25">
        <f>-(X185-V185)-(X190-V190)</f>
        <v>-5.25048029326517</v>
      </c>
      <c r="Y259" s="25">
        <f>-(Y185-X185)-(Y190-X190)</f>
        <v>11.628851391837998</v>
      </c>
      <c r="Z259" s="25">
        <f>-(Z185-Y185)-(Z190-Y190)</f>
        <v>2.9084849632381236</v>
      </c>
      <c r="AA259" s="25">
        <f>-(AA185-Z185)-(AA190-Z190)</f>
        <v>0.61985259529510017</v>
      </c>
      <c r="AB259" s="169">
        <f>SUM(X259:AA259)</f>
        <v>9.9067086571060514</v>
      </c>
      <c r="AC259" s="25">
        <f>-(AC185-AA185)-(AC190-AA190)</f>
        <v>-5.3721436498028652</v>
      </c>
      <c r="AD259" s="25">
        <f>-(AD185-AC185)-(AD190-AC190)</f>
        <v>10.727659486661523</v>
      </c>
      <c r="AE259" s="25">
        <f>-(AE185-AD185)-(AE190-AD190)</f>
        <v>2.0255175921010107</v>
      </c>
      <c r="AF259" s="25">
        <f>-(AF185-AE185)-(AF190-AE190)</f>
        <v>-4.9164238278196279</v>
      </c>
      <c r="AG259" s="169">
        <f>SUM(AC259:AF259)</f>
        <v>2.4646096011400402</v>
      </c>
      <c r="AH259" s="25">
        <f>-(AH185-AF185)-(AH190-AF190)</f>
        <v>-6.9630680052269724</v>
      </c>
      <c r="AI259" s="25">
        <f>-(AI185-AH185)-(AI190-AH190)</f>
        <v>10.893996992873582</v>
      </c>
      <c r="AJ259" s="25">
        <f>-(AJ185-AI185)-(AJ190-AI190)</f>
        <v>1.1934706552237486</v>
      </c>
      <c r="AK259" s="25">
        <f>-(AK185-AJ185)-(AK190-AJ190)</f>
        <v>-5.4964869470305615</v>
      </c>
      <c r="AL259" s="169">
        <f>SUM(AH259:AK259)</f>
        <v>-0.3720873041602033</v>
      </c>
    </row>
    <row r="260" spans="1:38" outlineLevel="1" x14ac:dyDescent="0.25">
      <c r="A260" s="166"/>
      <c r="B260" s="452" t="s">
        <v>189</v>
      </c>
      <c r="C260" s="453"/>
      <c r="D260" s="25">
        <v>-431.4</v>
      </c>
      <c r="E260" s="25">
        <f>-845.6-D260</f>
        <v>-414.20000000000005</v>
      </c>
      <c r="F260" s="25">
        <f>-1280.7-E260-D260</f>
        <v>-435.1</v>
      </c>
      <c r="G260" s="25">
        <f>-1806.6-F260-E260-D260</f>
        <v>-525.9</v>
      </c>
      <c r="H260" s="169">
        <f>SUM(D260:G260)</f>
        <v>-1806.6</v>
      </c>
      <c r="I260" s="25">
        <v>-394.3</v>
      </c>
      <c r="J260" s="25">
        <f>-758.3-I260</f>
        <v>-363.99999999999994</v>
      </c>
      <c r="K260" s="25">
        <f>-1138.4-J260-I260</f>
        <v>-380.10000000000008</v>
      </c>
      <c r="L260" s="25">
        <f>-L291*L16</f>
        <v>-363.64410909603652</v>
      </c>
      <c r="M260" s="169">
        <f t="shared" si="193"/>
        <v>-1502.0441090960367</v>
      </c>
      <c r="N260" s="25">
        <f>-N291*N16</f>
        <v>-425.73496040245453</v>
      </c>
      <c r="O260" s="25">
        <f>-O291*O16</f>
        <v>-406.92479199565304</v>
      </c>
      <c r="P260" s="25">
        <f>-P291*P16</f>
        <v>-421.73489970108</v>
      </c>
      <c r="Q260" s="25">
        <f>-Q291*Q16</f>
        <v>-431.1118456374943</v>
      </c>
      <c r="R260" s="169">
        <f>SUM(N260:Q260)</f>
        <v>-1685.5064977366819</v>
      </c>
      <c r="S260" s="25">
        <f>-S291*S16</f>
        <v>-475.46509470645776</v>
      </c>
      <c r="T260" s="25">
        <f>-T291*T16</f>
        <v>-426.07324356398618</v>
      </c>
      <c r="U260" s="25">
        <f>-U291*U16</f>
        <v>-446.18057186008173</v>
      </c>
      <c r="V260" s="25">
        <f>-V291*V16</f>
        <v>-457.53676113984415</v>
      </c>
      <c r="W260" s="169">
        <f>SUM(S260:V260)</f>
        <v>-1805.2556712703699</v>
      </c>
      <c r="X260" s="25">
        <f>-X291*X16</f>
        <v>-499.02380410603905</v>
      </c>
      <c r="Y260" s="25">
        <f>-Y291*Y16</f>
        <v>-446.02169948421823</v>
      </c>
      <c r="Z260" s="25">
        <f>-Z291*Z16</f>
        <v>-470.2843942939125</v>
      </c>
      <c r="AA260" s="25">
        <f>-AA291*AA16</f>
        <v>-479.1588567740859</v>
      </c>
      <c r="AB260" s="169">
        <f>SUM(X260:AA260)</f>
        <v>-1894.4887546582559</v>
      </c>
      <c r="AC260" s="25">
        <f>-AC291*AC16</f>
        <v>-529.01096047668966</v>
      </c>
      <c r="AD260" s="25">
        <f>-AD291*AD16</f>
        <v>-469.55125536231293</v>
      </c>
      <c r="AE260" s="25">
        <f>-AE291*AE16</f>
        <v>-498.43239886995389</v>
      </c>
      <c r="AF260" s="25">
        <f>-AF291*AF16</f>
        <v>-505.11321427622846</v>
      </c>
      <c r="AG260" s="169">
        <f>SUM(AC260:AF260)</f>
        <v>-2002.1078289851851</v>
      </c>
      <c r="AH260" s="25">
        <f>-AH291*AH16</f>
        <v>-559.19935047208332</v>
      </c>
      <c r="AI260" s="25">
        <f>-AI291*AI16</f>
        <v>-492.60031892352555</v>
      </c>
      <c r="AJ260" s="25">
        <f>-AJ291*AJ16</f>
        <v>-526.75827401990762</v>
      </c>
      <c r="AK260" s="25">
        <f>-AK291*AK16</f>
        <v>-534.26122641918391</v>
      </c>
      <c r="AL260" s="169">
        <f>SUM(AH260:AK260)</f>
        <v>-2112.8191698347005</v>
      </c>
    </row>
    <row r="261" spans="1:38" ht="17.25" outlineLevel="1" x14ac:dyDescent="0.4">
      <c r="A261" s="166"/>
      <c r="B261" s="452" t="s">
        <v>62</v>
      </c>
      <c r="C261" s="453"/>
      <c r="D261" s="28">
        <v>-16.600000000000001</v>
      </c>
      <c r="E261" s="28">
        <f>48.5-37.1-D261</f>
        <v>28</v>
      </c>
      <c r="F261" s="28">
        <f>684.2-72.9-E261-D261</f>
        <v>599.90000000000009</v>
      </c>
      <c r="G261" s="28">
        <f>684.3-56.2-F261-E261-D261</f>
        <v>16.79999999999982</v>
      </c>
      <c r="H261" s="29">
        <f>SUM(D261:G261)</f>
        <v>628.09999999999991</v>
      </c>
      <c r="I261" s="28">
        <v>-19.899999999999999</v>
      </c>
      <c r="J261" s="28">
        <f>-22.5-I261</f>
        <v>-2.6000000000000014</v>
      </c>
      <c r="K261" s="28">
        <f>-39.4-J261-I261</f>
        <v>-16.899999999999999</v>
      </c>
      <c r="L261" s="28">
        <f>-(L191-K191)-(L195-K195)-(L193-K193)+(L210-K210)-(L196-K196)-(L197-K197)</f>
        <v>52.033911759241732</v>
      </c>
      <c r="M261" s="29">
        <f t="shared" si="193"/>
        <v>12.633911759241734</v>
      </c>
      <c r="N261" s="28">
        <f>-(N191-L191)-(N195-L195)-(N193-L193)+(N210-L210)-(N196-L196)-(N197-L197)</f>
        <v>32.555487047468205</v>
      </c>
      <c r="O261" s="28">
        <f>-(O191-N191)-(O195-N195)-(O193-N193)+(O210-N210)-(O196-N196)-(O197-N197)</f>
        <v>57.428595898952892</v>
      </c>
      <c r="P261" s="28">
        <f>-(P191-O191)-(P195-O195)-(P193-O193)+(P210-O210)-(P196-O196)-(P197-O197)</f>
        <v>45.954123871085017</v>
      </c>
      <c r="Q261" s="28">
        <f>-(Q191-P191)-(Q195-P195)-(Q193-P193)+(Q210-P210)-(Q196-P196)-(Q197-P197)</f>
        <v>35.345042383376494</v>
      </c>
      <c r="R261" s="29">
        <f>SUM(N261:Q261)</f>
        <v>171.28324920088261</v>
      </c>
      <c r="S261" s="28">
        <f>-(S191-Q191)-(S195-Q195)-(S193-Q193)+(S210-Q210)-(S196-Q196)-(S197-Q197)</f>
        <v>29.441786776743072</v>
      </c>
      <c r="T261" s="28">
        <f>-(T191-S191)-(T195-S195)-(T193-S193)+(T210-S210)-(T196-S196)-(T197-S197)</f>
        <v>47.153578181869818</v>
      </c>
      <c r="U261" s="28">
        <f>-(U191-T191)-(U195-T195)-(U193-T193)+(U210-T210)-(U196-T196)-(U197-T197)</f>
        <v>34.205894038519546</v>
      </c>
      <c r="V261" s="28">
        <f>-(V191-U191)-(V195-U195)-(V193-U193)+(V210-U210)-(V196-U196)-(V197-U197)</f>
        <v>18.464040328605165</v>
      </c>
      <c r="W261" s="29">
        <f>SUM(S261:V261)</f>
        <v>129.2652993257376</v>
      </c>
      <c r="X261" s="28">
        <f>-(X191-V191)-(X195-V195)-(X193-V193)+(X210-V210)-(X196-V196)-(X197-V197)</f>
        <v>16.40923526841226</v>
      </c>
      <c r="Y261" s="28">
        <f>-(Y191-X191)-(Y195-X195)-(Y193-X193)+(Y210-X210)-(Y196-X196)-(Y197-X197)</f>
        <v>47.025606014082655</v>
      </c>
      <c r="Z261" s="28">
        <f>-(Z191-Y191)-(Z195-Y195)-(Z193-Y193)+(Z210-Y210)-(Z196-Y196)-(Z197-Y197)</f>
        <v>29.329522245233022</v>
      </c>
      <c r="AA261" s="28">
        <f>-(AA191-Z191)-(AA195-Z195)-(AA193-Z193)+(AA210-Z210)-(AA196-Z196)-(AA197-Z197)</f>
        <v>23.860622214471334</v>
      </c>
      <c r="AB261" s="29">
        <f>SUM(X261:AA261)</f>
        <v>116.62498574219927</v>
      </c>
      <c r="AC261" s="28">
        <f>-(AC191-AA191)-(AC195-AA195)-(AC193-AA193)+(AC210-AA210)-(AC196-AA196)-(AC197-AA197)</f>
        <v>11.457896557831987</v>
      </c>
      <c r="AD261" s="28">
        <f>-(AD191-AC191)-(AD195-AC195)-(AD193-AC193)+(AD210-AC210)-(AD196-AC196)-(AD197-AC197)</f>
        <v>40.874040715770292</v>
      </c>
      <c r="AE261" s="28">
        <f>-(AE191-AD191)-(AE195-AD195)-(AE193-AD193)+(AE210-AD210)-(AE196-AD196)-(AE197-AD197)</f>
        <v>23.469309543655783</v>
      </c>
      <c r="AF261" s="28">
        <f>-(AF191-AE191)-(AF195-AE195)-(AF193-AE193)+(AF210-AE210)-(AF196-AE196)-(AF197-AE197)</f>
        <v>9.4465652682519874</v>
      </c>
      <c r="AG261" s="29">
        <f>SUM(AC261:AF261)</f>
        <v>85.247812085510049</v>
      </c>
      <c r="AH261" s="28">
        <f>-(AH191-AF191)-(AH195-AF195)-(AH193-AF193)+(AH210-AF210)-(AH196-AF196)-(AH197-AF197)</f>
        <v>-5.9716729375588216</v>
      </c>
      <c r="AI261" s="28">
        <f>-(AI191-AH191)-(AI195-AH195)-(AI193-AH193)+(AI210-AH210)-(AI196-AH196)-(AI197-AH197)</f>
        <v>40.0796140568049</v>
      </c>
      <c r="AJ261" s="28">
        <f>-(AJ191-AI191)-(AJ195-AI195)-(AJ193-AI193)+(AJ210-AI210)-(AJ196-AI196)-(AJ197-AI197)</f>
        <v>17.988728043076151</v>
      </c>
      <c r="AK261" s="28">
        <f>-(AK191-AJ191)-(AK195-AJ195)-(AK193-AJ193)+(AK210-AJ210)-(AK196-AJ196)-(AK197-AJ197)</f>
        <v>3.6312476283398212</v>
      </c>
      <c r="AL261" s="29">
        <f>SUM(AH261:AK261)</f>
        <v>55.72791679066205</v>
      </c>
    </row>
    <row r="262" spans="1:38" outlineLevel="1" x14ac:dyDescent="0.25">
      <c r="A262" s="166"/>
      <c r="B262" s="459" t="s">
        <v>14</v>
      </c>
      <c r="C262" s="460"/>
      <c r="D262" s="32">
        <f t="shared" ref="D262:Q262" si="212">SUM(D259:D261)</f>
        <v>-510.4</v>
      </c>
      <c r="E262" s="32">
        <f t="shared" si="212"/>
        <v>-200.60000000000002</v>
      </c>
      <c r="F262" s="32">
        <f t="shared" si="212"/>
        <v>204.5</v>
      </c>
      <c r="G262" s="32">
        <f t="shared" si="212"/>
        <v>-504.30000000000007</v>
      </c>
      <c r="H262" s="33">
        <f t="shared" si="212"/>
        <v>-1010.8</v>
      </c>
      <c r="I262" s="32">
        <f t="shared" si="212"/>
        <v>-386.3</v>
      </c>
      <c r="J262" s="32">
        <f t="shared" si="212"/>
        <v>-361.59999999999997</v>
      </c>
      <c r="K262" s="32">
        <f t="shared" si="212"/>
        <v>-583.80000000000007</v>
      </c>
      <c r="L262" s="32">
        <f t="shared" si="212"/>
        <v>-143.18024234385078</v>
      </c>
      <c r="M262" s="33">
        <f t="shared" si="212"/>
        <v>-1474.8802423438508</v>
      </c>
      <c r="N262" s="32">
        <f t="shared" si="212"/>
        <v>-394.13702508673242</v>
      </c>
      <c r="O262" s="32">
        <f t="shared" si="212"/>
        <v>-340.42403006967368</v>
      </c>
      <c r="P262" s="32">
        <f t="shared" si="212"/>
        <v>-370.15397447398232</v>
      </c>
      <c r="Q262" s="32">
        <f t="shared" si="212"/>
        <v>-394.24647775553865</v>
      </c>
      <c r="R262" s="33">
        <f>SUM(R259:R261)</f>
        <v>-1498.961507385927</v>
      </c>
      <c r="S262" s="32">
        <f>SUM(S259:S261)</f>
        <v>-448.0287042235733</v>
      </c>
      <c r="T262" s="32">
        <f>SUM(T259:T261)</f>
        <v>-370.21199689871696</v>
      </c>
      <c r="U262" s="32">
        <f>SUM(U259:U261)</f>
        <v>-409.3013558412967</v>
      </c>
      <c r="V262" s="32">
        <f>SUM(V259:V261)</f>
        <v>-443.95957671972991</v>
      </c>
      <c r="W262" s="33">
        <f t="shared" ref="W262:AG262" si="213">SUM(W259:W261)</f>
        <v>-1671.5016336833169</v>
      </c>
      <c r="X262" s="32">
        <f t="shared" si="213"/>
        <v>-487.86504913089198</v>
      </c>
      <c r="Y262" s="32">
        <f t="shared" si="213"/>
        <v>-387.36724207829758</v>
      </c>
      <c r="Z262" s="32">
        <f t="shared" si="213"/>
        <v>-438.04638708544138</v>
      </c>
      <c r="AA262" s="32">
        <f t="shared" si="213"/>
        <v>-454.6783819643195</v>
      </c>
      <c r="AB262" s="33">
        <f t="shared" si="213"/>
        <v>-1767.9570602589506</v>
      </c>
      <c r="AC262" s="32">
        <f t="shared" si="213"/>
        <v>-522.92520756866054</v>
      </c>
      <c r="AD262" s="32">
        <f t="shared" si="213"/>
        <v>-417.94955515988113</v>
      </c>
      <c r="AE262" s="32">
        <f t="shared" si="213"/>
        <v>-472.93757173419715</v>
      </c>
      <c r="AF262" s="32">
        <f t="shared" si="213"/>
        <v>-500.58307283579609</v>
      </c>
      <c r="AG262" s="33">
        <f t="shared" si="213"/>
        <v>-1914.395407298535</v>
      </c>
      <c r="AH262" s="32">
        <f>SUM(AH259:AH261)</f>
        <v>-572.13409141486909</v>
      </c>
      <c r="AI262" s="32">
        <f>SUM(AI259:AI261)</f>
        <v>-441.62670787384707</v>
      </c>
      <c r="AJ262" s="32">
        <f>SUM(AJ259:AJ261)</f>
        <v>-507.57607532160768</v>
      </c>
      <c r="AK262" s="32">
        <f>SUM(AK259:AK261)</f>
        <v>-536.1264657378747</v>
      </c>
      <c r="AL262" s="33">
        <f>SUM(AL259:AL261)</f>
        <v>-2057.4633403481985</v>
      </c>
    </row>
    <row r="263" spans="1:38" outlineLevel="1" x14ac:dyDescent="0.25">
      <c r="A263" s="166"/>
      <c r="B263" s="457" t="s">
        <v>15</v>
      </c>
      <c r="C263" s="458"/>
      <c r="D263" s="161"/>
      <c r="E263" s="157"/>
      <c r="F263" s="157"/>
      <c r="G263" s="157"/>
      <c r="H263" s="158"/>
      <c r="I263" s="157"/>
      <c r="J263" s="157"/>
      <c r="K263" s="157"/>
      <c r="L263" s="157"/>
      <c r="M263" s="158"/>
      <c r="N263" s="157"/>
      <c r="O263" s="157"/>
      <c r="P263" s="157"/>
      <c r="Q263" s="157"/>
      <c r="R263" s="158"/>
      <c r="S263" s="157"/>
      <c r="T263" s="157"/>
      <c r="U263" s="157"/>
      <c r="V263" s="157"/>
      <c r="W263" s="158"/>
      <c r="X263" s="157"/>
      <c r="Y263" s="157"/>
      <c r="Z263" s="157"/>
      <c r="AA263" s="157"/>
      <c r="AB263" s="158"/>
      <c r="AC263" s="157"/>
      <c r="AD263" s="157"/>
      <c r="AE263" s="157"/>
      <c r="AF263" s="157"/>
      <c r="AG263" s="158"/>
      <c r="AH263" s="157"/>
      <c r="AI263" s="157"/>
      <c r="AJ263" s="157"/>
      <c r="AK263" s="157"/>
      <c r="AL263" s="158"/>
    </row>
    <row r="264" spans="1:38" outlineLevel="1" x14ac:dyDescent="0.25">
      <c r="A264" s="166"/>
      <c r="B264" s="468" t="s">
        <v>238</v>
      </c>
      <c r="C264" s="469"/>
      <c r="D264" s="72">
        <v>0</v>
      </c>
      <c r="E264" s="72">
        <f>-D264</f>
        <v>0</v>
      </c>
      <c r="F264" s="72">
        <f>1996-350-E264-D264</f>
        <v>1646</v>
      </c>
      <c r="G264" s="72">
        <f>1996-F264-E264-D264</f>
        <v>350</v>
      </c>
      <c r="H264" s="73">
        <f t="shared" ref="H264:H271" si="214">SUM(D264:G264)</f>
        <v>1996</v>
      </c>
      <c r="I264" s="72">
        <v>0</v>
      </c>
      <c r="J264" s="72">
        <f>1739.7-I264</f>
        <v>1739.7</v>
      </c>
      <c r="K264" s="72">
        <f>1157.2+4727.6-J264-I264</f>
        <v>4145.1000000000004</v>
      </c>
      <c r="L264" s="72">
        <f>+(L206-K206)+(L209-K209)</f>
        <v>-437</v>
      </c>
      <c r="M264" s="73">
        <f t="shared" ref="M264:M271" si="215">SUM(I264:L264)</f>
        <v>5447.8</v>
      </c>
      <c r="N264" s="72">
        <f>+(N206-L206)+(N209-L209)</f>
        <v>-437</v>
      </c>
      <c r="O264" s="72">
        <f>+(O206-N206)+(O209-N209)</f>
        <v>-437</v>
      </c>
      <c r="P264" s="72">
        <f>+(P206-O206)+(P209-O209)</f>
        <v>-437</v>
      </c>
      <c r="Q264" s="72">
        <f>+(Q206-P206)+(Q209-P209)</f>
        <v>-438.09999999999991</v>
      </c>
      <c r="R264" s="73">
        <f t="shared" ref="R264:R271" si="216">SUM(N264:Q264)</f>
        <v>-1749.1</v>
      </c>
      <c r="S264" s="72">
        <f>+(S206-Q206)+(S209-Q209)</f>
        <v>-437</v>
      </c>
      <c r="T264" s="72">
        <f>+(T206-S206)+(T209-S209)</f>
        <v>-437</v>
      </c>
      <c r="U264" s="72">
        <f>+(U206-T206)+(U209-T209)</f>
        <v>-437</v>
      </c>
      <c r="V264" s="72">
        <f>+(V206-U206)+(V209-U209)</f>
        <v>312</v>
      </c>
      <c r="W264" s="73">
        <f t="shared" ref="W264:W271" si="217">SUM(S264:V264)</f>
        <v>-999</v>
      </c>
      <c r="X264" s="72">
        <f>+(X206-V206)+(X209-V209)</f>
        <v>-437</v>
      </c>
      <c r="Y264" s="72">
        <f>+(Y206-X206)+(Y209-X209)</f>
        <v>-437</v>
      </c>
      <c r="Z264" s="72">
        <f>+(Z206-Y206)+(Z209-Y209)</f>
        <v>-437</v>
      </c>
      <c r="AA264" s="72">
        <f>+(AA206-Z206)+(AA209-Z209)</f>
        <v>-188</v>
      </c>
      <c r="AB264" s="73">
        <f t="shared" ref="AB264:AB271" si="218">SUM(X264:AA264)</f>
        <v>-1499</v>
      </c>
      <c r="AC264" s="72">
        <f>+(AC206-AA206)+(AC209-AA209)</f>
        <v>-437</v>
      </c>
      <c r="AD264" s="72">
        <f>+(AD206-AC206)+(AD209-AC209)</f>
        <v>-437</v>
      </c>
      <c r="AE264" s="72">
        <f>+(AE206-AD206)+(AE209-AD209)</f>
        <v>-437</v>
      </c>
      <c r="AF264" s="72">
        <f>+(AF206-AE206)+(AF209-AE209)</f>
        <v>312</v>
      </c>
      <c r="AG264" s="73">
        <f t="shared" ref="AG264:AG271" si="219">SUM(AC264:AF264)</f>
        <v>-999</v>
      </c>
      <c r="AH264" s="72">
        <f>+(AH206-AF206)+(AH209-AF209)</f>
        <v>-437</v>
      </c>
      <c r="AI264" s="72">
        <f>+(AI206-AH206)+(AI209-AH209)</f>
        <v>-437</v>
      </c>
      <c r="AJ264" s="72">
        <f>+(AJ206-AI206)+(AJ209-AI209)</f>
        <v>-437</v>
      </c>
      <c r="AK264" s="72">
        <f>+(AK206-AJ206)+(AK209-AJ209)</f>
        <v>308</v>
      </c>
      <c r="AL264" s="73">
        <f t="shared" ref="AL264:AL271" si="220">SUM(AH264:AK264)</f>
        <v>-1003</v>
      </c>
    </row>
    <row r="265" spans="1:38" outlineLevel="1" x14ac:dyDescent="0.25">
      <c r="A265" s="166"/>
      <c r="B265" s="211" t="s">
        <v>237</v>
      </c>
      <c r="C265" s="212"/>
      <c r="D265" s="72">
        <v>-350</v>
      </c>
      <c r="E265" s="72">
        <v>0</v>
      </c>
      <c r="F265" s="72">
        <f>-75-E265-D265</f>
        <v>275</v>
      </c>
      <c r="G265" s="72">
        <f>-350-F265-E265-D265</f>
        <v>-275</v>
      </c>
      <c r="H265" s="73">
        <f t="shared" si="214"/>
        <v>-350</v>
      </c>
      <c r="I265" s="72"/>
      <c r="J265" s="72">
        <f>0-I265</f>
        <v>0</v>
      </c>
      <c r="K265" s="72">
        <v>-220.7</v>
      </c>
      <c r="L265" s="72"/>
      <c r="M265" s="73">
        <f t="shared" si="215"/>
        <v>-220.7</v>
      </c>
      <c r="N265" s="72"/>
      <c r="O265" s="72"/>
      <c r="P265" s="72"/>
      <c r="Q265" s="72"/>
      <c r="R265" s="73">
        <f t="shared" si="216"/>
        <v>0</v>
      </c>
      <c r="S265" s="72"/>
      <c r="T265" s="72"/>
      <c r="U265" s="72"/>
      <c r="V265" s="72"/>
      <c r="W265" s="73">
        <f t="shared" si="217"/>
        <v>0</v>
      </c>
      <c r="X265" s="72"/>
      <c r="Y265" s="72"/>
      <c r="Z265" s="72"/>
      <c r="AA265" s="72"/>
      <c r="AB265" s="73">
        <f t="shared" si="218"/>
        <v>0</v>
      </c>
      <c r="AC265" s="72"/>
      <c r="AD265" s="72"/>
      <c r="AE265" s="72"/>
      <c r="AF265" s="72"/>
      <c r="AG265" s="73">
        <f t="shared" si="219"/>
        <v>0</v>
      </c>
      <c r="AH265" s="72"/>
      <c r="AI265" s="72"/>
      <c r="AJ265" s="72"/>
      <c r="AK265" s="72"/>
      <c r="AL265" s="73">
        <f t="shared" si="220"/>
        <v>0</v>
      </c>
    </row>
    <row r="266" spans="1:38" outlineLevel="1" x14ac:dyDescent="0.25">
      <c r="A266" s="166"/>
      <c r="B266" s="211" t="s">
        <v>235</v>
      </c>
      <c r="C266" s="212"/>
      <c r="D266" s="72"/>
      <c r="E266" s="72">
        <v>75</v>
      </c>
      <c r="F266" s="72">
        <v>0</v>
      </c>
      <c r="G266" s="72">
        <f>0-F266-E266-D266</f>
        <v>-75</v>
      </c>
      <c r="H266" s="73">
        <f t="shared" si="214"/>
        <v>0</v>
      </c>
      <c r="I266" s="72">
        <f>398.9+99</f>
        <v>497.9</v>
      </c>
      <c r="J266" s="72">
        <f>613+494.1-I266</f>
        <v>609.19999999999993</v>
      </c>
      <c r="K266" s="72">
        <f>0-J266-I266</f>
        <v>-1107.0999999999999</v>
      </c>
      <c r="L266" s="72"/>
      <c r="M266" s="73">
        <f t="shared" si="215"/>
        <v>0</v>
      </c>
      <c r="N266" s="72"/>
      <c r="O266" s="72"/>
      <c r="P266" s="72"/>
      <c r="Q266" s="72"/>
      <c r="R266" s="73">
        <f t="shared" si="216"/>
        <v>0</v>
      </c>
      <c r="S266" s="72"/>
      <c r="T266" s="72"/>
      <c r="U266" s="72"/>
      <c r="V266" s="72"/>
      <c r="W266" s="73">
        <f t="shared" si="217"/>
        <v>0</v>
      </c>
      <c r="X266" s="72"/>
      <c r="Y266" s="72"/>
      <c r="Z266" s="72"/>
      <c r="AA266" s="72"/>
      <c r="AB266" s="73">
        <f t="shared" si="218"/>
        <v>0</v>
      </c>
      <c r="AC266" s="72"/>
      <c r="AD266" s="72"/>
      <c r="AE266" s="72"/>
      <c r="AF266" s="72"/>
      <c r="AG266" s="73">
        <f t="shared" si="219"/>
        <v>0</v>
      </c>
      <c r="AH266" s="72"/>
      <c r="AI266" s="72"/>
      <c r="AJ266" s="72"/>
      <c r="AK266" s="72"/>
      <c r="AL266" s="73">
        <f t="shared" si="220"/>
        <v>0</v>
      </c>
    </row>
    <row r="267" spans="1:38" outlineLevel="1" x14ac:dyDescent="0.25">
      <c r="A267" s="166"/>
      <c r="B267" s="42" t="s">
        <v>187</v>
      </c>
      <c r="C267" s="37"/>
      <c r="D267" s="72">
        <v>108.4</v>
      </c>
      <c r="E267" s="72">
        <f>275.7-D267</f>
        <v>167.29999999999998</v>
      </c>
      <c r="F267" s="72">
        <f>358.5-E267-D267</f>
        <v>82.800000000000011</v>
      </c>
      <c r="G267" s="72">
        <f>409.8-F267-E267-D267</f>
        <v>51.300000000000011</v>
      </c>
      <c r="H267" s="73">
        <f t="shared" si="214"/>
        <v>409.8</v>
      </c>
      <c r="I267" s="72">
        <v>33.1</v>
      </c>
      <c r="J267" s="72">
        <f>65.4-I267</f>
        <v>32.300000000000004</v>
      </c>
      <c r="K267" s="72">
        <f>98.9-J267-I267</f>
        <v>33.499999999999993</v>
      </c>
      <c r="L267" s="72"/>
      <c r="M267" s="73">
        <f t="shared" si="215"/>
        <v>98.9</v>
      </c>
      <c r="N267" s="72"/>
      <c r="O267" s="72"/>
      <c r="P267" s="72"/>
      <c r="Q267" s="72"/>
      <c r="R267" s="73">
        <f t="shared" si="216"/>
        <v>0</v>
      </c>
      <c r="S267" s="72"/>
      <c r="T267" s="72"/>
      <c r="U267" s="72"/>
      <c r="V267" s="72"/>
      <c r="W267" s="73">
        <f t="shared" si="217"/>
        <v>0</v>
      </c>
      <c r="X267" s="72"/>
      <c r="Y267" s="72"/>
      <c r="Z267" s="72"/>
      <c r="AA267" s="72"/>
      <c r="AB267" s="73">
        <f t="shared" si="218"/>
        <v>0</v>
      </c>
      <c r="AC267" s="72"/>
      <c r="AD267" s="72"/>
      <c r="AE267" s="72"/>
      <c r="AF267" s="72"/>
      <c r="AG267" s="73">
        <f t="shared" si="219"/>
        <v>0</v>
      </c>
      <c r="AH267" s="72"/>
      <c r="AI267" s="72"/>
      <c r="AJ267" s="72"/>
      <c r="AK267" s="72"/>
      <c r="AL267" s="73">
        <f t="shared" si="220"/>
        <v>0</v>
      </c>
    </row>
    <row r="268" spans="1:38" outlineLevel="1" x14ac:dyDescent="0.25">
      <c r="A268" s="166"/>
      <c r="B268" s="42" t="s">
        <v>193</v>
      </c>
      <c r="C268" s="37"/>
      <c r="D268" s="72">
        <v>-446.7</v>
      </c>
      <c r="E268" s="72">
        <f>-894.5-D268</f>
        <v>-447.8</v>
      </c>
      <c r="F268" s="72">
        <f>-1330.7-E268-D268</f>
        <v>-436.2000000000001</v>
      </c>
      <c r="G268" s="72">
        <f>-1761.3-F268-E268-D268</f>
        <v>-430.59999999999997</v>
      </c>
      <c r="H268" s="73">
        <f t="shared" si="214"/>
        <v>-1761.3</v>
      </c>
      <c r="I268" s="72">
        <v>-484.2</v>
      </c>
      <c r="J268" s="72">
        <f>-965.2-I268</f>
        <v>-481.00000000000006</v>
      </c>
      <c r="K268" s="72">
        <f>-1444.2-J268-I268</f>
        <v>-479.00000000000006</v>
      </c>
      <c r="L268" s="72">
        <f>-L43*L38</f>
        <v>-526.83626037883425</v>
      </c>
      <c r="M268" s="73">
        <f t="shared" si="215"/>
        <v>-1971.0362603788344</v>
      </c>
      <c r="N268" s="72">
        <f>-N43*N38</f>
        <v>-523.57898300246666</v>
      </c>
      <c r="O268" s="72">
        <f>-O43*O38</f>
        <v>-522.04216034164813</v>
      </c>
      <c r="P268" s="72">
        <f>-P43*P38</f>
        <v>-519.62596477425302</v>
      </c>
      <c r="Q268" s="72">
        <f>-Q43*Q38</f>
        <v>-543.49565162199383</v>
      </c>
      <c r="R268" s="73">
        <f t="shared" si="216"/>
        <v>-2108.7427597403621</v>
      </c>
      <c r="S268" s="72">
        <f>-S43*S38</f>
        <v>-541.0464747520117</v>
      </c>
      <c r="T268" s="72">
        <f>-T43*T38</f>
        <v>-539.04045552910213</v>
      </c>
      <c r="U268" s="72">
        <f>-U43*U38</f>
        <v>-536.59146010824168</v>
      </c>
      <c r="V268" s="72">
        <f>-V43*V38</f>
        <v>-560.96610956903385</v>
      </c>
      <c r="W268" s="73">
        <f t="shared" si="217"/>
        <v>-2177.6444999583896</v>
      </c>
      <c r="X268" s="72">
        <f>-X43*X38</f>
        <v>-557.83748470587568</v>
      </c>
      <c r="Y268" s="72">
        <f>-Y43*Y38</f>
        <v>-554.88920252530636</v>
      </c>
      <c r="Z268" s="72">
        <f>-Z43*Z38</f>
        <v>-551.85663763276023</v>
      </c>
      <c r="AA268" s="72">
        <f>-AA43*AA38</f>
        <v>-576.30397654105195</v>
      </c>
      <c r="AB268" s="73">
        <f t="shared" si="218"/>
        <v>-2240.8873014049941</v>
      </c>
      <c r="AC268" s="72">
        <f>-AC43*AC38</f>
        <v>-573.18633156541966</v>
      </c>
      <c r="AD268" s="72">
        <f>-AD43*AD38</f>
        <v>-570.13203739879918</v>
      </c>
      <c r="AE268" s="72">
        <f>-AE43*AE38</f>
        <v>-567.05883586567347</v>
      </c>
      <c r="AF268" s="72">
        <f>-AF43*AF38</f>
        <v>-592.20318898506866</v>
      </c>
      <c r="AG268" s="73">
        <f t="shared" si="219"/>
        <v>-2302.5803938149611</v>
      </c>
      <c r="AH268" s="72">
        <f>-AH43*AH38</f>
        <v>-589.02838991841259</v>
      </c>
      <c r="AI268" s="72">
        <f>-AI43*AI38</f>
        <v>-585.88073350796503</v>
      </c>
      <c r="AJ268" s="72">
        <f>-AJ43*AJ38</f>
        <v>-582.73505975965179</v>
      </c>
      <c r="AK268" s="72">
        <f>-AK43*AK38</f>
        <v>-608.58210629006385</v>
      </c>
      <c r="AL268" s="73">
        <f t="shared" si="220"/>
        <v>-2366.2262894760934</v>
      </c>
    </row>
    <row r="269" spans="1:38" outlineLevel="1" x14ac:dyDescent="0.25">
      <c r="A269" s="166"/>
      <c r="B269" s="42" t="s">
        <v>63</v>
      </c>
      <c r="C269" s="92"/>
      <c r="D269" s="72">
        <v>-5114.7</v>
      </c>
      <c r="E269" s="72">
        <f>-7827.9-D269</f>
        <v>-2713.2</v>
      </c>
      <c r="F269" s="72">
        <f>-7972.9-E269-D269</f>
        <v>-145</v>
      </c>
      <c r="G269" s="72">
        <f>-10222.3-F269-E269-D269</f>
        <v>-2249.3999999999996</v>
      </c>
      <c r="H269" s="73">
        <f t="shared" si="214"/>
        <v>-10222.299999999999</v>
      </c>
      <c r="I269" s="72">
        <v>-1091.4000000000001</v>
      </c>
      <c r="J269" s="72">
        <f>-1698.9-I269</f>
        <v>-607.5</v>
      </c>
      <c r="K269" s="72">
        <f>-1698.9-J269-I269</f>
        <v>0</v>
      </c>
      <c r="L269" s="72">
        <f>-L160</f>
        <v>-50</v>
      </c>
      <c r="M269" s="73">
        <f t="shared" si="215"/>
        <v>-1748.9</v>
      </c>
      <c r="N269" s="72">
        <f>-N160</f>
        <v>-50</v>
      </c>
      <c r="O269" s="72">
        <f>-O160</f>
        <v>-70</v>
      </c>
      <c r="P269" s="72">
        <f>-P160</f>
        <v>-100</v>
      </c>
      <c r="Q269" s="72">
        <f>-Q160</f>
        <v>-100</v>
      </c>
      <c r="R269" s="73">
        <f t="shared" si="216"/>
        <v>-320</v>
      </c>
      <c r="S269" s="72">
        <f>-S160</f>
        <v>-50</v>
      </c>
      <c r="T269" s="72">
        <f>-T160</f>
        <v>-70</v>
      </c>
      <c r="U269" s="72">
        <f>-U160</f>
        <v>-100</v>
      </c>
      <c r="V269" s="72">
        <f>-V160</f>
        <v>-100</v>
      </c>
      <c r="W269" s="73">
        <f t="shared" si="217"/>
        <v>-320</v>
      </c>
      <c r="X269" s="72">
        <f>-X160</f>
        <v>-200</v>
      </c>
      <c r="Y269" s="72">
        <f>-Y160</f>
        <v>-200</v>
      </c>
      <c r="Z269" s="72">
        <f>-Z160</f>
        <v>-200</v>
      </c>
      <c r="AA269" s="72">
        <f>-AA160</f>
        <v>-200</v>
      </c>
      <c r="AB269" s="73">
        <f t="shared" si="218"/>
        <v>-800</v>
      </c>
      <c r="AC269" s="72">
        <f>-AC160</f>
        <v>-200</v>
      </c>
      <c r="AD269" s="72">
        <f>-AD160</f>
        <v>-200</v>
      </c>
      <c r="AE269" s="72">
        <f>-AE160</f>
        <v>-200</v>
      </c>
      <c r="AF269" s="72">
        <f>-AF160</f>
        <v>-200</v>
      </c>
      <c r="AG269" s="73">
        <f t="shared" si="219"/>
        <v>-800</v>
      </c>
      <c r="AH269" s="72">
        <f>-AH160</f>
        <v>-200</v>
      </c>
      <c r="AI269" s="72">
        <f>-AI160</f>
        <v>-200</v>
      </c>
      <c r="AJ269" s="72">
        <f>-AJ160</f>
        <v>-200</v>
      </c>
      <c r="AK269" s="72">
        <f>-AK160</f>
        <v>-200</v>
      </c>
      <c r="AL269" s="73">
        <f t="shared" si="220"/>
        <v>-800</v>
      </c>
    </row>
    <row r="270" spans="1:38" outlineLevel="1" x14ac:dyDescent="0.25">
      <c r="A270" s="166"/>
      <c r="B270" s="42" t="s">
        <v>209</v>
      </c>
      <c r="C270" s="65"/>
      <c r="D270" s="72">
        <v>-55.3</v>
      </c>
      <c r="E270" s="72">
        <f>-56.3-D270</f>
        <v>-1</v>
      </c>
      <c r="F270" s="72">
        <f>-106.1-E270-D270</f>
        <v>-49.8</v>
      </c>
      <c r="G270" s="72">
        <f>-111.6-F270-E270-D270</f>
        <v>-5.5</v>
      </c>
      <c r="H270" s="73">
        <f t="shared" si="214"/>
        <v>-111.6</v>
      </c>
      <c r="I270" s="72">
        <v>-78.400000000000006</v>
      </c>
      <c r="J270" s="72">
        <f>-87.6-I270</f>
        <v>-9.1999999999999886</v>
      </c>
      <c r="K270" s="72">
        <f>-89.1-J270-I270</f>
        <v>-1.5</v>
      </c>
      <c r="L270" s="72">
        <f>(K270/K247)*L247</f>
        <v>-2.1532182391229275</v>
      </c>
      <c r="M270" s="169">
        <f t="shared" si="215"/>
        <v>-91.253218239122916</v>
      </c>
      <c r="N270" s="72">
        <f>(L270/L247)*N247</f>
        <v>-2.5208720802589619</v>
      </c>
      <c r="O270" s="72">
        <f>(N270/N247)*O247</f>
        <v>-2.4094928589780737</v>
      </c>
      <c r="P270" s="72">
        <f>(O270/O247)*P247</f>
        <v>-2.4971868246907936</v>
      </c>
      <c r="Q270" s="72">
        <f>(P270/P247)*Q247</f>
        <v>-2.5527098223484423</v>
      </c>
      <c r="R270" s="169">
        <f t="shared" si="216"/>
        <v>-9.9802615862762707</v>
      </c>
      <c r="S270" s="72">
        <f>(Q270/Q247)*S247</f>
        <v>-2.8153353467851168</v>
      </c>
      <c r="T270" s="72">
        <f>(S270/S247)*T247</f>
        <v>-2.5228751306458048</v>
      </c>
      <c r="U270" s="72">
        <f>(T270/T247)*U247</f>
        <v>-2.64193512624098</v>
      </c>
      <c r="V270" s="72">
        <f>(U270/U247)*V247</f>
        <v>-2.7091776671552315</v>
      </c>
      <c r="W270" s="169">
        <f t="shared" si="217"/>
        <v>-10.689323270827133</v>
      </c>
      <c r="X270" s="72">
        <f>(V270/V247)*X247</f>
        <v>-2.9548317431256899</v>
      </c>
      <c r="Y270" s="72">
        <f>(X270/X247)*Y247</f>
        <v>-2.6409944073104508</v>
      </c>
      <c r="Z270" s="72">
        <f>(Y270/Y247)*Z247</f>
        <v>-2.784659258981979</v>
      </c>
      <c r="AA270" s="72">
        <f>(Z270/Z247)*AA247</f>
        <v>-2.8372069395211263</v>
      </c>
      <c r="AB270" s="169">
        <f t="shared" si="218"/>
        <v>-11.217692348939245</v>
      </c>
      <c r="AC270" s="72">
        <f>(AA270/AA247)*AC247</f>
        <v>-3.132392414181862</v>
      </c>
      <c r="AD270" s="72">
        <f>(AC270/AC247)*AD247</f>
        <v>-2.7803181791188796</v>
      </c>
      <c r="AE270" s="72">
        <f>(AD270/AD247)*AE247</f>
        <v>-2.9513299002271016</v>
      </c>
      <c r="AF270" s="72">
        <f>(AE270/AE247)*AF247</f>
        <v>-2.9908885049870229</v>
      </c>
      <c r="AG270" s="169">
        <f t="shared" si="219"/>
        <v>-11.854928998514866</v>
      </c>
      <c r="AH270" s="72">
        <f>(AF270/AF247)*AH247</f>
        <v>-3.3111446346136004</v>
      </c>
      <c r="AI270" s="72">
        <f>(AH270/AH247)*AI247</f>
        <v>-2.9167968482717455</v>
      </c>
      <c r="AJ270" s="72">
        <f>(AI270/AI247)*AJ247</f>
        <v>-3.1190537529896707</v>
      </c>
      <c r="AK270" s="72">
        <f>(AJ270/AJ247)*AK247</f>
        <v>-3.1634804150729723</v>
      </c>
      <c r="AL270" s="169">
        <f t="shared" si="220"/>
        <v>-12.510475650947988</v>
      </c>
    </row>
    <row r="271" spans="1:38" ht="17.25" outlineLevel="1" x14ac:dyDescent="0.4">
      <c r="A271" s="166"/>
      <c r="B271" s="468" t="s">
        <v>64</v>
      </c>
      <c r="C271" s="469"/>
      <c r="D271" s="159">
        <v>-0.3</v>
      </c>
      <c r="E271" s="159">
        <f>0.1-D271</f>
        <v>0.4</v>
      </c>
      <c r="F271" s="159">
        <f>-17.6-E271-D271</f>
        <v>-17.7</v>
      </c>
      <c r="G271" s="159">
        <f>-17.5-F271-E271-D271</f>
        <v>9.9999999999999256E-2</v>
      </c>
      <c r="H271" s="152">
        <f t="shared" si="214"/>
        <v>-17.5</v>
      </c>
      <c r="I271" s="159">
        <v>0</v>
      </c>
      <c r="J271" s="159">
        <f>-10.4-I271</f>
        <v>-10.4</v>
      </c>
      <c r="K271" s="159">
        <f>-37.8-J271-I271</f>
        <v>-27.4</v>
      </c>
      <c r="L271" s="159">
        <v>0</v>
      </c>
      <c r="M271" s="73">
        <f t="shared" si="215"/>
        <v>-37.799999999999997</v>
      </c>
      <c r="N271" s="159">
        <v>0</v>
      </c>
      <c r="O271" s="159">
        <v>0</v>
      </c>
      <c r="P271" s="159">
        <v>0</v>
      </c>
      <c r="Q271" s="159">
        <v>0</v>
      </c>
      <c r="R271" s="73">
        <f t="shared" si="216"/>
        <v>0</v>
      </c>
      <c r="S271" s="159">
        <v>0</v>
      </c>
      <c r="T271" s="159">
        <v>0</v>
      </c>
      <c r="U271" s="159">
        <v>0</v>
      </c>
      <c r="V271" s="159">
        <v>0</v>
      </c>
      <c r="W271" s="73">
        <f t="shared" si="217"/>
        <v>0</v>
      </c>
      <c r="X271" s="159">
        <v>0</v>
      </c>
      <c r="Y271" s="159">
        <v>0</v>
      </c>
      <c r="Z271" s="159">
        <v>0</v>
      </c>
      <c r="AA271" s="159">
        <v>0</v>
      </c>
      <c r="AB271" s="73">
        <f t="shared" si="218"/>
        <v>0</v>
      </c>
      <c r="AC271" s="159">
        <v>0</v>
      </c>
      <c r="AD271" s="159">
        <v>0</v>
      </c>
      <c r="AE271" s="159">
        <v>0</v>
      </c>
      <c r="AF271" s="159">
        <v>0</v>
      </c>
      <c r="AG271" s="73">
        <f t="shared" si="219"/>
        <v>0</v>
      </c>
      <c r="AH271" s="159">
        <v>0</v>
      </c>
      <c r="AI271" s="159">
        <v>0</v>
      </c>
      <c r="AJ271" s="159">
        <v>0</v>
      </c>
      <c r="AK271" s="159">
        <v>0</v>
      </c>
      <c r="AL271" s="73">
        <f t="shared" si="220"/>
        <v>0</v>
      </c>
    </row>
    <row r="272" spans="1:38" outlineLevel="1" x14ac:dyDescent="0.25">
      <c r="A272" s="166"/>
      <c r="B272" s="474" t="s">
        <v>16</v>
      </c>
      <c r="C272" s="475"/>
      <c r="D272" s="71">
        <f t="shared" ref="D272:Q272" si="221">SUM(D264:D271)</f>
        <v>-5858.6</v>
      </c>
      <c r="E272" s="71">
        <f t="shared" si="221"/>
        <v>-2919.2999999999997</v>
      </c>
      <c r="F272" s="71">
        <f t="shared" si="221"/>
        <v>1355.1</v>
      </c>
      <c r="G272" s="71">
        <f t="shared" si="221"/>
        <v>-2634.1</v>
      </c>
      <c r="H272" s="153">
        <f t="shared" si="221"/>
        <v>-10056.9</v>
      </c>
      <c r="I272" s="71">
        <f t="shared" si="221"/>
        <v>-1123.0000000000002</v>
      </c>
      <c r="J272" s="71">
        <f t="shared" si="221"/>
        <v>1273.1000000000001</v>
      </c>
      <c r="K272" s="71">
        <f t="shared" si="221"/>
        <v>2342.9000000000005</v>
      </c>
      <c r="L272" s="71">
        <f t="shared" si="221"/>
        <v>-1015.9894786179572</v>
      </c>
      <c r="M272" s="153">
        <f t="shared" si="221"/>
        <v>1477.0105213820427</v>
      </c>
      <c r="N272" s="71">
        <f t="shared" si="221"/>
        <v>-1013.0998550827256</v>
      </c>
      <c r="O272" s="71">
        <f t="shared" si="221"/>
        <v>-1031.4516532006262</v>
      </c>
      <c r="P272" s="71">
        <f t="shared" si="221"/>
        <v>-1059.1231515989439</v>
      </c>
      <c r="Q272" s="71">
        <f t="shared" si="221"/>
        <v>-1084.1483614443421</v>
      </c>
      <c r="R272" s="153">
        <f>SUM(R264:R271)</f>
        <v>-4187.8230213266388</v>
      </c>
      <c r="S272" s="71">
        <f>SUM(S264:S271)</f>
        <v>-1030.8618100987969</v>
      </c>
      <c r="T272" s="71">
        <f>SUM(T264:T271)</f>
        <v>-1048.5633306597479</v>
      </c>
      <c r="U272" s="71">
        <f>SUM(U264:U271)</f>
        <v>-1076.2333952344827</v>
      </c>
      <c r="V272" s="71">
        <f>SUM(V264:V271)</f>
        <v>-351.67528723618909</v>
      </c>
      <c r="W272" s="153">
        <f t="shared" ref="W272:AG272" si="222">SUM(W264:W271)</f>
        <v>-3507.3338232292167</v>
      </c>
      <c r="X272" s="71">
        <f t="shared" si="222"/>
        <v>-1197.7923164490014</v>
      </c>
      <c r="Y272" s="71">
        <f t="shared" si="222"/>
        <v>-1194.5301969326167</v>
      </c>
      <c r="Z272" s="71">
        <f t="shared" si="222"/>
        <v>-1191.6412968917423</v>
      </c>
      <c r="AA272" s="71">
        <f t="shared" si="222"/>
        <v>-967.14118348057309</v>
      </c>
      <c r="AB272" s="153">
        <f t="shared" si="222"/>
        <v>-4551.1049937539337</v>
      </c>
      <c r="AC272" s="71">
        <f t="shared" si="222"/>
        <v>-1213.3187239796014</v>
      </c>
      <c r="AD272" s="71">
        <f t="shared" si="222"/>
        <v>-1209.9123555779181</v>
      </c>
      <c r="AE272" s="71">
        <f t="shared" si="222"/>
        <v>-1207.0101657659006</v>
      </c>
      <c r="AF272" s="71">
        <f t="shared" si="222"/>
        <v>-483.19407749005569</v>
      </c>
      <c r="AG272" s="153">
        <f t="shared" si="222"/>
        <v>-4113.435322813476</v>
      </c>
      <c r="AH272" s="71">
        <f>SUM(AH264:AH271)</f>
        <v>-1229.3395345530262</v>
      </c>
      <c r="AI272" s="71">
        <f>SUM(AI264:AI271)</f>
        <v>-1225.7975303562368</v>
      </c>
      <c r="AJ272" s="71">
        <f>SUM(AJ264:AJ271)</f>
        <v>-1222.8541135126416</v>
      </c>
      <c r="AK272" s="71">
        <f>SUM(AK264:AK271)</f>
        <v>-503.74558670513682</v>
      </c>
      <c r="AL272" s="153">
        <f>SUM(AL264:AL271)</f>
        <v>-4181.7367651270415</v>
      </c>
    </row>
    <row r="273" spans="1:38" outlineLevel="1" x14ac:dyDescent="0.25">
      <c r="A273" s="166"/>
      <c r="B273" s="66" t="s">
        <v>66</v>
      </c>
      <c r="C273" s="67"/>
      <c r="D273" s="290">
        <f>-4.7-0.1</f>
        <v>-4.8</v>
      </c>
      <c r="E273" s="223">
        <f>18.3-0.1-D273</f>
        <v>23</v>
      </c>
      <c r="F273" s="223">
        <f>-2.5-E273-D273</f>
        <v>-20.7</v>
      </c>
      <c r="G273" s="223">
        <f>-49-F273-E273-D273</f>
        <v>-46.5</v>
      </c>
      <c r="H273" s="160">
        <f>SUM(D273:G273)</f>
        <v>-49</v>
      </c>
      <c r="I273" s="223">
        <v>27.1</v>
      </c>
      <c r="J273" s="223">
        <f>8.7-I273</f>
        <v>-18.400000000000002</v>
      </c>
      <c r="K273" s="223">
        <f>10.9-J273-I273</f>
        <v>2.2000000000000028</v>
      </c>
      <c r="L273" s="367">
        <v>0</v>
      </c>
      <c r="M273" s="322">
        <f>SUM(I273:L273)</f>
        <v>10.900000000000002</v>
      </c>
      <c r="N273" s="367">
        <v>0</v>
      </c>
      <c r="O273" s="367">
        <v>0</v>
      </c>
      <c r="P273" s="367">
        <v>0</v>
      </c>
      <c r="Q273" s="367">
        <v>0</v>
      </c>
      <c r="R273" s="322">
        <f>SUM(N273:Q273)</f>
        <v>0</v>
      </c>
      <c r="S273" s="367">
        <v>0</v>
      </c>
      <c r="T273" s="367">
        <v>0</v>
      </c>
      <c r="U273" s="367">
        <v>0</v>
      </c>
      <c r="V273" s="367">
        <v>0</v>
      </c>
      <c r="W273" s="322">
        <f>SUM(S273:V273)</f>
        <v>0</v>
      </c>
      <c r="X273" s="367">
        <v>0</v>
      </c>
      <c r="Y273" s="367">
        <v>0</v>
      </c>
      <c r="Z273" s="367">
        <v>0</v>
      </c>
      <c r="AA273" s="367">
        <v>0</v>
      </c>
      <c r="AB273" s="322">
        <f>SUM(X273:AA273)</f>
        <v>0</v>
      </c>
      <c r="AC273" s="367">
        <v>0</v>
      </c>
      <c r="AD273" s="367">
        <v>0</v>
      </c>
      <c r="AE273" s="367">
        <v>0</v>
      </c>
      <c r="AF273" s="367">
        <v>0</v>
      </c>
      <c r="AG273" s="322">
        <f>SUM(AC273:AF273)</f>
        <v>0</v>
      </c>
      <c r="AH273" s="367">
        <v>0</v>
      </c>
      <c r="AI273" s="367">
        <v>0</v>
      </c>
      <c r="AJ273" s="367">
        <v>0</v>
      </c>
      <c r="AK273" s="367">
        <v>0</v>
      </c>
      <c r="AL273" s="322">
        <f>SUM(AH273:AK273)</f>
        <v>0</v>
      </c>
    </row>
    <row r="274" spans="1:38" ht="17.25" outlineLevel="1" x14ac:dyDescent="0.4">
      <c r="A274" s="166"/>
      <c r="B274" s="452" t="s">
        <v>17</v>
      </c>
      <c r="C274" s="453"/>
      <c r="D274" s="28">
        <f t="shared" ref="D274:R274" si="223">D272+D262+D257+D273</f>
        <v>-3994.7999999999997</v>
      </c>
      <c r="E274" s="28">
        <f t="shared" si="223"/>
        <v>-2706.5</v>
      </c>
      <c r="F274" s="28">
        <f t="shared" si="223"/>
        <v>2708.3000000000011</v>
      </c>
      <c r="G274" s="28">
        <f t="shared" si="223"/>
        <v>-2076.7999999999993</v>
      </c>
      <c r="H274" s="29">
        <f t="shared" si="223"/>
        <v>-6069.7999999999938</v>
      </c>
      <c r="I274" s="28">
        <f t="shared" si="223"/>
        <v>353.89999999999839</v>
      </c>
      <c r="J274" s="28">
        <f t="shared" si="223"/>
        <v>-468.20000000000061</v>
      </c>
      <c r="K274" s="28">
        <f t="shared" si="223"/>
        <v>1393.600000000001</v>
      </c>
      <c r="L274" s="183">
        <f t="shared" si="223"/>
        <v>-323.66509704836062</v>
      </c>
      <c r="M274" s="292">
        <f t="shared" si="223"/>
        <v>955.63490295163786</v>
      </c>
      <c r="N274" s="183">
        <f t="shared" si="223"/>
        <v>79.769518949240819</v>
      </c>
      <c r="O274" s="183">
        <f t="shared" si="223"/>
        <v>-466.97917035724538</v>
      </c>
      <c r="P274" s="183">
        <f t="shared" si="223"/>
        <v>-517.69342457671462</v>
      </c>
      <c r="Q274" s="183">
        <f t="shared" si="223"/>
        <v>-210.1814951906515</v>
      </c>
      <c r="R274" s="292">
        <f t="shared" si="223"/>
        <v>-1115.0845711753673</v>
      </c>
      <c r="S274" s="183">
        <f t="shared" ref="S274:AG274" si="224">S272+S262+S257+S273</f>
        <v>4.4261890718576069</v>
      </c>
      <c r="T274" s="183">
        <f t="shared" si="224"/>
        <v>-322.0055740519731</v>
      </c>
      <c r="U274" s="183">
        <f t="shared" si="224"/>
        <v>-304.98097069533628</v>
      </c>
      <c r="V274" s="183">
        <f t="shared" si="224"/>
        <v>354.21154760259446</v>
      </c>
      <c r="W274" s="292">
        <f t="shared" si="224"/>
        <v>-268.34880807285754</v>
      </c>
      <c r="X274" s="183">
        <f t="shared" si="224"/>
        <v>295.1835465590284</v>
      </c>
      <c r="Y274" s="183">
        <f t="shared" si="224"/>
        <v>-608.46007869023265</v>
      </c>
      <c r="Z274" s="183">
        <f t="shared" si="224"/>
        <v>-383.20706359869564</v>
      </c>
      <c r="AA274" s="183">
        <f t="shared" si="224"/>
        <v>-200.14964436777746</v>
      </c>
      <c r="AB274" s="292">
        <f t="shared" si="224"/>
        <v>-896.63324009767439</v>
      </c>
      <c r="AC274" s="183">
        <f t="shared" si="224"/>
        <v>219.10157189906067</v>
      </c>
      <c r="AD274" s="183">
        <f t="shared" si="224"/>
        <v>-496.09583482834046</v>
      </c>
      <c r="AE274" s="183">
        <f t="shared" si="224"/>
        <v>-348.96736535581203</v>
      </c>
      <c r="AF274" s="183">
        <f t="shared" si="224"/>
        <v>318.50856551825473</v>
      </c>
      <c r="AG274" s="292">
        <f t="shared" si="224"/>
        <v>-307.45306276683277</v>
      </c>
      <c r="AH274" s="183">
        <f>AH272+AH262+AH257+AH273</f>
        <v>306.93481241972722</v>
      </c>
      <c r="AI274" s="183">
        <f>AI272+AI262+AI257+AI273</f>
        <v>-475.95682938387722</v>
      </c>
      <c r="AJ274" s="183">
        <f>AJ272+AJ262+AJ257+AJ273</f>
        <v>-321.07515510721828</v>
      </c>
      <c r="AK274" s="183">
        <f>AK272+AK262+AK257+AK273</f>
        <v>339.67107525564506</v>
      </c>
      <c r="AL274" s="292">
        <f>AL272+AL262+AL257+AL273</f>
        <v>-150.42609681572503</v>
      </c>
    </row>
    <row r="275" spans="1:38" ht="17.25" outlineLevel="1" x14ac:dyDescent="0.4">
      <c r="A275" s="166"/>
      <c r="B275" s="452" t="s">
        <v>18</v>
      </c>
      <c r="C275" s="453"/>
      <c r="D275" s="28">
        <v>8756.2999999999993</v>
      </c>
      <c r="E275" s="28">
        <f>D276</f>
        <v>4761.6000000000004</v>
      </c>
      <c r="F275" s="28">
        <f>E276</f>
        <v>2055.1000000000004</v>
      </c>
      <c r="G275" s="28">
        <f>F276</f>
        <v>4763.4000000000015</v>
      </c>
      <c r="H275" s="29">
        <f>D275</f>
        <v>8756.2999999999993</v>
      </c>
      <c r="I275" s="183">
        <f>H276</f>
        <v>2686.5000000000055</v>
      </c>
      <c r="J275" s="28">
        <f>I276</f>
        <v>3040.5000000000036</v>
      </c>
      <c r="K275" s="28">
        <f>J276</f>
        <v>2572.3000000000029</v>
      </c>
      <c r="L275" s="183">
        <f t="shared" ref="L275:AK275" si="225">K276</f>
        <v>3965.9000000000042</v>
      </c>
      <c r="M275" s="292">
        <f>H276</f>
        <v>2686.5000000000055</v>
      </c>
      <c r="N275" s="183">
        <f t="shared" si="225"/>
        <v>3642.1349029516432</v>
      </c>
      <c r="O275" s="183">
        <f t="shared" si="225"/>
        <v>3721.9044219008838</v>
      </c>
      <c r="P275" s="183">
        <f t="shared" si="225"/>
        <v>3254.9252515436383</v>
      </c>
      <c r="Q275" s="183">
        <f t="shared" si="225"/>
        <v>2737.2318269669236</v>
      </c>
      <c r="R275" s="292">
        <f>M276</f>
        <v>3642.1349029516432</v>
      </c>
      <c r="S275" s="183">
        <f t="shared" si="225"/>
        <v>2527.0503317762759</v>
      </c>
      <c r="T275" s="183">
        <f t="shared" si="225"/>
        <v>2531.4765208481335</v>
      </c>
      <c r="U275" s="183">
        <f t="shared" si="225"/>
        <v>2209.4709467961602</v>
      </c>
      <c r="V275" s="183">
        <f t="shared" si="225"/>
        <v>1904.4899761008239</v>
      </c>
      <c r="W275" s="292">
        <f>R276</f>
        <v>2527.0503317762759</v>
      </c>
      <c r="X275" s="183">
        <f t="shared" si="225"/>
        <v>2258.7015237034184</v>
      </c>
      <c r="Y275" s="183">
        <f t="shared" si="225"/>
        <v>2553.8850702624468</v>
      </c>
      <c r="Z275" s="183">
        <f t="shared" si="225"/>
        <v>1945.4249915722141</v>
      </c>
      <c r="AA275" s="183">
        <f t="shared" si="225"/>
        <v>1562.2179279735185</v>
      </c>
      <c r="AB275" s="292">
        <f>W276</f>
        <v>2258.7015237034184</v>
      </c>
      <c r="AC275" s="183">
        <f t="shared" si="225"/>
        <v>1362.068283605744</v>
      </c>
      <c r="AD275" s="183">
        <f t="shared" si="225"/>
        <v>1581.1698555048047</v>
      </c>
      <c r="AE275" s="183">
        <f t="shared" si="225"/>
        <v>1085.0740206764642</v>
      </c>
      <c r="AF275" s="183">
        <f t="shared" si="225"/>
        <v>736.10665532065218</v>
      </c>
      <c r="AG275" s="292">
        <f>AB276</f>
        <v>1362.068283605744</v>
      </c>
      <c r="AH275" s="183">
        <f t="shared" si="225"/>
        <v>1054.6152208389112</v>
      </c>
      <c r="AI275" s="183">
        <f t="shared" si="225"/>
        <v>1361.5500332586385</v>
      </c>
      <c r="AJ275" s="183">
        <f t="shared" si="225"/>
        <v>885.59320387476123</v>
      </c>
      <c r="AK275" s="183">
        <f t="shared" si="225"/>
        <v>564.51804876754295</v>
      </c>
      <c r="AL275" s="292">
        <f>AG276</f>
        <v>1054.6152208389112</v>
      </c>
    </row>
    <row r="276" spans="1:38" outlineLevel="1" x14ac:dyDescent="0.25">
      <c r="A276" s="166"/>
      <c r="B276" s="489" t="s">
        <v>65</v>
      </c>
      <c r="C276" s="490"/>
      <c r="D276" s="198">
        <f>+D275+D274+0.1</f>
        <v>4761.6000000000004</v>
      </c>
      <c r="E276" s="198">
        <f>+E275+E274</f>
        <v>2055.1000000000004</v>
      </c>
      <c r="F276" s="198">
        <f>+F275+F274</f>
        <v>4763.4000000000015</v>
      </c>
      <c r="G276" s="198">
        <f>+G275+G274</f>
        <v>2686.6000000000022</v>
      </c>
      <c r="H276" s="293">
        <f>+D275+H274</f>
        <v>2686.5000000000055</v>
      </c>
      <c r="I276" s="198">
        <f>+I275+I274+0.1</f>
        <v>3040.5000000000036</v>
      </c>
      <c r="J276" s="198">
        <f t="shared" ref="J276:R276" si="226">+J275+J274</f>
        <v>2572.3000000000029</v>
      </c>
      <c r="K276" s="198">
        <f t="shared" si="226"/>
        <v>3965.9000000000042</v>
      </c>
      <c r="L276" s="198">
        <f t="shared" si="226"/>
        <v>3642.2349029516436</v>
      </c>
      <c r="M276" s="293">
        <f t="shared" si="226"/>
        <v>3642.1349029516432</v>
      </c>
      <c r="N276" s="198">
        <f t="shared" si="226"/>
        <v>3721.9044219008838</v>
      </c>
      <c r="O276" s="198">
        <f t="shared" si="226"/>
        <v>3254.9252515436383</v>
      </c>
      <c r="P276" s="198">
        <f t="shared" si="226"/>
        <v>2737.2318269669236</v>
      </c>
      <c r="Q276" s="198">
        <f t="shared" si="226"/>
        <v>2527.0503317762723</v>
      </c>
      <c r="R276" s="293">
        <f t="shared" si="226"/>
        <v>2527.0503317762759</v>
      </c>
      <c r="S276" s="198">
        <f t="shared" ref="S276:AG276" si="227">+S275+S274</f>
        <v>2531.4765208481335</v>
      </c>
      <c r="T276" s="198">
        <f t="shared" si="227"/>
        <v>2209.4709467961602</v>
      </c>
      <c r="U276" s="198">
        <f t="shared" si="227"/>
        <v>1904.4899761008239</v>
      </c>
      <c r="V276" s="198">
        <f t="shared" si="227"/>
        <v>2258.7015237034184</v>
      </c>
      <c r="W276" s="293">
        <f t="shared" si="227"/>
        <v>2258.7015237034184</v>
      </c>
      <c r="X276" s="198">
        <f t="shared" si="227"/>
        <v>2553.8850702624468</v>
      </c>
      <c r="Y276" s="198">
        <f t="shared" si="227"/>
        <v>1945.4249915722141</v>
      </c>
      <c r="Z276" s="198">
        <f t="shared" si="227"/>
        <v>1562.2179279735185</v>
      </c>
      <c r="AA276" s="198">
        <f t="shared" si="227"/>
        <v>1362.068283605741</v>
      </c>
      <c r="AB276" s="293">
        <f t="shared" si="227"/>
        <v>1362.068283605744</v>
      </c>
      <c r="AC276" s="198">
        <f t="shared" si="227"/>
        <v>1581.1698555048047</v>
      </c>
      <c r="AD276" s="198">
        <f t="shared" si="227"/>
        <v>1085.0740206764642</v>
      </c>
      <c r="AE276" s="198">
        <f t="shared" si="227"/>
        <v>736.10665532065218</v>
      </c>
      <c r="AF276" s="198">
        <f t="shared" si="227"/>
        <v>1054.6152208389069</v>
      </c>
      <c r="AG276" s="293">
        <f t="shared" si="227"/>
        <v>1054.6152208389112</v>
      </c>
      <c r="AH276" s="198">
        <f>+AH275+AH274</f>
        <v>1361.5500332586385</v>
      </c>
      <c r="AI276" s="198">
        <f>+AI275+AI274</f>
        <v>885.59320387476123</v>
      </c>
      <c r="AJ276" s="198">
        <f>+AJ275+AJ274</f>
        <v>564.51804876754295</v>
      </c>
      <c r="AK276" s="198">
        <f>+AK275+AK274</f>
        <v>904.18912402318801</v>
      </c>
      <c r="AL276" s="293">
        <f>+AL275+AL274</f>
        <v>904.1891240231862</v>
      </c>
    </row>
    <row r="277" spans="1:38" s="34" customFormat="1" outlineLevel="1" x14ac:dyDescent="0.25">
      <c r="A277" s="231"/>
      <c r="B277" s="485" t="s">
        <v>49</v>
      </c>
      <c r="C277" s="486"/>
      <c r="D277" s="161">
        <f>D257-(-D260)+((-D30*(1-$C$314)))</f>
        <v>2003.1202331743227</v>
      </c>
      <c r="E277" s="161">
        <f t="shared" ref="E277:G277" si="228">E257-(-E260)+((-E30*(1-$C$314)))</f>
        <v>30.905936421098673</v>
      </c>
      <c r="F277" s="161">
        <f t="shared" si="228"/>
        <v>798.25930861682036</v>
      </c>
      <c r="G277" s="161">
        <f t="shared" si="228"/>
        <v>653.04381753043617</v>
      </c>
      <c r="H277" s="162">
        <f>SUM(D277:G277)</f>
        <v>3485.3292957426779</v>
      </c>
      <c r="I277" s="161">
        <f>I257-(-I260)+((-I30*(1-$C$314)))</f>
        <v>1509.830792382935</v>
      </c>
      <c r="J277" s="161">
        <f t="shared" ref="J277:L277" si="229">J257-(-J260)+((-J30*(1-$C$314)))</f>
        <v>-1651.8652382547637</v>
      </c>
      <c r="K277" s="161">
        <f t="shared" si="229"/>
        <v>-658.37541110055736</v>
      </c>
      <c r="L277" s="161">
        <f t="shared" si="229"/>
        <v>569.45008478902798</v>
      </c>
      <c r="M277" s="162">
        <f>SUM(I277:L277)</f>
        <v>-230.95977218335804</v>
      </c>
      <c r="N277" s="161">
        <f>N257-(-N260)+((-N30*(1-$C$314)))</f>
        <v>1156.3272989569609</v>
      </c>
      <c r="O277" s="161">
        <f t="shared" ref="O277:Q277" si="230">O257-(-O260)+((-O30*(1-$C$314)))</f>
        <v>590.49387142721753</v>
      </c>
      <c r="P277" s="161">
        <f t="shared" si="230"/>
        <v>579.83724257404742</v>
      </c>
      <c r="Q277" s="161">
        <f t="shared" si="230"/>
        <v>924.55622941975014</v>
      </c>
      <c r="R277" s="162">
        <f>SUM(N277:Q277)</f>
        <v>3251.2146423779764</v>
      </c>
      <c r="S277" s="161">
        <f>S257-(-S260)+((-S30*(1-$C$314)))</f>
        <v>1092.7662522458368</v>
      </c>
      <c r="T277" s="161">
        <f t="shared" ref="T277:V277" si="231">T257-(-T260)+((-T30*(1-$C$314)))</f>
        <v>753.07744376967207</v>
      </c>
      <c r="U277" s="161">
        <f t="shared" si="231"/>
        <v>814.22043261662748</v>
      </c>
      <c r="V277" s="161">
        <f t="shared" si="231"/>
        <v>769.62316478403488</v>
      </c>
      <c r="W277" s="162">
        <f>SUM(S277:V277)</f>
        <v>3429.6872934161711</v>
      </c>
      <c r="X277" s="161">
        <f>X257-(-X260)+((-X30*(1-$C$314)))</f>
        <v>1560.9395867827814</v>
      </c>
      <c r="Y277" s="161">
        <f t="shared" ref="Y277:AA277" si="232">Y257-(-Y260)+((-Y30*(1-$C$314)))</f>
        <v>604.00442985546158</v>
      </c>
      <c r="Z277" s="161">
        <f t="shared" si="232"/>
        <v>850.25128537267335</v>
      </c>
      <c r="AA277" s="161">
        <f t="shared" si="232"/>
        <v>814.03241386022648</v>
      </c>
      <c r="AB277" s="162">
        <f>SUM(X277:AA277)</f>
        <v>3829.2277158711427</v>
      </c>
      <c r="AC277" s="161">
        <f>AC257-(-AC260)+((-AC30*(1-$C$314)))</f>
        <v>1496.765875526894</v>
      </c>
      <c r="AD277" s="161">
        <f t="shared" ref="AD277:AF277" si="233">AD257-(-AD260)+((-AD30*(1-$C$314)))</f>
        <v>730.11244337250616</v>
      </c>
      <c r="AE277" s="161">
        <f t="shared" si="233"/>
        <v>897.91188636879201</v>
      </c>
      <c r="AF277" s="161">
        <f t="shared" si="233"/>
        <v>860.00270493143762</v>
      </c>
      <c r="AG277" s="162">
        <f>SUM(AC277:AF277)</f>
        <v>3984.7929101996297</v>
      </c>
      <c r="AH277" s="161">
        <f>AH257-(-AH260)+((-AH30*(1-$C$314)))</f>
        <v>1613.8482556636318</v>
      </c>
      <c r="AI277" s="161">
        <f t="shared" ref="AI277:AK277" si="234">AI257-(-AI260)+((-AI30*(1-$C$314)))</f>
        <v>760.97254793987349</v>
      </c>
      <c r="AJ277" s="161">
        <f t="shared" si="234"/>
        <v>942.16850799341512</v>
      </c>
      <c r="AK277" s="161">
        <f t="shared" si="234"/>
        <v>902.31993983486382</v>
      </c>
      <c r="AL277" s="162">
        <f>SUM(AH277:AK277)</f>
        <v>4219.3092514317841</v>
      </c>
    </row>
    <row r="278" spans="1:38" s="34" customFormat="1" outlineLevel="1" x14ac:dyDescent="0.25">
      <c r="A278" s="231"/>
      <c r="B278" s="42" t="s">
        <v>33</v>
      </c>
      <c r="C278" s="37"/>
      <c r="D278" s="72"/>
      <c r="E278" s="72"/>
      <c r="F278" s="224"/>
      <c r="G278" s="72"/>
      <c r="H278" s="73">
        <v>0</v>
      </c>
      <c r="I278" s="72"/>
      <c r="J278" s="72"/>
      <c r="K278" s="72"/>
      <c r="L278" s="72"/>
      <c r="M278" s="73">
        <v>0</v>
      </c>
      <c r="N278" s="72"/>
      <c r="O278" s="72"/>
      <c r="P278" s="72"/>
      <c r="Q278" s="72"/>
      <c r="R278" s="73">
        <f>M278+1</f>
        <v>1</v>
      </c>
      <c r="S278" s="72"/>
      <c r="T278" s="72"/>
      <c r="U278" s="72"/>
      <c r="V278" s="72"/>
      <c r="W278" s="73">
        <f>R278+1</f>
        <v>2</v>
      </c>
      <c r="X278" s="72"/>
      <c r="Y278" s="72"/>
      <c r="Z278" s="72"/>
      <c r="AA278" s="72"/>
      <c r="AB278" s="73">
        <f>W278+1</f>
        <v>3</v>
      </c>
      <c r="AC278" s="72"/>
      <c r="AD278" s="72"/>
      <c r="AE278" s="72"/>
      <c r="AF278" s="72"/>
      <c r="AG278" s="73">
        <f>AB278+1</f>
        <v>4</v>
      </c>
      <c r="AH278" s="72"/>
      <c r="AI278" s="72"/>
      <c r="AJ278" s="72"/>
      <c r="AK278" s="72"/>
      <c r="AL278" s="73">
        <f>AG278+1</f>
        <v>5</v>
      </c>
    </row>
    <row r="279" spans="1:38" s="34" customFormat="1" outlineLevel="1" x14ac:dyDescent="0.25">
      <c r="A279" s="231"/>
      <c r="B279" s="483" t="s">
        <v>24</v>
      </c>
      <c r="C279" s="484"/>
      <c r="D279" s="74"/>
      <c r="E279" s="74"/>
      <c r="F279" s="74"/>
      <c r="G279" s="74"/>
      <c r="H279" s="75">
        <f>H277/(1+$C$316)^H278</f>
        <v>3485.3292957426779</v>
      </c>
      <c r="I279" s="74"/>
      <c r="J279" s="74"/>
      <c r="K279" s="74"/>
      <c r="L279" s="74"/>
      <c r="M279" s="75">
        <f>M277/(1+$C$316)^M278</f>
        <v>-230.95977218335804</v>
      </c>
      <c r="N279" s="74"/>
      <c r="O279" s="74"/>
      <c r="P279" s="74"/>
      <c r="Q279" s="74"/>
      <c r="R279" s="75">
        <f>R277/(1+$C$316)^R278</f>
        <v>2993.8713316286749</v>
      </c>
      <c r="S279" s="74"/>
      <c r="T279" s="74"/>
      <c r="U279" s="74"/>
      <c r="V279" s="74"/>
      <c r="W279" s="75">
        <f>W277/(1+$C$316)^W278</f>
        <v>2908.2350436848906</v>
      </c>
      <c r="X279" s="74"/>
      <c r="Y279" s="74"/>
      <c r="Z279" s="74"/>
      <c r="AA279" s="74"/>
      <c r="AB279" s="75">
        <f>AB277/(1+$C$316)^AB278</f>
        <v>2990.0170304400917</v>
      </c>
      <c r="AC279" s="74"/>
      <c r="AD279" s="74"/>
      <c r="AE279" s="74"/>
      <c r="AF279" s="74"/>
      <c r="AG279" s="75">
        <f>AG277/(1+$C$316)^AG278</f>
        <v>2865.2050883884694</v>
      </c>
      <c r="AH279" s="74"/>
      <c r="AI279" s="74"/>
      <c r="AJ279" s="74"/>
      <c r="AK279" s="74"/>
      <c r="AL279" s="75">
        <f>AL277/(1+$C$316)^AL278</f>
        <v>2793.6938068703012</v>
      </c>
    </row>
    <row r="280" spans="1:38" outlineLevel="1" x14ac:dyDescent="0.25">
      <c r="A280" s="166"/>
      <c r="B280" s="53" t="s">
        <v>39</v>
      </c>
      <c r="C280" s="67"/>
      <c r="D280" s="15"/>
      <c r="E280" s="15"/>
      <c r="F280" s="15"/>
      <c r="G280" s="15"/>
      <c r="H280" s="16"/>
      <c r="I280" s="15"/>
      <c r="J280" s="15"/>
      <c r="K280" s="15"/>
      <c r="L280" s="15"/>
      <c r="M280" s="16"/>
      <c r="N280" s="15"/>
      <c r="O280" s="15"/>
      <c r="P280" s="15"/>
      <c r="Q280" s="15"/>
      <c r="R280" s="16"/>
      <c r="S280" s="15"/>
      <c r="T280" s="15"/>
      <c r="U280" s="15"/>
      <c r="V280" s="15"/>
      <c r="W280" s="16"/>
      <c r="X280" s="15"/>
      <c r="Y280" s="15"/>
      <c r="Z280" s="15"/>
      <c r="AA280" s="15"/>
      <c r="AB280" s="16"/>
      <c r="AC280" s="15"/>
      <c r="AD280" s="15"/>
      <c r="AE280" s="15"/>
      <c r="AF280" s="15"/>
      <c r="AG280" s="16"/>
      <c r="AH280" s="15"/>
      <c r="AI280" s="15"/>
      <c r="AJ280" s="15"/>
      <c r="AK280" s="15"/>
      <c r="AL280" s="16"/>
    </row>
    <row r="281" spans="1:38" outlineLevel="1" x14ac:dyDescent="0.25">
      <c r="A281" s="166"/>
      <c r="B281" s="60" t="s">
        <v>210</v>
      </c>
      <c r="C281" s="61"/>
      <c r="D281" s="25">
        <f t="shared" ref="D281:AL281" si="235">+D184+D185+D190</f>
        <v>5256.8</v>
      </c>
      <c r="E281" s="25">
        <f t="shared" si="235"/>
        <v>2383.6000000000004</v>
      </c>
      <c r="F281" s="25">
        <f t="shared" si="235"/>
        <v>5058.1000000000022</v>
      </c>
      <c r="G281" s="25">
        <f t="shared" si="235"/>
        <v>2977.1000000000022</v>
      </c>
      <c r="H281" s="26">
        <f t="shared" si="235"/>
        <v>2977.1000000000022</v>
      </c>
      <c r="I281" s="25">
        <f t="shared" si="235"/>
        <v>3308.7000000000039</v>
      </c>
      <c r="J281" s="25">
        <f t="shared" si="235"/>
        <v>2824.0000000000032</v>
      </c>
      <c r="K281" s="25">
        <f t="shared" si="235"/>
        <v>4419.2000000000035</v>
      </c>
      <c r="L281" s="25">
        <f t="shared" si="235"/>
        <v>3927.1049479586995</v>
      </c>
      <c r="M281" s="26">
        <f t="shared" si="235"/>
        <v>3927.1049479586995</v>
      </c>
      <c r="N281" s="25">
        <f t="shared" si="235"/>
        <v>4007.7320186396855</v>
      </c>
      <c r="O281" s="25">
        <f t="shared" si="235"/>
        <v>3531.6806822554136</v>
      </c>
      <c r="P281" s="25">
        <f t="shared" si="235"/>
        <v>3008.3604563226863</v>
      </c>
      <c r="Q281" s="25">
        <f t="shared" si="235"/>
        <v>2796.658635633456</v>
      </c>
      <c r="R281" s="26">
        <f t="shared" si="235"/>
        <v>2796.658635633456</v>
      </c>
      <c r="S281" s="25">
        <f t="shared" si="235"/>
        <v>2803.0902209991759</v>
      </c>
      <c r="T281" s="25">
        <f t="shared" si="235"/>
        <v>2472.376978463803</v>
      </c>
      <c r="U281" s="25">
        <f t="shared" si="235"/>
        <v>2164.7226857882015</v>
      </c>
      <c r="V281" s="25">
        <f t="shared" si="235"/>
        <v>2523.821089299287</v>
      </c>
      <c r="W281" s="26">
        <f t="shared" si="235"/>
        <v>2523.821089299287</v>
      </c>
      <c r="X281" s="25">
        <f t="shared" si="235"/>
        <v>2824.2551161515803</v>
      </c>
      <c r="Y281" s="25">
        <f t="shared" si="235"/>
        <v>2204.1661860695099</v>
      </c>
      <c r="Z281" s="25">
        <f t="shared" si="235"/>
        <v>1818.0506375075759</v>
      </c>
      <c r="AA281" s="25">
        <f t="shared" si="235"/>
        <v>1617.2811405445036</v>
      </c>
      <c r="AB281" s="26">
        <f t="shared" si="235"/>
        <v>1617.2811405445036</v>
      </c>
      <c r="AC281" s="25">
        <f t="shared" si="235"/>
        <v>1841.7548560933699</v>
      </c>
      <c r="AD281" s="25">
        <f t="shared" si="235"/>
        <v>1334.931361778368</v>
      </c>
      <c r="AE281" s="25">
        <f t="shared" si="235"/>
        <v>983.93847883045487</v>
      </c>
      <c r="AF281" s="25">
        <f t="shared" si="235"/>
        <v>1307.3634681765293</v>
      </c>
      <c r="AG281" s="26">
        <f t="shared" si="235"/>
        <v>1307.3634681765293</v>
      </c>
      <c r="AH281" s="25">
        <f t="shared" si="235"/>
        <v>1621.261348601488</v>
      </c>
      <c r="AI281" s="25">
        <f t="shared" si="235"/>
        <v>1134.4105222247372</v>
      </c>
      <c r="AJ281" s="25">
        <f t="shared" si="235"/>
        <v>812.14189646229511</v>
      </c>
      <c r="AK281" s="25">
        <f t="shared" si="235"/>
        <v>1157.3094586649706</v>
      </c>
      <c r="AL281" s="26">
        <f t="shared" si="235"/>
        <v>1157.3094586649706</v>
      </c>
    </row>
    <row r="282" spans="1:38" outlineLevel="1" x14ac:dyDescent="0.25">
      <c r="A282" s="166"/>
      <c r="B282" s="60" t="s">
        <v>50</v>
      </c>
      <c r="C282" s="61"/>
      <c r="D282" s="25">
        <f t="shared" ref="D282:AL282" si="236">D206+D209</f>
        <v>9130.7000000000007</v>
      </c>
      <c r="E282" s="25">
        <f t="shared" si="236"/>
        <v>9216.5</v>
      </c>
      <c r="F282" s="25">
        <f t="shared" si="236"/>
        <v>11159.1</v>
      </c>
      <c r="G282" s="25">
        <f t="shared" si="236"/>
        <v>11167</v>
      </c>
      <c r="H282" s="26">
        <f t="shared" si="236"/>
        <v>11167</v>
      </c>
      <c r="I282" s="25">
        <f t="shared" si="236"/>
        <v>11649.800000000001</v>
      </c>
      <c r="J282" s="25">
        <f t="shared" si="236"/>
        <v>14015.2</v>
      </c>
      <c r="K282" s="25">
        <f t="shared" si="236"/>
        <v>16831.7</v>
      </c>
      <c r="L282" s="25">
        <f t="shared" si="236"/>
        <v>16394.7</v>
      </c>
      <c r="M282" s="26">
        <f t="shared" si="236"/>
        <v>16394.7</v>
      </c>
      <c r="N282" s="25">
        <f t="shared" si="236"/>
        <v>15957.7</v>
      </c>
      <c r="O282" s="25">
        <f t="shared" si="236"/>
        <v>15520.7</v>
      </c>
      <c r="P282" s="25">
        <f t="shared" si="236"/>
        <v>15083.7</v>
      </c>
      <c r="Q282" s="25">
        <f t="shared" si="236"/>
        <v>14645.6</v>
      </c>
      <c r="R282" s="26">
        <f t="shared" si="236"/>
        <v>14645.6</v>
      </c>
      <c r="S282" s="25">
        <f t="shared" si="236"/>
        <v>14208.6</v>
      </c>
      <c r="T282" s="25">
        <f t="shared" si="236"/>
        <v>13771.6</v>
      </c>
      <c r="U282" s="25">
        <f t="shared" si="236"/>
        <v>13334.6</v>
      </c>
      <c r="V282" s="25">
        <f t="shared" si="236"/>
        <v>13646.6</v>
      </c>
      <c r="W282" s="26">
        <f t="shared" si="236"/>
        <v>13646.6</v>
      </c>
      <c r="X282" s="25">
        <f t="shared" si="236"/>
        <v>13209.6</v>
      </c>
      <c r="Y282" s="25">
        <f t="shared" si="236"/>
        <v>12772.6</v>
      </c>
      <c r="Z282" s="25">
        <f t="shared" si="236"/>
        <v>12335.6</v>
      </c>
      <c r="AA282" s="25">
        <f t="shared" si="236"/>
        <v>12147.6</v>
      </c>
      <c r="AB282" s="26">
        <f t="shared" si="236"/>
        <v>12147.6</v>
      </c>
      <c r="AC282" s="25">
        <f t="shared" si="236"/>
        <v>11710.6</v>
      </c>
      <c r="AD282" s="25">
        <f t="shared" si="236"/>
        <v>11273.6</v>
      </c>
      <c r="AE282" s="25">
        <f t="shared" si="236"/>
        <v>10836.6</v>
      </c>
      <c r="AF282" s="25">
        <f t="shared" si="236"/>
        <v>11148.6</v>
      </c>
      <c r="AG282" s="26">
        <f t="shared" si="236"/>
        <v>11148.6</v>
      </c>
      <c r="AH282" s="25">
        <f t="shared" si="236"/>
        <v>10711.6</v>
      </c>
      <c r="AI282" s="25">
        <f t="shared" si="236"/>
        <v>10274.6</v>
      </c>
      <c r="AJ282" s="25">
        <f t="shared" si="236"/>
        <v>9837.6</v>
      </c>
      <c r="AK282" s="25">
        <f t="shared" si="236"/>
        <v>10145.6</v>
      </c>
      <c r="AL282" s="26">
        <f t="shared" si="236"/>
        <v>10145.6</v>
      </c>
    </row>
    <row r="283" spans="1:38" outlineLevel="1" x14ac:dyDescent="0.25">
      <c r="A283" s="166"/>
      <c r="B283" s="487" t="s">
        <v>51</v>
      </c>
      <c r="C283" s="488"/>
      <c r="D283" s="56">
        <f t="shared" ref="D283:AL283" si="237">(D281-D282)/D39</f>
        <v>-3.0907132599329823</v>
      </c>
      <c r="E283" s="56">
        <f t="shared" si="237"/>
        <v>-5.4632605740785154</v>
      </c>
      <c r="F283" s="56">
        <f t="shared" si="237"/>
        <v>-4.9885527391659839</v>
      </c>
      <c r="G283" s="56">
        <f t="shared" si="237"/>
        <v>-6.6975821179389685</v>
      </c>
      <c r="H283" s="57">
        <f t="shared" si="237"/>
        <v>-6.6411774245864397</v>
      </c>
      <c r="I283" s="56">
        <f t="shared" si="237"/>
        <v>-7.0034424853064623</v>
      </c>
      <c r="J283" s="56">
        <f t="shared" si="237"/>
        <v>-9.4784449902600123</v>
      </c>
      <c r="K283" s="56">
        <f t="shared" si="237"/>
        <v>-10.62259306803594</v>
      </c>
      <c r="L283" s="56">
        <f t="shared" si="237"/>
        <v>-10.700024580127518</v>
      </c>
      <c r="M283" s="57">
        <f t="shared" si="237"/>
        <v>-10.385083264901704</v>
      </c>
      <c r="N283" s="56">
        <f t="shared" si="237"/>
        <v>-10.358064979022215</v>
      </c>
      <c r="O283" s="56">
        <f t="shared" si="237"/>
        <v>-10.449243352304331</v>
      </c>
      <c r="P283" s="56">
        <f t="shared" si="237"/>
        <v>-10.622442614958663</v>
      </c>
      <c r="Q283" s="56">
        <f t="shared" si="237"/>
        <v>-10.499121776809828</v>
      </c>
      <c r="R283" s="57">
        <f t="shared" si="237"/>
        <v>-10.387674386808145</v>
      </c>
      <c r="S283" s="56">
        <f t="shared" si="237"/>
        <v>-10.191674610129652</v>
      </c>
      <c r="T283" s="56">
        <f t="shared" si="237"/>
        <v>-10.167615905674104</v>
      </c>
      <c r="U283" s="56">
        <f t="shared" si="237"/>
        <v>-10.137094609869855</v>
      </c>
      <c r="V283" s="56">
        <f t="shared" si="237"/>
        <v>-10.175527393039697</v>
      </c>
      <c r="W283" s="57">
        <f t="shared" si="237"/>
        <v>-10.06565807211123</v>
      </c>
      <c r="X283" s="56">
        <f t="shared" si="237"/>
        <v>-9.5913292312495404</v>
      </c>
      <c r="Y283" s="56">
        <f t="shared" si="237"/>
        <v>-9.8480726278698612</v>
      </c>
      <c r="Z283" s="56">
        <f t="shared" si="237"/>
        <v>-9.8925531076274176</v>
      </c>
      <c r="AA283" s="56">
        <f t="shared" si="237"/>
        <v>-9.9963633566093524</v>
      </c>
      <c r="AB283" s="57">
        <f t="shared" si="237"/>
        <v>-9.8605343382033972</v>
      </c>
      <c r="AC283" s="56">
        <f t="shared" si="237"/>
        <v>-9.4557484899752442</v>
      </c>
      <c r="AD283" s="56">
        <f t="shared" si="237"/>
        <v>-9.6098702472537774</v>
      </c>
      <c r="AE283" s="56">
        <f t="shared" si="237"/>
        <v>-9.6152342229518695</v>
      </c>
      <c r="AF283" s="56">
        <f t="shared" si="237"/>
        <v>-9.6932071886111757</v>
      </c>
      <c r="AG283" s="57">
        <f t="shared" si="237"/>
        <v>-9.5618435466418141</v>
      </c>
      <c r="AH283" s="56">
        <f t="shared" si="237"/>
        <v>-9.0366729050468049</v>
      </c>
      <c r="AI283" s="56">
        <f t="shared" si="237"/>
        <v>-9.1701900094556965</v>
      </c>
      <c r="AJ283" s="56">
        <f t="shared" si="237"/>
        <v>-9.1392333381694844</v>
      </c>
      <c r="AK283" s="56">
        <f t="shared" si="237"/>
        <v>-9.1862844459228032</v>
      </c>
      <c r="AL283" s="57">
        <f t="shared" si="237"/>
        <v>-9.0615147431051639</v>
      </c>
    </row>
    <row r="284" spans="1:38" x14ac:dyDescent="0.25">
      <c r="A284" s="166"/>
      <c r="B284" s="482"/>
      <c r="C284" s="482"/>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row>
    <row r="285" spans="1:38" ht="15.75" x14ac:dyDescent="0.25">
      <c r="A285" s="166"/>
      <c r="B285" s="448" t="s">
        <v>22</v>
      </c>
      <c r="C285" s="467"/>
      <c r="D285" s="22" t="s">
        <v>59</v>
      </c>
      <c r="E285" s="22" t="s">
        <v>212</v>
      </c>
      <c r="F285" s="22" t="s">
        <v>214</v>
      </c>
      <c r="G285" s="22" t="s">
        <v>73</v>
      </c>
      <c r="H285" s="76" t="s">
        <v>73</v>
      </c>
      <c r="I285" s="22" t="s">
        <v>74</v>
      </c>
      <c r="J285" s="22" t="s">
        <v>75</v>
      </c>
      <c r="K285" s="22" t="s">
        <v>76</v>
      </c>
      <c r="L285" s="24" t="s">
        <v>77</v>
      </c>
      <c r="M285" s="78" t="s">
        <v>77</v>
      </c>
      <c r="N285" s="24" t="s">
        <v>78</v>
      </c>
      <c r="O285" s="24" t="s">
        <v>79</v>
      </c>
      <c r="P285" s="24" t="s">
        <v>80</v>
      </c>
      <c r="Q285" s="24" t="s">
        <v>81</v>
      </c>
      <c r="R285" s="78" t="s">
        <v>81</v>
      </c>
      <c r="S285" s="24" t="s">
        <v>82</v>
      </c>
      <c r="T285" s="24" t="s">
        <v>83</v>
      </c>
      <c r="U285" s="24" t="s">
        <v>84</v>
      </c>
      <c r="V285" s="24" t="s">
        <v>85</v>
      </c>
      <c r="W285" s="78" t="s">
        <v>85</v>
      </c>
      <c r="X285" s="24" t="s">
        <v>86</v>
      </c>
      <c r="Y285" s="24" t="s">
        <v>87</v>
      </c>
      <c r="Z285" s="24" t="s">
        <v>88</v>
      </c>
      <c r="AA285" s="24" t="s">
        <v>89</v>
      </c>
      <c r="AB285" s="78" t="s">
        <v>89</v>
      </c>
      <c r="AC285" s="24" t="s">
        <v>216</v>
      </c>
      <c r="AD285" s="24" t="s">
        <v>217</v>
      </c>
      <c r="AE285" s="24" t="s">
        <v>218</v>
      </c>
      <c r="AF285" s="24" t="s">
        <v>219</v>
      </c>
      <c r="AG285" s="78" t="s">
        <v>219</v>
      </c>
      <c r="AH285" s="24" t="s">
        <v>249</v>
      </c>
      <c r="AI285" s="24" t="s">
        <v>250</v>
      </c>
      <c r="AJ285" s="24" t="s">
        <v>251</v>
      </c>
      <c r="AK285" s="24" t="s">
        <v>252</v>
      </c>
      <c r="AL285" s="78" t="s">
        <v>252</v>
      </c>
    </row>
    <row r="286" spans="1:38" ht="17.25" x14ac:dyDescent="0.4">
      <c r="A286" s="166"/>
      <c r="B286" s="463"/>
      <c r="C286" s="464"/>
      <c r="D286" s="23" t="s">
        <v>72</v>
      </c>
      <c r="E286" s="23" t="s">
        <v>211</v>
      </c>
      <c r="F286" s="23" t="s">
        <v>215</v>
      </c>
      <c r="G286" s="23" t="s">
        <v>225</v>
      </c>
      <c r="H286" s="77" t="s">
        <v>226</v>
      </c>
      <c r="I286" s="23" t="s">
        <v>227</v>
      </c>
      <c r="J286" s="23" t="s">
        <v>228</v>
      </c>
      <c r="K286" s="23" t="s">
        <v>229</v>
      </c>
      <c r="L286" s="21" t="s">
        <v>90</v>
      </c>
      <c r="M286" s="79" t="s">
        <v>91</v>
      </c>
      <c r="N286" s="21" t="s">
        <v>92</v>
      </c>
      <c r="O286" s="21" t="s">
        <v>93</v>
      </c>
      <c r="P286" s="21" t="s">
        <v>94</v>
      </c>
      <c r="Q286" s="21" t="s">
        <v>95</v>
      </c>
      <c r="R286" s="79" t="s">
        <v>96</v>
      </c>
      <c r="S286" s="21" t="s">
        <v>97</v>
      </c>
      <c r="T286" s="21" t="s">
        <v>98</v>
      </c>
      <c r="U286" s="21" t="s">
        <v>99</v>
      </c>
      <c r="V286" s="21" t="s">
        <v>100</v>
      </c>
      <c r="W286" s="79" t="s">
        <v>101</v>
      </c>
      <c r="X286" s="21" t="s">
        <v>102</v>
      </c>
      <c r="Y286" s="21" t="s">
        <v>103</v>
      </c>
      <c r="Z286" s="21" t="s">
        <v>104</v>
      </c>
      <c r="AA286" s="21" t="s">
        <v>105</v>
      </c>
      <c r="AB286" s="79" t="s">
        <v>106</v>
      </c>
      <c r="AC286" s="21" t="s">
        <v>220</v>
      </c>
      <c r="AD286" s="21" t="s">
        <v>221</v>
      </c>
      <c r="AE286" s="21" t="s">
        <v>222</v>
      </c>
      <c r="AF286" s="21" t="s">
        <v>223</v>
      </c>
      <c r="AG286" s="79" t="s">
        <v>224</v>
      </c>
      <c r="AH286" s="21" t="s">
        <v>253</v>
      </c>
      <c r="AI286" s="21" t="s">
        <v>254</v>
      </c>
      <c r="AJ286" s="21" t="s">
        <v>255</v>
      </c>
      <c r="AK286" s="21" t="s">
        <v>256</v>
      </c>
      <c r="AL286" s="79" t="s">
        <v>257</v>
      </c>
    </row>
    <row r="287" spans="1:38" ht="17.25" outlineLevel="1" x14ac:dyDescent="0.4">
      <c r="A287" s="166"/>
      <c r="B287" s="461" t="s">
        <v>53</v>
      </c>
      <c r="C287" s="462"/>
      <c r="D287" s="9"/>
      <c r="E287" s="9"/>
      <c r="F287" s="9"/>
      <c r="G287" s="9"/>
      <c r="H287" s="10"/>
      <c r="I287" s="9"/>
      <c r="J287" s="9"/>
      <c r="K287" s="9"/>
      <c r="L287" s="323"/>
      <c r="M287" s="324"/>
      <c r="N287" s="323"/>
      <c r="O287" s="323"/>
      <c r="P287" s="323"/>
      <c r="Q287" s="323"/>
      <c r="R287" s="324"/>
      <c r="S287" s="323"/>
      <c r="T287" s="323"/>
      <c r="U287" s="323"/>
      <c r="V287" s="323"/>
      <c r="W287" s="324"/>
      <c r="X287" s="323"/>
      <c r="Y287" s="323"/>
      <c r="Z287" s="323"/>
      <c r="AA287" s="323"/>
      <c r="AB287" s="324"/>
      <c r="AC287" s="323"/>
      <c r="AD287" s="323"/>
      <c r="AE287" s="323"/>
      <c r="AF287" s="323"/>
      <c r="AG287" s="324"/>
      <c r="AH287" s="323"/>
      <c r="AI287" s="323"/>
      <c r="AJ287" s="323"/>
      <c r="AK287" s="323"/>
      <c r="AL287" s="324"/>
    </row>
    <row r="288" spans="1:38" s="34" customFormat="1" outlineLevel="1" x14ac:dyDescent="0.25">
      <c r="A288" s="231"/>
      <c r="B288" s="60" t="s">
        <v>56</v>
      </c>
      <c r="C288" s="61"/>
      <c r="D288" s="40">
        <f t="shared" ref="D288:K288" si="238">D247/D16</f>
        <v>1.4669742337208073E-2</v>
      </c>
      <c r="E288" s="229">
        <f t="shared" si="238"/>
        <v>1.5033540018078308E-2</v>
      </c>
      <c r="F288" s="191">
        <f t="shared" si="238"/>
        <v>9.2774439396160081E-3</v>
      </c>
      <c r="G288" s="191">
        <f t="shared" si="238"/>
        <v>7.7960575070401619E-3</v>
      </c>
      <c r="H288" s="230">
        <f t="shared" si="238"/>
        <v>1.1618870857004896E-2</v>
      </c>
      <c r="I288" s="191">
        <f t="shared" si="238"/>
        <v>1.2723506784461259E-2</v>
      </c>
      <c r="J288" s="191">
        <f t="shared" si="238"/>
        <v>9.3900628783961833E-3</v>
      </c>
      <c r="K288" s="191">
        <f t="shared" si="238"/>
        <v>9.8055470026763899E-3</v>
      </c>
      <c r="L288" s="356">
        <f>K288</f>
        <v>9.8055470026763899E-3</v>
      </c>
      <c r="M288" s="230"/>
      <c r="N288" s="356">
        <f>L288</f>
        <v>9.8055470026763899E-3</v>
      </c>
      <c r="O288" s="356">
        <f>N288</f>
        <v>9.8055470026763899E-3</v>
      </c>
      <c r="P288" s="356">
        <f>O288</f>
        <v>9.8055470026763899E-3</v>
      </c>
      <c r="Q288" s="356">
        <f>P288</f>
        <v>9.8055470026763899E-3</v>
      </c>
      <c r="R288" s="230"/>
      <c r="S288" s="356">
        <f>Q288</f>
        <v>9.8055470026763899E-3</v>
      </c>
      <c r="T288" s="356">
        <f>S288</f>
        <v>9.8055470026763899E-3</v>
      </c>
      <c r="U288" s="356">
        <f>T288</f>
        <v>9.8055470026763899E-3</v>
      </c>
      <c r="V288" s="356">
        <f>U288</f>
        <v>9.8055470026763899E-3</v>
      </c>
      <c r="W288" s="230"/>
      <c r="X288" s="356">
        <f>V288</f>
        <v>9.8055470026763899E-3</v>
      </c>
      <c r="Y288" s="356">
        <f>X288</f>
        <v>9.8055470026763899E-3</v>
      </c>
      <c r="Z288" s="356">
        <f>Y288</f>
        <v>9.8055470026763899E-3</v>
      </c>
      <c r="AA288" s="356">
        <f>Z288</f>
        <v>9.8055470026763899E-3</v>
      </c>
      <c r="AB288" s="230"/>
      <c r="AC288" s="356">
        <f>AA288</f>
        <v>9.8055470026763899E-3</v>
      </c>
      <c r="AD288" s="356">
        <f>AC288</f>
        <v>9.8055470026763899E-3</v>
      </c>
      <c r="AE288" s="356">
        <f>AD288</f>
        <v>9.8055470026763899E-3</v>
      </c>
      <c r="AF288" s="356">
        <f>AE288</f>
        <v>9.8055470026763899E-3</v>
      </c>
      <c r="AG288" s="230"/>
      <c r="AH288" s="356">
        <f>AF288</f>
        <v>9.8055470026763899E-3</v>
      </c>
      <c r="AI288" s="356">
        <f>AH288</f>
        <v>9.8055470026763899E-3</v>
      </c>
      <c r="AJ288" s="356">
        <f>AI288</f>
        <v>9.8055470026763899E-3</v>
      </c>
      <c r="AK288" s="356">
        <f>AJ288</f>
        <v>9.8055470026763899E-3</v>
      </c>
      <c r="AL288" s="230"/>
    </row>
    <row r="289" spans="1:38" s="34" customFormat="1" outlineLevel="1" x14ac:dyDescent="0.25">
      <c r="A289" s="231"/>
      <c r="B289" s="60" t="s">
        <v>199</v>
      </c>
      <c r="C289" s="61"/>
      <c r="D289" s="40">
        <f>+D245/-D244</f>
        <v>1.1581818181818182</v>
      </c>
      <c r="E289" s="40">
        <f>+E245/-E244</f>
        <v>0.55639097744360888</v>
      </c>
      <c r="F289" s="191">
        <f t="shared" ref="F289:K289" si="239">+F245/-F244</f>
        <v>1.0682852807283763</v>
      </c>
      <c r="G289" s="191">
        <f t="shared" si="239"/>
        <v>0.69411764705882406</v>
      </c>
      <c r="H289" s="230">
        <f t="shared" si="239"/>
        <v>0.86512370311252995</v>
      </c>
      <c r="I289" s="191">
        <f t="shared" si="239"/>
        <v>1.0222575516693164</v>
      </c>
      <c r="J289" s="191">
        <f t="shared" si="239"/>
        <v>0.63295880149812733</v>
      </c>
      <c r="K289" s="191">
        <f t="shared" si="239"/>
        <v>1.0227272727272729</v>
      </c>
      <c r="L289" s="356">
        <v>1</v>
      </c>
      <c r="M289" s="230"/>
      <c r="N289" s="356">
        <v>1</v>
      </c>
      <c r="O289" s="356">
        <v>1</v>
      </c>
      <c r="P289" s="356">
        <v>1</v>
      </c>
      <c r="Q289" s="356">
        <v>1</v>
      </c>
      <c r="R289" s="230"/>
      <c r="S289" s="356">
        <v>1</v>
      </c>
      <c r="T289" s="356">
        <v>1</v>
      </c>
      <c r="U289" s="356">
        <v>1</v>
      </c>
      <c r="V289" s="356">
        <v>1</v>
      </c>
      <c r="W289" s="230"/>
      <c r="X289" s="356">
        <v>1</v>
      </c>
      <c r="Y289" s="356">
        <v>1</v>
      </c>
      <c r="Z289" s="356">
        <v>1</v>
      </c>
      <c r="AA289" s="356">
        <v>1</v>
      </c>
      <c r="AB289" s="230"/>
      <c r="AC289" s="356">
        <v>1</v>
      </c>
      <c r="AD289" s="356">
        <v>1</v>
      </c>
      <c r="AE289" s="356">
        <v>1</v>
      </c>
      <c r="AF289" s="356">
        <v>1</v>
      </c>
      <c r="AG289" s="230"/>
      <c r="AH289" s="356">
        <v>1</v>
      </c>
      <c r="AI289" s="356">
        <v>1</v>
      </c>
      <c r="AJ289" s="356">
        <v>1</v>
      </c>
      <c r="AK289" s="356">
        <v>1</v>
      </c>
      <c r="AL289" s="230"/>
    </row>
    <row r="290" spans="1:38" s="34" customFormat="1" outlineLevel="1" x14ac:dyDescent="0.25">
      <c r="A290" s="231"/>
      <c r="B290" s="452" t="s">
        <v>42</v>
      </c>
      <c r="C290" s="453"/>
      <c r="D290" s="43"/>
      <c r="E290" s="43"/>
      <c r="F290" s="43"/>
      <c r="G290" s="43"/>
      <c r="H290" s="52"/>
      <c r="I290" s="43">
        <f t="shared" ref="I290:AL290" si="240">I257/D257-1</f>
        <v>-0.22820512820512895</v>
      </c>
      <c r="J290" s="43">
        <f t="shared" si="240"/>
        <v>-4.4869364754098413</v>
      </c>
      <c r="K290" s="43">
        <f t="shared" si="240"/>
        <v>-1.314434752864716</v>
      </c>
      <c r="L290" s="43">
        <f t="shared" si="240"/>
        <v>-0.24600250526717193</v>
      </c>
      <c r="M290" s="325">
        <f t="shared" si="240"/>
        <v>-0.81323096873061784</v>
      </c>
      <c r="N290" s="43">
        <f t="shared" si="240"/>
        <v>-0.19012777129856751</v>
      </c>
      <c r="O290" s="43">
        <f t="shared" si="240"/>
        <v>-1.6647296796540467</v>
      </c>
      <c r="P290" s="43">
        <f t="shared" si="240"/>
        <v>-3.4791506703731669</v>
      </c>
      <c r="Q290" s="43">
        <f t="shared" si="240"/>
        <v>0.51790104771533541</v>
      </c>
      <c r="R290" s="325">
        <f t="shared" si="240"/>
        <v>3.8500716435664248</v>
      </c>
      <c r="S290" s="43">
        <f t="shared" si="240"/>
        <v>-2.4812910870175564E-3</v>
      </c>
      <c r="T290" s="43">
        <f t="shared" si="240"/>
        <v>0.21203887721454096</v>
      </c>
      <c r="U290" s="43">
        <f t="shared" si="240"/>
        <v>0.29505801655159303</v>
      </c>
      <c r="V290" s="43">
        <f t="shared" si="240"/>
        <v>-9.3333612211112582E-2</v>
      </c>
      <c r="W290" s="325">
        <f t="shared" si="240"/>
        <v>7.4105189415138994E-2</v>
      </c>
      <c r="X290" s="43">
        <f t="shared" si="240"/>
        <v>0.33541333931332717</v>
      </c>
      <c r="Y290" s="43">
        <f t="shared" si="240"/>
        <v>-0.11245057842952277</v>
      </c>
      <c r="Z290" s="43">
        <f t="shared" si="240"/>
        <v>5.5843995499128773E-2</v>
      </c>
      <c r="AA290" s="43">
        <f t="shared" si="240"/>
        <v>6.246356800057451E-2</v>
      </c>
      <c r="AB290" s="325">
        <f t="shared" si="240"/>
        <v>0.10425487363793229</v>
      </c>
      <c r="AC290" s="43">
        <f t="shared" si="240"/>
        <v>-1.2871002681416277E-2</v>
      </c>
      <c r="AD290" s="43">
        <f t="shared" si="240"/>
        <v>0.16264910516339603</v>
      </c>
      <c r="AE290" s="43">
        <f t="shared" si="240"/>
        <v>6.7790666284197609E-2</v>
      </c>
      <c r="AF290" s="43">
        <f t="shared" si="240"/>
        <v>6.598819646465115E-2</v>
      </c>
      <c r="AG290" s="325">
        <f t="shared" si="240"/>
        <v>5.494749007407207E-2</v>
      </c>
      <c r="AH290" s="43">
        <f t="shared" si="240"/>
        <v>7.8279227210969138E-2</v>
      </c>
      <c r="AI290" s="43">
        <f t="shared" si="240"/>
        <v>5.2750594144442386E-2</v>
      </c>
      <c r="AJ290" s="43">
        <f t="shared" si="240"/>
        <v>5.8884911620807001E-2</v>
      </c>
      <c r="AK290" s="43">
        <f t="shared" si="240"/>
        <v>5.9324471515433741E-2</v>
      </c>
      <c r="AL290" s="325">
        <f t="shared" si="240"/>
        <v>6.4400702669918042E-2</v>
      </c>
    </row>
    <row r="291" spans="1:38" outlineLevel="1" x14ac:dyDescent="0.25">
      <c r="A291" s="166"/>
      <c r="B291" s="70" t="s">
        <v>54</v>
      </c>
      <c r="C291" s="149"/>
      <c r="D291" s="40">
        <f t="shared" ref="D291:K291" si="241">-D260/D16</f>
        <v>6.5041385860961587E-2</v>
      </c>
      <c r="E291" s="40">
        <f t="shared" si="241"/>
        <v>6.5684517673924428E-2</v>
      </c>
      <c r="F291" s="191">
        <f t="shared" si="241"/>
        <v>6.3769602814011436E-2</v>
      </c>
      <c r="G291" s="191">
        <f t="shared" si="241"/>
        <v>7.7945753668297008E-2</v>
      </c>
      <c r="H291" s="227">
        <f t="shared" si="241"/>
        <v>6.8151467825535855E-2</v>
      </c>
      <c r="I291" s="228">
        <f t="shared" si="241"/>
        <v>5.555790393259219E-2</v>
      </c>
      <c r="J291" s="200">
        <f t="shared" si="241"/>
        <v>6.0710175625865198E-2</v>
      </c>
      <c r="K291" s="200">
        <f t="shared" si="241"/>
        <v>9.0026290234717338E-2</v>
      </c>
      <c r="L291" s="355">
        <v>0.06</v>
      </c>
      <c r="M291" s="227">
        <f>-M260/M16</f>
        <v>6.4256825508896873E-2</v>
      </c>
      <c r="N291" s="364">
        <v>0.06</v>
      </c>
      <c r="O291" s="355">
        <v>0.06</v>
      </c>
      <c r="P291" s="355">
        <v>0.06</v>
      </c>
      <c r="Q291" s="355">
        <v>0.06</v>
      </c>
      <c r="R291" s="227">
        <f>-R260/R16</f>
        <v>0.06</v>
      </c>
      <c r="S291" s="364">
        <v>0.06</v>
      </c>
      <c r="T291" s="355">
        <v>0.06</v>
      </c>
      <c r="U291" s="355">
        <v>0.06</v>
      </c>
      <c r="V291" s="355">
        <v>0.06</v>
      </c>
      <c r="W291" s="237">
        <f>-W260/W16</f>
        <v>6.0000000000000005E-2</v>
      </c>
      <c r="X291" s="364">
        <v>0.06</v>
      </c>
      <c r="Y291" s="355">
        <v>0.06</v>
      </c>
      <c r="Z291" s="355">
        <v>0.06</v>
      </c>
      <c r="AA291" s="355">
        <v>0.06</v>
      </c>
      <c r="AB291" s="237">
        <f>-AB260/AB16</f>
        <v>6.0000000000000005E-2</v>
      </c>
      <c r="AC291" s="364">
        <v>0.06</v>
      </c>
      <c r="AD291" s="355">
        <v>0.06</v>
      </c>
      <c r="AE291" s="355">
        <v>0.06</v>
      </c>
      <c r="AF291" s="355">
        <v>0.06</v>
      </c>
      <c r="AG291" s="237">
        <f>-AG260/AG16</f>
        <v>0.06</v>
      </c>
      <c r="AH291" s="364">
        <v>0.06</v>
      </c>
      <c r="AI291" s="355">
        <v>0.06</v>
      </c>
      <c r="AJ291" s="355">
        <v>0.06</v>
      </c>
      <c r="AK291" s="355">
        <v>0.06</v>
      </c>
      <c r="AL291" s="237">
        <f>-AL260/AL16</f>
        <v>0.06</v>
      </c>
    </row>
    <row r="292" spans="1:38" ht="17.25" x14ac:dyDescent="0.4">
      <c r="A292" s="166"/>
      <c r="B292" s="12"/>
      <c r="C292" s="12"/>
      <c r="D292" s="20"/>
      <c r="E292" s="20"/>
      <c r="F292" s="20"/>
      <c r="G292" s="20"/>
      <c r="H292" s="19"/>
      <c r="I292" s="20"/>
      <c r="J292" s="20"/>
      <c r="K292" s="20"/>
      <c r="L292" s="326"/>
      <c r="M292" s="327"/>
      <c r="N292" s="326"/>
      <c r="O292" s="326"/>
      <c r="P292" s="326"/>
      <c r="Q292" s="326"/>
      <c r="R292" s="327"/>
      <c r="S292" s="326"/>
      <c r="T292" s="326"/>
      <c r="U292" s="326"/>
      <c r="V292" s="326"/>
      <c r="W292" s="327"/>
      <c r="X292" s="326"/>
      <c r="Y292" s="326"/>
      <c r="Z292" s="326"/>
      <c r="AA292" s="326"/>
      <c r="AB292" s="327"/>
      <c r="AC292" s="326"/>
      <c r="AD292" s="326"/>
      <c r="AE292" s="326"/>
      <c r="AF292" s="326"/>
      <c r="AG292" s="327"/>
      <c r="AH292" s="326"/>
      <c r="AI292" s="326"/>
      <c r="AJ292" s="326"/>
      <c r="AK292" s="326"/>
      <c r="AL292" s="327"/>
    </row>
    <row r="293" spans="1:38" ht="15.75" x14ac:dyDescent="0.25">
      <c r="B293" s="448" t="s">
        <v>289</v>
      </c>
      <c r="C293" s="449"/>
    </row>
    <row r="294" spans="1:38" x14ac:dyDescent="0.25">
      <c r="B294" s="48" t="s">
        <v>290</v>
      </c>
      <c r="C294" s="389">
        <v>35.9</v>
      </c>
    </row>
    <row r="295" spans="1:38" x14ac:dyDescent="0.25">
      <c r="B295" s="48" t="s">
        <v>291</v>
      </c>
      <c r="C295" s="390">
        <v>40</v>
      </c>
    </row>
    <row r="296" spans="1:38" x14ac:dyDescent="0.25">
      <c r="B296" s="48" t="s">
        <v>292</v>
      </c>
      <c r="C296" s="390">
        <v>32.9</v>
      </c>
    </row>
    <row r="297" spans="1:38" x14ac:dyDescent="0.25">
      <c r="B297" s="368" t="s">
        <v>293</v>
      </c>
      <c r="C297" s="391">
        <v>33.4</v>
      </c>
    </row>
    <row r="298" spans="1:38" ht="17.25" x14ac:dyDescent="0.4">
      <c r="B298" s="368" t="s">
        <v>294</v>
      </c>
      <c r="C298" s="392">
        <v>0</v>
      </c>
    </row>
    <row r="299" spans="1:38" x14ac:dyDescent="0.25">
      <c r="B299" s="393" t="s">
        <v>295</v>
      </c>
      <c r="C299" s="394">
        <f>(C297*(R42))</f>
        <v>87.900178887790958</v>
      </c>
    </row>
    <row r="300" spans="1:38" x14ac:dyDescent="0.25">
      <c r="B300" s="395" t="s">
        <v>296</v>
      </c>
      <c r="C300" s="396">
        <f>C303-C326</f>
        <v>-3.6764287470489876E-2</v>
      </c>
    </row>
    <row r="301" spans="1:38" ht="15.75" x14ac:dyDescent="0.25">
      <c r="B301" s="448" t="s">
        <v>297</v>
      </c>
      <c r="C301" s="449"/>
    </row>
    <row r="302" spans="1:38" x14ac:dyDescent="0.25">
      <c r="B302" s="397" t="s">
        <v>298</v>
      </c>
      <c r="C302" s="398"/>
    </row>
    <row r="303" spans="1:38" x14ac:dyDescent="0.25">
      <c r="B303" s="399" t="s">
        <v>299</v>
      </c>
      <c r="C303" s="400">
        <v>78.867609983488464</v>
      </c>
    </row>
    <row r="304" spans="1:38" ht="17.25" x14ac:dyDescent="0.4">
      <c r="B304" s="399" t="s">
        <v>300</v>
      </c>
      <c r="C304" s="401">
        <f>K39</f>
        <v>1168.5</v>
      </c>
    </row>
    <row r="305" spans="2:3" x14ac:dyDescent="0.25">
      <c r="B305" s="402" t="s">
        <v>301</v>
      </c>
      <c r="C305" s="403">
        <f>C304*C303</f>
        <v>92156.802265706268</v>
      </c>
    </row>
    <row r="306" spans="2:3" x14ac:dyDescent="0.25">
      <c r="B306" s="436" t="s">
        <v>302</v>
      </c>
      <c r="C306" s="404">
        <v>1.0714999999999999</v>
      </c>
    </row>
    <row r="307" spans="2:3" x14ac:dyDescent="0.25">
      <c r="B307" s="436" t="s">
        <v>303</v>
      </c>
      <c r="C307" s="405">
        <v>0.36</v>
      </c>
    </row>
    <row r="308" spans="2:3" x14ac:dyDescent="0.25">
      <c r="B308" s="436" t="s">
        <v>304</v>
      </c>
      <c r="C308" s="406">
        <v>0.23</v>
      </c>
    </row>
    <row r="309" spans="2:3" x14ac:dyDescent="0.25">
      <c r="B309" s="407" t="s">
        <v>305</v>
      </c>
      <c r="C309" s="408">
        <f>C307*C308</f>
        <v>8.2799999999999999E-2</v>
      </c>
    </row>
    <row r="310" spans="2:3" x14ac:dyDescent="0.25">
      <c r="B310" s="436" t="s">
        <v>306</v>
      </c>
      <c r="C310" s="409">
        <v>8.6999999999999994E-3</v>
      </c>
    </row>
    <row r="311" spans="2:3" x14ac:dyDescent="0.25">
      <c r="B311" s="402" t="s">
        <v>307</v>
      </c>
      <c r="C311" s="410">
        <f>C310+(C306*C309)</f>
        <v>9.7420199999999985E-2</v>
      </c>
    </row>
    <row r="312" spans="2:3" x14ac:dyDescent="0.25">
      <c r="B312" s="48" t="s">
        <v>308</v>
      </c>
      <c r="C312" s="411">
        <f>C305/(C305+K206+K209)</f>
        <v>0.845564443495466</v>
      </c>
    </row>
    <row r="313" spans="2:3" x14ac:dyDescent="0.25">
      <c r="B313" s="48" t="s">
        <v>309</v>
      </c>
      <c r="C313" s="411">
        <f>K152*4</f>
        <v>3.1328917978792031E-2</v>
      </c>
    </row>
    <row r="314" spans="2:3" x14ac:dyDescent="0.25">
      <c r="B314" s="48" t="s">
        <v>2</v>
      </c>
      <c r="C314" s="341">
        <f>M150</f>
        <v>0.25973022434236775</v>
      </c>
    </row>
    <row r="315" spans="2:3" x14ac:dyDescent="0.25">
      <c r="B315" s="48" t="s">
        <v>310</v>
      </c>
      <c r="C315" s="411">
        <f>C313*(1-C314)</f>
        <v>2.3191851083756737E-2</v>
      </c>
    </row>
    <row r="316" spans="2:3" x14ac:dyDescent="0.25">
      <c r="B316" s="412" t="s">
        <v>311</v>
      </c>
      <c r="C316" s="413">
        <f>(C312*C311)+((1-C312)*C315)</f>
        <v>8.5956703626707237E-2</v>
      </c>
    </row>
    <row r="317" spans="2:3" x14ac:dyDescent="0.25">
      <c r="B317" s="450" t="s">
        <v>312</v>
      </c>
      <c r="C317" s="451"/>
    </row>
    <row r="318" spans="2:3" x14ac:dyDescent="0.25">
      <c r="B318" s="48" t="s">
        <v>313</v>
      </c>
      <c r="C318" s="414">
        <v>6.5000000000000002E-2</v>
      </c>
    </row>
    <row r="319" spans="2:3" x14ac:dyDescent="0.25">
      <c r="B319" s="48" t="s">
        <v>314</v>
      </c>
      <c r="C319" s="414">
        <v>6.5000000000000002E-2</v>
      </c>
    </row>
    <row r="320" spans="2:3" x14ac:dyDescent="0.25">
      <c r="B320" s="48" t="s">
        <v>315</v>
      </c>
      <c r="C320" s="414">
        <v>0.05</v>
      </c>
    </row>
    <row r="321" spans="2:3" x14ac:dyDescent="0.25">
      <c r="B321" s="48" t="s">
        <v>316</v>
      </c>
      <c r="C321" s="414">
        <f>(C312*(0.062+(0.85*(0.312*0.19))))+((1-C312)*C315)</f>
        <v>9.8612943104058673E-2</v>
      </c>
    </row>
    <row r="322" spans="2:3" x14ac:dyDescent="0.25">
      <c r="B322" s="415" t="s">
        <v>317</v>
      </c>
      <c r="C322" s="398"/>
    </row>
    <row r="323" spans="2:3" x14ac:dyDescent="0.25">
      <c r="B323" s="48" t="s">
        <v>318</v>
      </c>
      <c r="C323" s="416">
        <f>((((AL257*(1+C319))-(C320*AL16*(1+C318))+(C315*(AL206+AL209))))/(C321-C318))/(1+$C$321)^5</f>
        <v>90061.239034603102</v>
      </c>
    </row>
    <row r="324" spans="2:3" x14ac:dyDescent="0.25">
      <c r="B324" s="48" t="s">
        <v>319</v>
      </c>
      <c r="C324" s="416">
        <f>R279+W279+AB279+AG279+AL279</f>
        <v>14551.022301012428</v>
      </c>
    </row>
    <row r="325" spans="2:3" ht="17.25" x14ac:dyDescent="0.4">
      <c r="B325" s="48" t="s">
        <v>320</v>
      </c>
      <c r="C325" s="417">
        <f>+K283</f>
        <v>-10.62259306803594</v>
      </c>
    </row>
    <row r="326" spans="2:3" x14ac:dyDescent="0.25">
      <c r="B326" s="393" t="s">
        <v>321</v>
      </c>
      <c r="C326" s="418">
        <f>(C323+C324)/C304+C325</f>
        <v>78.904374270958954</v>
      </c>
    </row>
    <row r="327" spans="2:3" x14ac:dyDescent="0.25">
      <c r="C327" s="419"/>
    </row>
    <row r="328" spans="2:3" ht="15.75" x14ac:dyDescent="0.25">
      <c r="B328" s="370" t="s">
        <v>322</v>
      </c>
      <c r="C328" s="388"/>
    </row>
    <row r="329" spans="2:3" x14ac:dyDescent="0.25">
      <c r="B329" s="420" t="s">
        <v>328</v>
      </c>
      <c r="C329" s="421">
        <v>-1.2922113843220997E-2</v>
      </c>
    </row>
    <row r="330" spans="2:3" x14ac:dyDescent="0.25">
      <c r="B330" s="48" t="s">
        <v>323</v>
      </c>
      <c r="C330" s="422">
        <v>7.8710018493084066E-2</v>
      </c>
    </row>
    <row r="331" spans="2:3" x14ac:dyDescent="0.25">
      <c r="B331" s="48" t="s">
        <v>324</v>
      </c>
      <c r="C331" s="423">
        <f>C8</f>
        <v>83.402276579374956</v>
      </c>
    </row>
    <row r="332" spans="2:3" x14ac:dyDescent="0.25">
      <c r="B332" s="48" t="s">
        <v>325</v>
      </c>
      <c r="C332" s="423">
        <f>C331*(1+(C329+(2*C330)))</f>
        <v>95.453732330488293</v>
      </c>
    </row>
    <row r="333" spans="2:3" x14ac:dyDescent="0.25">
      <c r="B333" s="424" t="s">
        <v>326</v>
      </c>
      <c r="C333" s="425">
        <f>C331*(1+(C329-(2*C330)))</f>
        <v>69.195353402776632</v>
      </c>
    </row>
  </sheetData>
  <dataConsolidate/>
  <mergeCells count="122">
    <mergeCell ref="B46:C46"/>
    <mergeCell ref="B45:C45"/>
    <mergeCell ref="B56:C56"/>
    <mergeCell ref="B101:C101"/>
    <mergeCell ref="B102:C102"/>
    <mergeCell ref="B80:C80"/>
    <mergeCell ref="B81:C81"/>
    <mergeCell ref="B89:C89"/>
    <mergeCell ref="B92:C92"/>
    <mergeCell ref="B96:C96"/>
    <mergeCell ref="B97:C97"/>
    <mergeCell ref="B64:C64"/>
    <mergeCell ref="B146:C146"/>
    <mergeCell ref="B184:C184"/>
    <mergeCell ref="B183:C183"/>
    <mergeCell ref="B181:C181"/>
    <mergeCell ref="B164:C164"/>
    <mergeCell ref="B199:C199"/>
    <mergeCell ref="B186:C186"/>
    <mergeCell ref="B147:C147"/>
    <mergeCell ref="B264:C264"/>
    <mergeCell ref="B171:C171"/>
    <mergeCell ref="B178:C178"/>
    <mergeCell ref="B168:C168"/>
    <mergeCell ref="B169:C169"/>
    <mergeCell ref="B227:C227"/>
    <mergeCell ref="B228:C228"/>
    <mergeCell ref="B214:C214"/>
    <mergeCell ref="B213:C213"/>
    <mergeCell ref="B201:C201"/>
    <mergeCell ref="B200:C200"/>
    <mergeCell ref="B198:C198"/>
    <mergeCell ref="B48:C48"/>
    <mergeCell ref="B59:C59"/>
    <mergeCell ref="B63:C63"/>
    <mergeCell ref="B131:C131"/>
    <mergeCell ref="B117:C117"/>
    <mergeCell ref="B128:C128"/>
    <mergeCell ref="B129:C129"/>
    <mergeCell ref="B115:C115"/>
    <mergeCell ref="B114:C114"/>
    <mergeCell ref="B275:C275"/>
    <mergeCell ref="B161:C161"/>
    <mergeCell ref="B160:C160"/>
    <mergeCell ref="B260:C260"/>
    <mergeCell ref="B222:C222"/>
    <mergeCell ref="B197:C197"/>
    <mergeCell ref="B3:C3"/>
    <mergeCell ref="B162:C162"/>
    <mergeCell ref="B163:C163"/>
    <mergeCell ref="B4:C4"/>
    <mergeCell ref="B5:C5"/>
    <mergeCell ref="B12:C12"/>
    <mergeCell ref="B41:C41"/>
    <mergeCell ref="B40:C40"/>
    <mergeCell ref="B39:C39"/>
    <mergeCell ref="B38:C38"/>
    <mergeCell ref="B33:C33"/>
    <mergeCell ref="B16:C16"/>
    <mergeCell ref="B32:C32"/>
    <mergeCell ref="B31:C31"/>
    <mergeCell ref="B13:C13"/>
    <mergeCell ref="B14:C14"/>
    <mergeCell ref="B15:C15"/>
    <mergeCell ref="B17:C17"/>
    <mergeCell ref="B290:C290"/>
    <mergeCell ref="B287:C287"/>
    <mergeCell ref="B286:C286"/>
    <mergeCell ref="B285:C285"/>
    <mergeCell ref="B284:C284"/>
    <mergeCell ref="B279:C279"/>
    <mergeCell ref="B277:C277"/>
    <mergeCell ref="B283:C283"/>
    <mergeCell ref="B276:C276"/>
    <mergeCell ref="B258:C258"/>
    <mergeCell ref="B225:C225"/>
    <mergeCell ref="B219:C219"/>
    <mergeCell ref="B2:C2"/>
    <mergeCell ref="B274:C274"/>
    <mergeCell ref="B272:C272"/>
    <mergeCell ref="B271:C271"/>
    <mergeCell ref="B24:C24"/>
    <mergeCell ref="B11:C11"/>
    <mergeCell ref="B257:C257"/>
    <mergeCell ref="B252:C252"/>
    <mergeCell ref="B253:C253"/>
    <mergeCell ref="B250:C250"/>
    <mergeCell ref="B249:C249"/>
    <mergeCell ref="B238:C238"/>
    <mergeCell ref="B230:C230"/>
    <mergeCell ref="B229:C229"/>
    <mergeCell ref="B226:C226"/>
    <mergeCell ref="B256:C256"/>
    <mergeCell ref="B217:C217"/>
    <mergeCell ref="B216:C216"/>
    <mergeCell ref="B215:C215"/>
    <mergeCell ref="B68:C68"/>
    <mergeCell ref="B69:C69"/>
    <mergeCell ref="B293:C293"/>
    <mergeCell ref="B301:C301"/>
    <mergeCell ref="B317:C317"/>
    <mergeCell ref="B261:C261"/>
    <mergeCell ref="A11:A12"/>
    <mergeCell ref="B47:C47"/>
    <mergeCell ref="B263:C263"/>
    <mergeCell ref="B262:C262"/>
    <mergeCell ref="B240:C240"/>
    <mergeCell ref="B223:C223"/>
    <mergeCell ref="B220:C220"/>
    <mergeCell ref="B158:C158"/>
    <mergeCell ref="B157:C157"/>
    <mergeCell ref="B150:C150"/>
    <mergeCell ref="B152:C152"/>
    <mergeCell ref="B140:C140"/>
    <mergeCell ref="B212:C212"/>
    <mergeCell ref="B149:C149"/>
    <mergeCell ref="B159:C159"/>
    <mergeCell ref="B148:C148"/>
    <mergeCell ref="B151:C151"/>
    <mergeCell ref="B156:C156"/>
    <mergeCell ref="B188:C188"/>
    <mergeCell ref="B231:C231"/>
  </mergeCells>
  <pageMargins left="0.7" right="0.7" top="0.75" bottom="0.75" header="0.3" footer="0.3"/>
  <pageSetup scale="10" orientation="landscape" r:id="rId1"/>
  <headerFooter>
    <oddFooter>&amp;CGutenberg Research LLC prohibits the redistribution of this document in whole or part without the written permission. 
© Gutenberg Research LLC 2019.</oddFooter>
  </headerFooter>
  <rowBreaks count="1" manualBreakCount="1">
    <brk id="17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Gutenberg Research</cp:lastModifiedBy>
  <cp:lastPrinted>2015-01-03T01:11:29Z</cp:lastPrinted>
  <dcterms:created xsi:type="dcterms:W3CDTF">2014-10-18T18:34:10Z</dcterms:created>
  <dcterms:modified xsi:type="dcterms:W3CDTF">2020-10-28T18:04:45Z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