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riaashish/Desktop/MSF/Equities/Financial Modeling Program/Class 2/"/>
    </mc:Choice>
  </mc:AlternateContent>
  <bookViews>
    <workbookView xWindow="1540" yWindow="1040" windowWidth="26060" windowHeight="16740" tabRatio="767"/>
  </bookViews>
  <sheets>
    <sheet name="Earnings Model" sheetId="3" r:id="rId1"/>
    <sheet name="Std Dev" sheetId="4" r:id="rId2"/>
  </sheets>
  <externalReferences>
    <externalReference r:id="rId3"/>
  </externalReferences>
  <definedNames>
    <definedName name="DATA" localSheetId="1">#REF!</definedName>
    <definedName name="DATA">#REF!</definedName>
    <definedName name="_xlnm.Print_Area" localSheetId="0">'Earnings Model'!$B$2:$AB$292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55" i="3" l="1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C9" i="3"/>
  <c r="C332" i="3"/>
  <c r="C8" i="3"/>
  <c r="C7" i="3"/>
  <c r="C6" i="3"/>
  <c r="C331" i="3"/>
  <c r="C330" i="3"/>
  <c r="G23" i="4"/>
  <c r="G20" i="4"/>
  <c r="E19" i="4"/>
  <c r="F18" i="4"/>
  <c r="G18" i="4"/>
  <c r="F17" i="4"/>
  <c r="G17" i="4"/>
  <c r="E18" i="4"/>
  <c r="E17" i="4"/>
  <c r="D18" i="4"/>
  <c r="D17" i="4"/>
  <c r="E5" i="4"/>
  <c r="E6" i="4"/>
  <c r="E7" i="4"/>
  <c r="E8" i="4"/>
  <c r="E9" i="4"/>
  <c r="E10" i="4"/>
  <c r="E11" i="4"/>
  <c r="E12" i="4"/>
  <c r="E13" i="4"/>
  <c r="E14" i="4"/>
  <c r="E15" i="4"/>
  <c r="E16" i="4"/>
  <c r="G2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G21" i="4"/>
  <c r="G22" i="4"/>
  <c r="C326" i="3"/>
  <c r="C325" i="3"/>
  <c r="AL278" i="3"/>
  <c r="AL279" i="3"/>
  <c r="AG278" i="3"/>
  <c r="AG279" i="3"/>
  <c r="AB278" i="3"/>
  <c r="AB279" i="3"/>
  <c r="W278" i="3"/>
  <c r="W279" i="3"/>
  <c r="M279" i="3"/>
  <c r="R278" i="3"/>
  <c r="R279" i="3"/>
  <c r="AH277" i="3"/>
  <c r="AI277" i="3"/>
  <c r="AJ277" i="3"/>
  <c r="AK277" i="3"/>
  <c r="AL277" i="3"/>
  <c r="AC277" i="3"/>
  <c r="AD277" i="3"/>
  <c r="AE277" i="3"/>
  <c r="AF277" i="3"/>
  <c r="AG277" i="3"/>
  <c r="X277" i="3"/>
  <c r="Y277" i="3"/>
  <c r="Z277" i="3"/>
  <c r="AA277" i="3"/>
  <c r="AB277" i="3"/>
  <c r="W277" i="3"/>
  <c r="V277" i="3"/>
  <c r="U277" i="3"/>
  <c r="T277" i="3"/>
  <c r="S277" i="3"/>
  <c r="R277" i="3"/>
  <c r="Q277" i="3"/>
  <c r="P277" i="3"/>
  <c r="O277" i="3"/>
  <c r="N277" i="3"/>
  <c r="L277" i="3"/>
  <c r="K277" i="3"/>
  <c r="J277" i="3"/>
  <c r="I277" i="3"/>
  <c r="M277" i="3"/>
  <c r="C324" i="3"/>
  <c r="C310" i="3"/>
  <c r="C313" i="3"/>
  <c r="C305" i="3"/>
  <c r="C314" i="3"/>
  <c r="C315" i="3"/>
  <c r="C304" i="3"/>
  <c r="C316" i="3"/>
  <c r="C306" i="3"/>
  <c r="C322" i="3"/>
  <c r="C327" i="3"/>
  <c r="C312" i="3"/>
  <c r="C317" i="3"/>
  <c r="C301" i="3"/>
  <c r="C300" i="3"/>
  <c r="AD60" i="3"/>
  <c r="V60" i="3"/>
  <c r="AC60" i="3"/>
  <c r="AE60" i="3"/>
  <c r="AF60" i="3"/>
  <c r="O51" i="3"/>
  <c r="O56" i="3"/>
  <c r="O68" i="3"/>
  <c r="L92" i="3"/>
  <c r="L94" i="3"/>
  <c r="L96" i="3"/>
  <c r="L14" i="3"/>
  <c r="L16" i="3"/>
  <c r="L260" i="3"/>
  <c r="L192" i="3"/>
  <c r="N242" i="3"/>
  <c r="N72" i="3"/>
  <c r="N75" i="3"/>
  <c r="N78" i="3"/>
  <c r="O69" i="3"/>
  <c r="O70" i="3"/>
  <c r="O71" i="3"/>
  <c r="O73" i="3"/>
  <c r="O74" i="3"/>
  <c r="M192" i="3"/>
  <c r="O242" i="3"/>
  <c r="N105" i="3"/>
  <c r="N133" i="3"/>
  <c r="O72" i="3"/>
  <c r="O75" i="3"/>
  <c r="O78" i="3"/>
  <c r="P69" i="3"/>
  <c r="P70" i="3"/>
  <c r="P71" i="3"/>
  <c r="P73" i="3"/>
  <c r="P74" i="3"/>
  <c r="N92" i="3"/>
  <c r="N94" i="3"/>
  <c r="N96" i="3"/>
  <c r="N14" i="3"/>
  <c r="N129" i="3"/>
  <c r="N15" i="3"/>
  <c r="N16" i="3"/>
  <c r="N260" i="3"/>
  <c r="N192" i="3"/>
  <c r="P242" i="3"/>
  <c r="O105" i="3"/>
  <c r="O133" i="3"/>
  <c r="P72" i="3"/>
  <c r="P75" i="3"/>
  <c r="P78" i="3"/>
  <c r="Q69" i="3"/>
  <c r="O92" i="3"/>
  <c r="P92" i="3"/>
  <c r="Q92" i="3"/>
  <c r="Q94" i="3"/>
  <c r="Q96" i="3"/>
  <c r="Q101" i="3"/>
  <c r="P94" i="3"/>
  <c r="P96" i="3"/>
  <c r="P101" i="3"/>
  <c r="O94" i="3"/>
  <c r="O96" i="3"/>
  <c r="O101" i="3"/>
  <c r="N101" i="3"/>
  <c r="L101" i="3"/>
  <c r="L102" i="3"/>
  <c r="L103" i="3"/>
  <c r="L104" i="3"/>
  <c r="L106" i="3"/>
  <c r="L107" i="3"/>
  <c r="L108" i="3"/>
  <c r="L112" i="3"/>
  <c r="N102" i="3"/>
  <c r="N103" i="3"/>
  <c r="N104" i="3"/>
  <c r="N106" i="3"/>
  <c r="N107" i="3"/>
  <c r="N108" i="3"/>
  <c r="N112" i="3"/>
  <c r="O102" i="3"/>
  <c r="O103" i="3"/>
  <c r="O104" i="3"/>
  <c r="O106" i="3"/>
  <c r="O107" i="3"/>
  <c r="O108" i="3"/>
  <c r="O112" i="3"/>
  <c r="P102" i="3"/>
  <c r="P103" i="3"/>
  <c r="P104" i="3"/>
  <c r="P105" i="3"/>
  <c r="P106" i="3"/>
  <c r="P107" i="3"/>
  <c r="P108" i="3"/>
  <c r="P112" i="3"/>
  <c r="Q102" i="3"/>
  <c r="P115" i="3"/>
  <c r="P117" i="3"/>
  <c r="P118" i="3"/>
  <c r="P120" i="3"/>
  <c r="P121" i="3"/>
  <c r="P122" i="3"/>
  <c r="P126" i="3"/>
  <c r="Q115" i="3"/>
  <c r="Q117" i="3"/>
  <c r="Q17" i="3"/>
  <c r="Q70" i="3"/>
  <c r="Q103" i="3"/>
  <c r="Q18" i="3"/>
  <c r="Q71" i="3"/>
  <c r="Q104" i="3"/>
  <c r="Q118" i="3"/>
  <c r="Q19" i="3"/>
  <c r="O13" i="3"/>
  <c r="O14" i="3"/>
  <c r="O129" i="3"/>
  <c r="O15" i="3"/>
  <c r="O16" i="3"/>
  <c r="O260" i="3"/>
  <c r="O192" i="3"/>
  <c r="Q242" i="3"/>
  <c r="P133" i="3"/>
  <c r="Q72" i="3"/>
  <c r="Q105" i="3"/>
  <c r="Q119" i="3"/>
  <c r="Q133" i="3"/>
  <c r="Q20" i="3"/>
  <c r="Q73" i="3"/>
  <c r="Q106" i="3"/>
  <c r="Q120" i="3"/>
  <c r="Q21" i="3"/>
  <c r="Q74" i="3"/>
  <c r="Q107" i="3"/>
  <c r="Q121" i="3"/>
  <c r="Q22" i="3"/>
  <c r="Q23" i="3"/>
  <c r="Q14" i="3"/>
  <c r="Q15" i="3"/>
  <c r="Q16" i="3"/>
  <c r="Q25" i="3"/>
  <c r="Q175" i="3"/>
  <c r="L171" i="3"/>
  <c r="O247" i="3"/>
  <c r="L247" i="3"/>
  <c r="L270" i="3"/>
  <c r="N247" i="3"/>
  <c r="N270" i="3"/>
  <c r="O270" i="3"/>
  <c r="P14" i="3"/>
  <c r="P15" i="3"/>
  <c r="P16" i="3"/>
  <c r="P247" i="3"/>
  <c r="P270" i="3"/>
  <c r="Q247" i="3"/>
  <c r="Q270" i="3"/>
  <c r="R270" i="3"/>
  <c r="R272" i="3"/>
  <c r="L215" i="3"/>
  <c r="N215" i="3"/>
  <c r="O215" i="3"/>
  <c r="O17" i="3"/>
  <c r="O18" i="3"/>
  <c r="O19" i="3"/>
  <c r="O21" i="3"/>
  <c r="O22" i="3"/>
  <c r="O20" i="3"/>
  <c r="O23" i="3"/>
  <c r="O25" i="3"/>
  <c r="M270" i="3"/>
  <c r="M272" i="3"/>
  <c r="L17" i="3"/>
  <c r="L18" i="3"/>
  <c r="L19" i="3"/>
  <c r="L21" i="3"/>
  <c r="L22" i="3"/>
  <c r="L23" i="3"/>
  <c r="L25" i="3"/>
  <c r="L31" i="3"/>
  <c r="L32" i="3"/>
  <c r="L33" i="3"/>
  <c r="L241" i="3"/>
  <c r="L216" i="3"/>
  <c r="L219" i="3"/>
  <c r="L200" i="3"/>
  <c r="L208" i="3"/>
  <c r="L213" i="3"/>
  <c r="L220" i="3"/>
  <c r="L185" i="3"/>
  <c r="L190" i="3"/>
  <c r="L259" i="3"/>
  <c r="M259" i="3"/>
  <c r="M260" i="3"/>
  <c r="L195" i="3"/>
  <c r="L261" i="3"/>
  <c r="M261" i="3"/>
  <c r="M262" i="3"/>
  <c r="M241" i="3"/>
  <c r="M247" i="3"/>
  <c r="L186" i="3"/>
  <c r="L250" i="3"/>
  <c r="M250" i="3"/>
  <c r="L187" i="3"/>
  <c r="L251" i="3"/>
  <c r="M251" i="3"/>
  <c r="L253" i="3"/>
  <c r="M253" i="3"/>
  <c r="M257" i="3"/>
  <c r="M274" i="3"/>
  <c r="M276" i="3"/>
  <c r="N275" i="3"/>
  <c r="N272" i="3"/>
  <c r="N17" i="3"/>
  <c r="N18" i="3"/>
  <c r="N19" i="3"/>
  <c r="N20" i="3"/>
  <c r="N21" i="3"/>
  <c r="N22" i="3"/>
  <c r="N23" i="3"/>
  <c r="N25" i="3"/>
  <c r="L272" i="3"/>
  <c r="L262" i="3"/>
  <c r="L257" i="3"/>
  <c r="L274" i="3"/>
  <c r="L276" i="3"/>
  <c r="L184" i="3"/>
  <c r="N29" i="3"/>
  <c r="N31" i="3"/>
  <c r="N32" i="3"/>
  <c r="N33" i="3"/>
  <c r="N241" i="3"/>
  <c r="N216" i="3"/>
  <c r="N219" i="3"/>
  <c r="N200" i="3"/>
  <c r="N208" i="3"/>
  <c r="N213" i="3"/>
  <c r="N220" i="3"/>
  <c r="N185" i="3"/>
  <c r="N190" i="3"/>
  <c r="N259" i="3"/>
  <c r="N195" i="3"/>
  <c r="N261" i="3"/>
  <c r="N262" i="3"/>
  <c r="N186" i="3"/>
  <c r="N250" i="3"/>
  <c r="N187" i="3"/>
  <c r="N251" i="3"/>
  <c r="N253" i="3"/>
  <c r="N257" i="3"/>
  <c r="N274" i="3"/>
  <c r="N276" i="3"/>
  <c r="N184" i="3"/>
  <c r="O29" i="3"/>
  <c r="O31" i="3"/>
  <c r="O32" i="3"/>
  <c r="O33" i="3"/>
  <c r="O241" i="3"/>
  <c r="O216" i="3"/>
  <c r="O219" i="3"/>
  <c r="O200" i="3"/>
  <c r="O208" i="3"/>
  <c r="O213" i="3"/>
  <c r="O220" i="3"/>
  <c r="O185" i="3"/>
  <c r="O190" i="3"/>
  <c r="O259" i="3"/>
  <c r="P215" i="3"/>
  <c r="P17" i="3"/>
  <c r="P18" i="3"/>
  <c r="P19" i="3"/>
  <c r="P21" i="3"/>
  <c r="P22" i="3"/>
  <c r="P20" i="3"/>
  <c r="P23" i="3"/>
  <c r="P25" i="3"/>
  <c r="O272" i="3"/>
  <c r="M195" i="3"/>
  <c r="M215" i="3"/>
  <c r="M216" i="3"/>
  <c r="M219" i="3"/>
  <c r="M200" i="3"/>
  <c r="M208" i="3"/>
  <c r="M213" i="3"/>
  <c r="M220" i="3"/>
  <c r="O195" i="3"/>
  <c r="O261" i="3"/>
  <c r="O262" i="3"/>
  <c r="O186" i="3"/>
  <c r="O250" i="3"/>
  <c r="O187" i="3"/>
  <c r="O251" i="3"/>
  <c r="O253" i="3"/>
  <c r="O257" i="3"/>
  <c r="O274" i="3"/>
  <c r="O275" i="3"/>
  <c r="O276" i="3"/>
  <c r="O184" i="3"/>
  <c r="P29" i="3"/>
  <c r="P31" i="3"/>
  <c r="P32" i="3"/>
  <c r="P33" i="3"/>
  <c r="P241" i="3"/>
  <c r="P216" i="3"/>
  <c r="P219" i="3"/>
  <c r="P200" i="3"/>
  <c r="P208" i="3"/>
  <c r="P213" i="3"/>
  <c r="P220" i="3"/>
  <c r="P185" i="3"/>
  <c r="P190" i="3"/>
  <c r="P259" i="3"/>
  <c r="Q215" i="3"/>
  <c r="P275" i="3"/>
  <c r="P272" i="3"/>
  <c r="P195" i="3"/>
  <c r="P261" i="3"/>
  <c r="P260" i="3"/>
  <c r="P262" i="3"/>
  <c r="P186" i="3"/>
  <c r="P250" i="3"/>
  <c r="P187" i="3"/>
  <c r="P251" i="3"/>
  <c r="P253" i="3"/>
  <c r="P257" i="3"/>
  <c r="P274" i="3"/>
  <c r="P276" i="3"/>
  <c r="P184" i="3"/>
  <c r="Q29" i="3"/>
  <c r="Q31" i="3"/>
  <c r="Q32" i="3"/>
  <c r="Q33" i="3"/>
  <c r="Q241" i="3"/>
  <c r="Q216" i="3"/>
  <c r="Q219" i="3"/>
  <c r="Q200" i="3"/>
  <c r="Q201" i="3"/>
  <c r="Q208" i="3"/>
  <c r="Q213" i="3"/>
  <c r="Q220" i="3"/>
  <c r="Q185" i="3"/>
  <c r="Q190" i="3"/>
  <c r="Q259" i="3"/>
  <c r="R259" i="3"/>
  <c r="Q260" i="3"/>
  <c r="R260" i="3"/>
  <c r="Q195" i="3"/>
  <c r="Q261" i="3"/>
  <c r="R261" i="3"/>
  <c r="R262" i="3"/>
  <c r="R13" i="3"/>
  <c r="R14" i="3"/>
  <c r="R15" i="3"/>
  <c r="R16" i="3"/>
  <c r="R17" i="3"/>
  <c r="R18" i="3"/>
  <c r="R19" i="3"/>
  <c r="R20" i="3"/>
  <c r="R21" i="3"/>
  <c r="R22" i="3"/>
  <c r="R23" i="3"/>
  <c r="R25" i="3"/>
  <c r="R29" i="3"/>
  <c r="R31" i="3"/>
  <c r="R32" i="3"/>
  <c r="R33" i="3"/>
  <c r="R241" i="3"/>
  <c r="R242" i="3"/>
  <c r="R247" i="3"/>
  <c r="Q186" i="3"/>
  <c r="Q250" i="3"/>
  <c r="R250" i="3"/>
  <c r="Q187" i="3"/>
  <c r="Q251" i="3"/>
  <c r="R251" i="3"/>
  <c r="Q253" i="3"/>
  <c r="R253" i="3"/>
  <c r="Q256" i="3"/>
  <c r="R256" i="3"/>
  <c r="R257" i="3"/>
  <c r="R274" i="3"/>
  <c r="R275" i="3"/>
  <c r="R276" i="3"/>
  <c r="W275" i="3"/>
  <c r="S59" i="3"/>
  <c r="S61" i="3"/>
  <c r="S63" i="3"/>
  <c r="S93" i="3"/>
  <c r="S92" i="3"/>
  <c r="S94" i="3"/>
  <c r="S96" i="3"/>
  <c r="S14" i="3"/>
  <c r="S115" i="3"/>
  <c r="S129" i="3"/>
  <c r="S15" i="3"/>
  <c r="S16" i="3"/>
  <c r="S247" i="3"/>
  <c r="S270" i="3"/>
  <c r="T51" i="3"/>
  <c r="T56" i="3"/>
  <c r="T13" i="3"/>
  <c r="T60" i="3"/>
  <c r="T59" i="3"/>
  <c r="T61" i="3"/>
  <c r="T63" i="3"/>
  <c r="T93" i="3"/>
  <c r="T92" i="3"/>
  <c r="T94" i="3"/>
  <c r="T96" i="3"/>
  <c r="T14" i="3"/>
  <c r="T115" i="3"/>
  <c r="T129" i="3"/>
  <c r="T15" i="3"/>
  <c r="T16" i="3"/>
  <c r="T247" i="3"/>
  <c r="T270" i="3"/>
  <c r="U60" i="3"/>
  <c r="U59" i="3"/>
  <c r="U61" i="3"/>
  <c r="U63" i="3"/>
  <c r="U93" i="3"/>
  <c r="U92" i="3"/>
  <c r="U94" i="3"/>
  <c r="U96" i="3"/>
  <c r="U14" i="3"/>
  <c r="U115" i="3"/>
  <c r="U129" i="3"/>
  <c r="U15" i="3"/>
  <c r="U16" i="3"/>
  <c r="U247" i="3"/>
  <c r="U270" i="3"/>
  <c r="V59" i="3"/>
  <c r="V61" i="3"/>
  <c r="V63" i="3"/>
  <c r="V93" i="3"/>
  <c r="V92" i="3"/>
  <c r="V94" i="3"/>
  <c r="V96" i="3"/>
  <c r="V14" i="3"/>
  <c r="V115" i="3"/>
  <c r="V129" i="3"/>
  <c r="V15" i="3"/>
  <c r="V16" i="3"/>
  <c r="V247" i="3"/>
  <c r="V270" i="3"/>
  <c r="W270" i="3"/>
  <c r="W272" i="3"/>
  <c r="S215" i="3"/>
  <c r="Q75" i="3"/>
  <c r="Q78" i="3"/>
  <c r="S68" i="3"/>
  <c r="S69" i="3"/>
  <c r="Q108" i="3"/>
  <c r="Q112" i="3"/>
  <c r="S101" i="3"/>
  <c r="S102" i="3"/>
  <c r="Q122" i="3"/>
  <c r="Q126" i="3"/>
  <c r="S117" i="3"/>
  <c r="S17" i="3"/>
  <c r="S70" i="3"/>
  <c r="S103" i="3"/>
  <c r="S18" i="3"/>
  <c r="S71" i="3"/>
  <c r="S104" i="3"/>
  <c r="S118" i="3"/>
  <c r="S19" i="3"/>
  <c r="P192" i="3"/>
  <c r="Q192" i="3"/>
  <c r="S242" i="3"/>
  <c r="S72" i="3"/>
  <c r="S105" i="3"/>
  <c r="S133" i="3"/>
  <c r="S20" i="3"/>
  <c r="S73" i="3"/>
  <c r="S106" i="3"/>
  <c r="S120" i="3"/>
  <c r="S21" i="3"/>
  <c r="S74" i="3"/>
  <c r="S107" i="3"/>
  <c r="S121" i="3"/>
  <c r="S22" i="3"/>
  <c r="S23" i="3"/>
  <c r="S25" i="3"/>
  <c r="Q275" i="3"/>
  <c r="Q272" i="3"/>
  <c r="Q262" i="3"/>
  <c r="Q257" i="3"/>
  <c r="Q274" i="3"/>
  <c r="Q276" i="3"/>
  <c r="Q184" i="3"/>
  <c r="S29" i="3"/>
  <c r="S31" i="3"/>
  <c r="S32" i="3"/>
  <c r="S33" i="3"/>
  <c r="S241" i="3"/>
  <c r="S216" i="3"/>
  <c r="S219" i="3"/>
  <c r="S200" i="3"/>
  <c r="S201" i="3"/>
  <c r="S208" i="3"/>
  <c r="S213" i="3"/>
  <c r="S220" i="3"/>
  <c r="S185" i="3"/>
  <c r="S190" i="3"/>
  <c r="S259" i="3"/>
  <c r="T215" i="3"/>
  <c r="T68" i="3"/>
  <c r="S75" i="3"/>
  <c r="S78" i="3"/>
  <c r="T69" i="3"/>
  <c r="S108" i="3"/>
  <c r="S112" i="3"/>
  <c r="T101" i="3"/>
  <c r="T102" i="3"/>
  <c r="S122" i="3"/>
  <c r="S126" i="3"/>
  <c r="T117" i="3"/>
  <c r="T17" i="3"/>
  <c r="T70" i="3"/>
  <c r="T103" i="3"/>
  <c r="T18" i="3"/>
  <c r="T71" i="3"/>
  <c r="T104" i="3"/>
  <c r="T118" i="3"/>
  <c r="T19" i="3"/>
  <c r="R192" i="3"/>
  <c r="T242" i="3"/>
  <c r="T72" i="3"/>
  <c r="T105" i="3"/>
  <c r="T133" i="3"/>
  <c r="T20" i="3"/>
  <c r="T73" i="3"/>
  <c r="T106" i="3"/>
  <c r="T120" i="3"/>
  <c r="T21" i="3"/>
  <c r="T74" i="3"/>
  <c r="T107" i="3"/>
  <c r="T121" i="3"/>
  <c r="T22" i="3"/>
  <c r="T23" i="3"/>
  <c r="T25" i="3"/>
  <c r="S275" i="3"/>
  <c r="S272" i="3"/>
  <c r="S195" i="3"/>
  <c r="S261" i="3"/>
  <c r="S260" i="3"/>
  <c r="S262" i="3"/>
  <c r="S187" i="3"/>
  <c r="S251" i="3"/>
  <c r="S253" i="3"/>
  <c r="S186" i="3"/>
  <c r="S250" i="3"/>
  <c r="S256" i="3"/>
  <c r="S257" i="3"/>
  <c r="S274" i="3"/>
  <c r="S276" i="3"/>
  <c r="S184" i="3"/>
  <c r="T29" i="3"/>
  <c r="T31" i="3"/>
  <c r="T32" i="3"/>
  <c r="T33" i="3"/>
  <c r="T241" i="3"/>
  <c r="T216" i="3"/>
  <c r="T219" i="3"/>
  <c r="T200" i="3"/>
  <c r="T201" i="3"/>
  <c r="T208" i="3"/>
  <c r="T213" i="3"/>
  <c r="T220" i="3"/>
  <c r="T185" i="3"/>
  <c r="T190" i="3"/>
  <c r="T259" i="3"/>
  <c r="U215" i="3"/>
  <c r="T75" i="3"/>
  <c r="T78" i="3"/>
  <c r="U68" i="3"/>
  <c r="U69" i="3"/>
  <c r="T108" i="3"/>
  <c r="T112" i="3"/>
  <c r="U101" i="3"/>
  <c r="U102" i="3"/>
  <c r="T122" i="3"/>
  <c r="T126" i="3"/>
  <c r="U117" i="3"/>
  <c r="U17" i="3"/>
  <c r="U70" i="3"/>
  <c r="U103" i="3"/>
  <c r="U18" i="3"/>
  <c r="U71" i="3"/>
  <c r="U104" i="3"/>
  <c r="U118" i="3"/>
  <c r="U19" i="3"/>
  <c r="S192" i="3"/>
  <c r="U242" i="3"/>
  <c r="U72" i="3"/>
  <c r="U105" i="3"/>
  <c r="U133" i="3"/>
  <c r="U20" i="3"/>
  <c r="U73" i="3"/>
  <c r="U106" i="3"/>
  <c r="U120" i="3"/>
  <c r="U21" i="3"/>
  <c r="U74" i="3"/>
  <c r="U107" i="3"/>
  <c r="U121" i="3"/>
  <c r="U22" i="3"/>
  <c r="U23" i="3"/>
  <c r="U25" i="3"/>
  <c r="T275" i="3"/>
  <c r="T272" i="3"/>
  <c r="T260" i="3"/>
  <c r="R195" i="3"/>
  <c r="R215" i="3"/>
  <c r="R216" i="3"/>
  <c r="R219" i="3"/>
  <c r="R200" i="3"/>
  <c r="R201" i="3"/>
  <c r="R208" i="3"/>
  <c r="R213" i="3"/>
  <c r="R220" i="3"/>
  <c r="T195" i="3"/>
  <c r="T261" i="3"/>
  <c r="T262" i="3"/>
  <c r="T186" i="3"/>
  <c r="T250" i="3"/>
  <c r="T187" i="3"/>
  <c r="T251" i="3"/>
  <c r="T253" i="3"/>
  <c r="T256" i="3"/>
  <c r="T257" i="3"/>
  <c r="T274" i="3"/>
  <c r="T276" i="3"/>
  <c r="T184" i="3"/>
  <c r="U29" i="3"/>
  <c r="U31" i="3"/>
  <c r="U32" i="3"/>
  <c r="U33" i="3"/>
  <c r="U241" i="3"/>
  <c r="U216" i="3"/>
  <c r="U219" i="3"/>
  <c r="U200" i="3"/>
  <c r="U201" i="3"/>
  <c r="U208" i="3"/>
  <c r="U213" i="3"/>
  <c r="U220" i="3"/>
  <c r="U185" i="3"/>
  <c r="U190" i="3"/>
  <c r="U259" i="3"/>
  <c r="V215" i="3"/>
  <c r="U75" i="3"/>
  <c r="U78" i="3"/>
  <c r="V68" i="3"/>
  <c r="V69" i="3"/>
  <c r="U108" i="3"/>
  <c r="U112" i="3"/>
  <c r="V101" i="3"/>
  <c r="V102" i="3"/>
  <c r="U122" i="3"/>
  <c r="U126" i="3"/>
  <c r="V117" i="3"/>
  <c r="V17" i="3"/>
  <c r="V70" i="3"/>
  <c r="V103" i="3"/>
  <c r="V18" i="3"/>
  <c r="V71" i="3"/>
  <c r="V104" i="3"/>
  <c r="V118" i="3"/>
  <c r="V19" i="3"/>
  <c r="T192" i="3"/>
  <c r="V242" i="3"/>
  <c r="V72" i="3"/>
  <c r="V105" i="3"/>
  <c r="V119" i="3"/>
  <c r="V133" i="3"/>
  <c r="V20" i="3"/>
  <c r="V73" i="3"/>
  <c r="V106" i="3"/>
  <c r="V120" i="3"/>
  <c r="V21" i="3"/>
  <c r="V74" i="3"/>
  <c r="V107" i="3"/>
  <c r="V121" i="3"/>
  <c r="V22" i="3"/>
  <c r="V23" i="3"/>
  <c r="V25" i="3"/>
  <c r="U275" i="3"/>
  <c r="U272" i="3"/>
  <c r="U195" i="3"/>
  <c r="U261" i="3"/>
  <c r="U260" i="3"/>
  <c r="U262" i="3"/>
  <c r="U186" i="3"/>
  <c r="U250" i="3"/>
  <c r="U187" i="3"/>
  <c r="U251" i="3"/>
  <c r="U253" i="3"/>
  <c r="U256" i="3"/>
  <c r="U257" i="3"/>
  <c r="U274" i="3"/>
  <c r="U276" i="3"/>
  <c r="U184" i="3"/>
  <c r="V29" i="3"/>
  <c r="V31" i="3"/>
  <c r="V32" i="3"/>
  <c r="V33" i="3"/>
  <c r="V241" i="3"/>
  <c r="V216" i="3"/>
  <c r="V219" i="3"/>
  <c r="V200" i="3"/>
  <c r="V201" i="3"/>
  <c r="V208" i="3"/>
  <c r="V213" i="3"/>
  <c r="V220" i="3"/>
  <c r="V185" i="3"/>
  <c r="V190" i="3"/>
  <c r="V259" i="3"/>
  <c r="W259" i="3"/>
  <c r="V260" i="3"/>
  <c r="W260" i="3"/>
  <c r="V195" i="3"/>
  <c r="V261" i="3"/>
  <c r="W261" i="3"/>
  <c r="W262" i="3"/>
  <c r="W13" i="3"/>
  <c r="W14" i="3"/>
  <c r="W15" i="3"/>
  <c r="W16" i="3"/>
  <c r="W17" i="3"/>
  <c r="W18" i="3"/>
  <c r="W19" i="3"/>
  <c r="W20" i="3"/>
  <c r="W21" i="3"/>
  <c r="W22" i="3"/>
  <c r="W23" i="3"/>
  <c r="W25" i="3"/>
  <c r="W29" i="3"/>
  <c r="W31" i="3"/>
  <c r="W32" i="3"/>
  <c r="W33" i="3"/>
  <c r="W241" i="3"/>
  <c r="W242" i="3"/>
  <c r="W247" i="3"/>
  <c r="V186" i="3"/>
  <c r="V250" i="3"/>
  <c r="W250" i="3"/>
  <c r="V187" i="3"/>
  <c r="V251" i="3"/>
  <c r="W251" i="3"/>
  <c r="V253" i="3"/>
  <c r="W253" i="3"/>
  <c r="V256" i="3"/>
  <c r="W256" i="3"/>
  <c r="W257" i="3"/>
  <c r="W274" i="3"/>
  <c r="W276" i="3"/>
  <c r="AB275" i="3"/>
  <c r="X59" i="3"/>
  <c r="X61" i="3"/>
  <c r="X63" i="3"/>
  <c r="X93" i="3"/>
  <c r="X92" i="3"/>
  <c r="X94" i="3"/>
  <c r="X96" i="3"/>
  <c r="X14" i="3"/>
  <c r="X115" i="3"/>
  <c r="X129" i="3"/>
  <c r="X15" i="3"/>
  <c r="X16" i="3"/>
  <c r="X247" i="3"/>
  <c r="X270" i="3"/>
  <c r="Y51" i="3"/>
  <c r="Y56" i="3"/>
  <c r="Y13" i="3"/>
  <c r="Y59" i="3"/>
  <c r="Y61" i="3"/>
  <c r="Y63" i="3"/>
  <c r="Y93" i="3"/>
  <c r="Y92" i="3"/>
  <c r="Y94" i="3"/>
  <c r="Y96" i="3"/>
  <c r="Y14" i="3"/>
  <c r="Y115" i="3"/>
  <c r="Y129" i="3"/>
  <c r="Y15" i="3"/>
  <c r="Y16" i="3"/>
  <c r="Y247" i="3"/>
  <c r="Y270" i="3"/>
  <c r="Z59" i="3"/>
  <c r="Z61" i="3"/>
  <c r="Z63" i="3"/>
  <c r="Z93" i="3"/>
  <c r="Z92" i="3"/>
  <c r="Z94" i="3"/>
  <c r="Z96" i="3"/>
  <c r="Z14" i="3"/>
  <c r="Z115" i="3"/>
  <c r="Z129" i="3"/>
  <c r="Z15" i="3"/>
  <c r="Z16" i="3"/>
  <c r="Z247" i="3"/>
  <c r="Z270" i="3"/>
  <c r="AA59" i="3"/>
  <c r="AA61" i="3"/>
  <c r="AA63" i="3"/>
  <c r="AA93" i="3"/>
  <c r="AA92" i="3"/>
  <c r="AA94" i="3"/>
  <c r="AA96" i="3"/>
  <c r="AA14" i="3"/>
  <c r="AA115" i="3"/>
  <c r="AA129" i="3"/>
  <c r="AA15" i="3"/>
  <c r="AA16" i="3"/>
  <c r="AA247" i="3"/>
  <c r="AA270" i="3"/>
  <c r="AB270" i="3"/>
  <c r="AB272" i="3"/>
  <c r="X215" i="3"/>
  <c r="V75" i="3"/>
  <c r="V78" i="3"/>
  <c r="X68" i="3"/>
  <c r="X69" i="3"/>
  <c r="V108" i="3"/>
  <c r="V112" i="3"/>
  <c r="X101" i="3"/>
  <c r="X102" i="3"/>
  <c r="V122" i="3"/>
  <c r="V126" i="3"/>
  <c r="X117" i="3"/>
  <c r="X17" i="3"/>
  <c r="X70" i="3"/>
  <c r="X103" i="3"/>
  <c r="X18" i="3"/>
  <c r="X71" i="3"/>
  <c r="X104" i="3"/>
  <c r="X118" i="3"/>
  <c r="X19" i="3"/>
  <c r="U192" i="3"/>
  <c r="V192" i="3"/>
  <c r="X242" i="3"/>
  <c r="X72" i="3"/>
  <c r="X105" i="3"/>
  <c r="X133" i="3"/>
  <c r="X20" i="3"/>
  <c r="X73" i="3"/>
  <c r="X106" i="3"/>
  <c r="X120" i="3"/>
  <c r="X21" i="3"/>
  <c r="X74" i="3"/>
  <c r="X107" i="3"/>
  <c r="X121" i="3"/>
  <c r="X22" i="3"/>
  <c r="X23" i="3"/>
  <c r="X25" i="3"/>
  <c r="V275" i="3"/>
  <c r="V272" i="3"/>
  <c r="V262" i="3"/>
  <c r="V257" i="3"/>
  <c r="V274" i="3"/>
  <c r="V276" i="3"/>
  <c r="V184" i="3"/>
  <c r="X29" i="3"/>
  <c r="X31" i="3"/>
  <c r="X32" i="3"/>
  <c r="X33" i="3"/>
  <c r="X241" i="3"/>
  <c r="X216" i="3"/>
  <c r="X219" i="3"/>
  <c r="X200" i="3"/>
  <c r="X201" i="3"/>
  <c r="X208" i="3"/>
  <c r="X213" i="3"/>
  <c r="X220" i="3"/>
  <c r="X185" i="3"/>
  <c r="X190" i="3"/>
  <c r="X259" i="3"/>
  <c r="Y215" i="3"/>
  <c r="Y68" i="3"/>
  <c r="X75" i="3"/>
  <c r="X78" i="3"/>
  <c r="Y69" i="3"/>
  <c r="X108" i="3"/>
  <c r="X112" i="3"/>
  <c r="Y101" i="3"/>
  <c r="Y102" i="3"/>
  <c r="X122" i="3"/>
  <c r="X126" i="3"/>
  <c r="Y117" i="3"/>
  <c r="Y17" i="3"/>
  <c r="Y70" i="3"/>
  <c r="Y103" i="3"/>
  <c r="Y18" i="3"/>
  <c r="Y71" i="3"/>
  <c r="Y104" i="3"/>
  <c r="Y118" i="3"/>
  <c r="Y19" i="3"/>
  <c r="W192" i="3"/>
  <c r="Y242" i="3"/>
  <c r="Y72" i="3"/>
  <c r="Y105" i="3"/>
  <c r="Y133" i="3"/>
  <c r="Y20" i="3"/>
  <c r="Y73" i="3"/>
  <c r="Y106" i="3"/>
  <c r="Y120" i="3"/>
  <c r="Y21" i="3"/>
  <c r="Y74" i="3"/>
  <c r="Y107" i="3"/>
  <c r="Y121" i="3"/>
  <c r="Y22" i="3"/>
  <c r="Y23" i="3"/>
  <c r="Y25" i="3"/>
  <c r="X275" i="3"/>
  <c r="X272" i="3"/>
  <c r="X195" i="3"/>
  <c r="X261" i="3"/>
  <c r="X260" i="3"/>
  <c r="X262" i="3"/>
  <c r="X187" i="3"/>
  <c r="X251" i="3"/>
  <c r="X253" i="3"/>
  <c r="X256" i="3"/>
  <c r="X186" i="3"/>
  <c r="X250" i="3"/>
  <c r="X257" i="3"/>
  <c r="X274" i="3"/>
  <c r="X276" i="3"/>
  <c r="X184" i="3"/>
  <c r="Y29" i="3"/>
  <c r="Y31" i="3"/>
  <c r="Y32" i="3"/>
  <c r="Y33" i="3"/>
  <c r="Y241" i="3"/>
  <c r="Y216" i="3"/>
  <c r="Y219" i="3"/>
  <c r="Y200" i="3"/>
  <c r="Y201" i="3"/>
  <c r="Y208" i="3"/>
  <c r="Y213" i="3"/>
  <c r="Y220" i="3"/>
  <c r="Y185" i="3"/>
  <c r="Y190" i="3"/>
  <c r="Y259" i="3"/>
  <c r="Z215" i="3"/>
  <c r="Y75" i="3"/>
  <c r="Y78" i="3"/>
  <c r="Z68" i="3"/>
  <c r="Z69" i="3"/>
  <c r="Y108" i="3"/>
  <c r="Y112" i="3"/>
  <c r="Z101" i="3"/>
  <c r="Z102" i="3"/>
  <c r="Y122" i="3"/>
  <c r="Y126" i="3"/>
  <c r="Z117" i="3"/>
  <c r="Z17" i="3"/>
  <c r="Z70" i="3"/>
  <c r="Z103" i="3"/>
  <c r="Z18" i="3"/>
  <c r="Z71" i="3"/>
  <c r="Z104" i="3"/>
  <c r="Z118" i="3"/>
  <c r="Z19" i="3"/>
  <c r="X192" i="3"/>
  <c r="Z242" i="3"/>
  <c r="Z72" i="3"/>
  <c r="Z105" i="3"/>
  <c r="Z133" i="3"/>
  <c r="Z20" i="3"/>
  <c r="Z73" i="3"/>
  <c r="Z106" i="3"/>
  <c r="Z120" i="3"/>
  <c r="Z21" i="3"/>
  <c r="Z74" i="3"/>
  <c r="Z107" i="3"/>
  <c r="Z121" i="3"/>
  <c r="Z22" i="3"/>
  <c r="Z23" i="3"/>
  <c r="Z25" i="3"/>
  <c r="Y275" i="3"/>
  <c r="Y272" i="3"/>
  <c r="Y260" i="3"/>
  <c r="W195" i="3"/>
  <c r="W215" i="3"/>
  <c r="W216" i="3"/>
  <c r="W219" i="3"/>
  <c r="W200" i="3"/>
  <c r="W201" i="3"/>
  <c r="W208" i="3"/>
  <c r="W213" i="3"/>
  <c r="W220" i="3"/>
  <c r="Y195" i="3"/>
  <c r="Y261" i="3"/>
  <c r="Y262" i="3"/>
  <c r="Y186" i="3"/>
  <c r="Y250" i="3"/>
  <c r="Y187" i="3"/>
  <c r="Y251" i="3"/>
  <c r="Y253" i="3"/>
  <c r="Y256" i="3"/>
  <c r="Y257" i="3"/>
  <c r="Y274" i="3"/>
  <c r="Y276" i="3"/>
  <c r="Y184" i="3"/>
  <c r="Z29" i="3"/>
  <c r="Z31" i="3"/>
  <c r="Z32" i="3"/>
  <c r="Z33" i="3"/>
  <c r="Z241" i="3"/>
  <c r="Z216" i="3"/>
  <c r="Z219" i="3"/>
  <c r="Z200" i="3"/>
  <c r="Z201" i="3"/>
  <c r="Z208" i="3"/>
  <c r="Z213" i="3"/>
  <c r="Z220" i="3"/>
  <c r="Z185" i="3"/>
  <c r="Z190" i="3"/>
  <c r="Z259" i="3"/>
  <c r="AA215" i="3"/>
  <c r="Z75" i="3"/>
  <c r="Z78" i="3"/>
  <c r="AA68" i="3"/>
  <c r="AA69" i="3"/>
  <c r="Z108" i="3"/>
  <c r="Z112" i="3"/>
  <c r="AA101" i="3"/>
  <c r="AA102" i="3"/>
  <c r="Z122" i="3"/>
  <c r="Z126" i="3"/>
  <c r="AA117" i="3"/>
  <c r="AA17" i="3"/>
  <c r="AA70" i="3"/>
  <c r="AA103" i="3"/>
  <c r="AA18" i="3"/>
  <c r="AA71" i="3"/>
  <c r="AA104" i="3"/>
  <c r="AA118" i="3"/>
  <c r="AA19" i="3"/>
  <c r="Y192" i="3"/>
  <c r="AA242" i="3"/>
  <c r="AA72" i="3"/>
  <c r="AA105" i="3"/>
  <c r="AA119" i="3"/>
  <c r="AA133" i="3"/>
  <c r="AA20" i="3"/>
  <c r="AA73" i="3"/>
  <c r="AA106" i="3"/>
  <c r="AA120" i="3"/>
  <c r="AA21" i="3"/>
  <c r="AA74" i="3"/>
  <c r="AA107" i="3"/>
  <c r="AA121" i="3"/>
  <c r="AA22" i="3"/>
  <c r="AA23" i="3"/>
  <c r="AA25" i="3"/>
  <c r="Z275" i="3"/>
  <c r="Z272" i="3"/>
  <c r="Z195" i="3"/>
  <c r="Z261" i="3"/>
  <c r="Z260" i="3"/>
  <c r="Z262" i="3"/>
  <c r="Z186" i="3"/>
  <c r="Z250" i="3"/>
  <c r="Z187" i="3"/>
  <c r="Z251" i="3"/>
  <c r="Z253" i="3"/>
  <c r="Z256" i="3"/>
  <c r="Z257" i="3"/>
  <c r="Z274" i="3"/>
  <c r="Z276" i="3"/>
  <c r="Z184" i="3"/>
  <c r="AA29" i="3"/>
  <c r="AA31" i="3"/>
  <c r="AA32" i="3"/>
  <c r="AA33" i="3"/>
  <c r="AA241" i="3"/>
  <c r="AA216" i="3"/>
  <c r="AA219" i="3"/>
  <c r="AA200" i="3"/>
  <c r="AA201" i="3"/>
  <c r="AA208" i="3"/>
  <c r="AA213" i="3"/>
  <c r="AA220" i="3"/>
  <c r="AA185" i="3"/>
  <c r="AA190" i="3"/>
  <c r="AA259" i="3"/>
  <c r="AB259" i="3"/>
  <c r="AA260" i="3"/>
  <c r="AB260" i="3"/>
  <c r="AA195" i="3"/>
  <c r="AA261" i="3"/>
  <c r="AB261" i="3"/>
  <c r="AB262" i="3"/>
  <c r="AB13" i="3"/>
  <c r="AB14" i="3"/>
  <c r="AB15" i="3"/>
  <c r="AB16" i="3"/>
  <c r="AB17" i="3"/>
  <c r="AB18" i="3"/>
  <c r="AB19" i="3"/>
  <c r="AB20" i="3"/>
  <c r="AB21" i="3"/>
  <c r="AB22" i="3"/>
  <c r="AB23" i="3"/>
  <c r="AB25" i="3"/>
  <c r="AB29" i="3"/>
  <c r="AB31" i="3"/>
  <c r="AB32" i="3"/>
  <c r="AB33" i="3"/>
  <c r="AB241" i="3"/>
  <c r="AB242" i="3"/>
  <c r="AB247" i="3"/>
  <c r="AA186" i="3"/>
  <c r="AA250" i="3"/>
  <c r="AB250" i="3"/>
  <c r="AA187" i="3"/>
  <c r="AA251" i="3"/>
  <c r="AB251" i="3"/>
  <c r="AA253" i="3"/>
  <c r="AB253" i="3"/>
  <c r="AA256" i="3"/>
  <c r="AB256" i="3"/>
  <c r="AB257" i="3"/>
  <c r="AB274" i="3"/>
  <c r="AB276" i="3"/>
  <c r="AC275" i="3"/>
  <c r="AC59" i="3"/>
  <c r="AC61" i="3"/>
  <c r="AC63" i="3"/>
  <c r="AC93" i="3"/>
  <c r="AC92" i="3"/>
  <c r="AC94" i="3"/>
  <c r="AC96" i="3"/>
  <c r="AC14" i="3"/>
  <c r="AC115" i="3"/>
  <c r="AC129" i="3"/>
  <c r="AC15" i="3"/>
  <c r="AC16" i="3"/>
  <c r="AC247" i="3"/>
  <c r="AC270" i="3"/>
  <c r="AC272" i="3"/>
  <c r="AC215" i="3"/>
  <c r="AA75" i="3"/>
  <c r="AA78" i="3"/>
  <c r="AC68" i="3"/>
  <c r="AC69" i="3"/>
  <c r="AA108" i="3"/>
  <c r="AA112" i="3"/>
  <c r="AC101" i="3"/>
  <c r="AC102" i="3"/>
  <c r="AA122" i="3"/>
  <c r="AA126" i="3"/>
  <c r="AC117" i="3"/>
  <c r="AC17" i="3"/>
  <c r="AC70" i="3"/>
  <c r="AC103" i="3"/>
  <c r="AC18" i="3"/>
  <c r="AC71" i="3"/>
  <c r="AC104" i="3"/>
  <c r="AC118" i="3"/>
  <c r="AC19" i="3"/>
  <c r="Z192" i="3"/>
  <c r="AA192" i="3"/>
  <c r="AC242" i="3"/>
  <c r="AC72" i="3"/>
  <c r="AC105" i="3"/>
  <c r="AC133" i="3"/>
  <c r="AC20" i="3"/>
  <c r="AC73" i="3"/>
  <c r="AC106" i="3"/>
  <c r="AC120" i="3"/>
  <c r="AC21" i="3"/>
  <c r="AC74" i="3"/>
  <c r="AC107" i="3"/>
  <c r="AC121" i="3"/>
  <c r="AC22" i="3"/>
  <c r="AC23" i="3"/>
  <c r="AC25" i="3"/>
  <c r="AA275" i="3"/>
  <c r="AA272" i="3"/>
  <c r="AA262" i="3"/>
  <c r="AA257" i="3"/>
  <c r="AA274" i="3"/>
  <c r="AA276" i="3"/>
  <c r="AA184" i="3"/>
  <c r="AC29" i="3"/>
  <c r="AC31" i="3"/>
  <c r="AC32" i="3"/>
  <c r="AC33" i="3"/>
  <c r="AC241" i="3"/>
  <c r="AC216" i="3"/>
  <c r="AC219" i="3"/>
  <c r="AC200" i="3"/>
  <c r="AC201" i="3"/>
  <c r="AC208" i="3"/>
  <c r="AC213" i="3"/>
  <c r="AC220" i="3"/>
  <c r="AC185" i="3"/>
  <c r="AC190" i="3"/>
  <c r="AC259" i="3"/>
  <c r="AC195" i="3"/>
  <c r="AC261" i="3"/>
  <c r="AC260" i="3"/>
  <c r="AC262" i="3"/>
  <c r="AC187" i="3"/>
  <c r="AC251" i="3"/>
  <c r="AC253" i="3"/>
  <c r="AC256" i="3"/>
  <c r="AC186" i="3"/>
  <c r="AC250" i="3"/>
  <c r="AC257" i="3"/>
  <c r="AC274" i="3"/>
  <c r="AC276" i="3"/>
  <c r="AD275" i="3"/>
  <c r="AD51" i="3"/>
  <c r="AD56" i="3"/>
  <c r="AD13" i="3"/>
  <c r="AD59" i="3"/>
  <c r="AD61" i="3"/>
  <c r="AD63" i="3"/>
  <c r="AD93" i="3"/>
  <c r="AD92" i="3"/>
  <c r="AD94" i="3"/>
  <c r="AD96" i="3"/>
  <c r="AD14" i="3"/>
  <c r="AD115" i="3"/>
  <c r="AD129" i="3"/>
  <c r="AD15" i="3"/>
  <c r="AD16" i="3"/>
  <c r="AD247" i="3"/>
  <c r="AD270" i="3"/>
  <c r="AD272" i="3"/>
  <c r="AD215" i="3"/>
  <c r="AD68" i="3"/>
  <c r="AC75" i="3"/>
  <c r="AC78" i="3"/>
  <c r="AD69" i="3"/>
  <c r="AC108" i="3"/>
  <c r="AC112" i="3"/>
  <c r="AD101" i="3"/>
  <c r="AD102" i="3"/>
  <c r="AC122" i="3"/>
  <c r="AC126" i="3"/>
  <c r="AD117" i="3"/>
  <c r="AD17" i="3"/>
  <c r="AD70" i="3"/>
  <c r="AD103" i="3"/>
  <c r="AD18" i="3"/>
  <c r="AD71" i="3"/>
  <c r="AD104" i="3"/>
  <c r="AD118" i="3"/>
  <c r="AD19" i="3"/>
  <c r="AB192" i="3"/>
  <c r="AD242" i="3"/>
  <c r="AD72" i="3"/>
  <c r="AD105" i="3"/>
  <c r="AD133" i="3"/>
  <c r="AD20" i="3"/>
  <c r="AD73" i="3"/>
  <c r="AD106" i="3"/>
  <c r="AD120" i="3"/>
  <c r="AD21" i="3"/>
  <c r="AD74" i="3"/>
  <c r="AD107" i="3"/>
  <c r="AD121" i="3"/>
  <c r="AD22" i="3"/>
  <c r="AD23" i="3"/>
  <c r="AD25" i="3"/>
  <c r="AC184" i="3"/>
  <c r="AD29" i="3"/>
  <c r="AD31" i="3"/>
  <c r="AD32" i="3"/>
  <c r="AD33" i="3"/>
  <c r="AD241" i="3"/>
  <c r="AD216" i="3"/>
  <c r="AD219" i="3"/>
  <c r="AD200" i="3"/>
  <c r="AD201" i="3"/>
  <c r="AD208" i="3"/>
  <c r="AD213" i="3"/>
  <c r="AD220" i="3"/>
  <c r="AD185" i="3"/>
  <c r="AD190" i="3"/>
  <c r="AD259" i="3"/>
  <c r="AD260" i="3"/>
  <c r="AB195" i="3"/>
  <c r="AB215" i="3"/>
  <c r="AB216" i="3"/>
  <c r="AB219" i="3"/>
  <c r="AB200" i="3"/>
  <c r="AB201" i="3"/>
  <c r="AB208" i="3"/>
  <c r="AB213" i="3"/>
  <c r="AB220" i="3"/>
  <c r="AD195" i="3"/>
  <c r="AD261" i="3"/>
  <c r="AD262" i="3"/>
  <c r="AD186" i="3"/>
  <c r="AD250" i="3"/>
  <c r="AD187" i="3"/>
  <c r="AD251" i="3"/>
  <c r="AD253" i="3"/>
  <c r="AD256" i="3"/>
  <c r="AD257" i="3"/>
  <c r="AD274" i="3"/>
  <c r="AD276" i="3"/>
  <c r="AE275" i="3"/>
  <c r="AE59" i="3"/>
  <c r="AE61" i="3"/>
  <c r="AE63" i="3"/>
  <c r="AE93" i="3"/>
  <c r="AE92" i="3"/>
  <c r="AE94" i="3"/>
  <c r="AE96" i="3"/>
  <c r="AE14" i="3"/>
  <c r="AE115" i="3"/>
  <c r="AE129" i="3"/>
  <c r="AE15" i="3"/>
  <c r="AE16" i="3"/>
  <c r="AE247" i="3"/>
  <c r="AE270" i="3"/>
  <c r="AE272" i="3"/>
  <c r="AE215" i="3"/>
  <c r="AD75" i="3"/>
  <c r="AD78" i="3"/>
  <c r="AE68" i="3"/>
  <c r="AE69" i="3"/>
  <c r="AD108" i="3"/>
  <c r="AD112" i="3"/>
  <c r="AE101" i="3"/>
  <c r="AE102" i="3"/>
  <c r="AD122" i="3"/>
  <c r="AD126" i="3"/>
  <c r="AE117" i="3"/>
  <c r="AE17" i="3"/>
  <c r="AE70" i="3"/>
  <c r="AE103" i="3"/>
  <c r="AE18" i="3"/>
  <c r="AE71" i="3"/>
  <c r="AE104" i="3"/>
  <c r="AE118" i="3"/>
  <c r="AE19" i="3"/>
  <c r="AC192" i="3"/>
  <c r="AE242" i="3"/>
  <c r="AE72" i="3"/>
  <c r="AE105" i="3"/>
  <c r="AE133" i="3"/>
  <c r="AE20" i="3"/>
  <c r="AE73" i="3"/>
  <c r="AE106" i="3"/>
  <c r="AE120" i="3"/>
  <c r="AE21" i="3"/>
  <c r="AE74" i="3"/>
  <c r="AE107" i="3"/>
  <c r="AE121" i="3"/>
  <c r="AE22" i="3"/>
  <c r="AE23" i="3"/>
  <c r="AE25" i="3"/>
  <c r="AD184" i="3"/>
  <c r="AE29" i="3"/>
  <c r="AE31" i="3"/>
  <c r="AE32" i="3"/>
  <c r="AE33" i="3"/>
  <c r="AE241" i="3"/>
  <c r="AE216" i="3"/>
  <c r="AE219" i="3"/>
  <c r="AE200" i="3"/>
  <c r="AE201" i="3"/>
  <c r="AE208" i="3"/>
  <c r="AE213" i="3"/>
  <c r="AE220" i="3"/>
  <c r="AE185" i="3"/>
  <c r="AE190" i="3"/>
  <c r="AE259" i="3"/>
  <c r="AE195" i="3"/>
  <c r="AE261" i="3"/>
  <c r="AE260" i="3"/>
  <c r="AE262" i="3"/>
  <c r="AE186" i="3"/>
  <c r="AE250" i="3"/>
  <c r="AE187" i="3"/>
  <c r="AE251" i="3"/>
  <c r="AE253" i="3"/>
  <c r="AE256" i="3"/>
  <c r="AE257" i="3"/>
  <c r="AE274" i="3"/>
  <c r="AE276" i="3"/>
  <c r="AF275" i="3"/>
  <c r="AF59" i="3"/>
  <c r="AF61" i="3"/>
  <c r="AF63" i="3"/>
  <c r="AF93" i="3"/>
  <c r="AF92" i="3"/>
  <c r="AF94" i="3"/>
  <c r="AF96" i="3"/>
  <c r="AF14" i="3"/>
  <c r="AF115" i="3"/>
  <c r="AF129" i="3"/>
  <c r="AF15" i="3"/>
  <c r="AF16" i="3"/>
  <c r="AF247" i="3"/>
  <c r="AF270" i="3"/>
  <c r="AF272" i="3"/>
  <c r="AF215" i="3"/>
  <c r="AE75" i="3"/>
  <c r="AE78" i="3"/>
  <c r="AF68" i="3"/>
  <c r="AF69" i="3"/>
  <c r="AE108" i="3"/>
  <c r="AE112" i="3"/>
  <c r="AF101" i="3"/>
  <c r="AF102" i="3"/>
  <c r="AE122" i="3"/>
  <c r="AE126" i="3"/>
  <c r="AF117" i="3"/>
  <c r="AF17" i="3"/>
  <c r="AF70" i="3"/>
  <c r="AF103" i="3"/>
  <c r="AF18" i="3"/>
  <c r="AF71" i="3"/>
  <c r="AF104" i="3"/>
  <c r="AF118" i="3"/>
  <c r="AF19" i="3"/>
  <c r="AD192" i="3"/>
  <c r="AF242" i="3"/>
  <c r="AF72" i="3"/>
  <c r="AF105" i="3"/>
  <c r="AF119" i="3"/>
  <c r="AF133" i="3"/>
  <c r="AF20" i="3"/>
  <c r="AF73" i="3"/>
  <c r="AF106" i="3"/>
  <c r="AF120" i="3"/>
  <c r="AF21" i="3"/>
  <c r="AF74" i="3"/>
  <c r="AF107" i="3"/>
  <c r="AF121" i="3"/>
  <c r="AF22" i="3"/>
  <c r="AF23" i="3"/>
  <c r="AF25" i="3"/>
  <c r="AE184" i="3"/>
  <c r="AF29" i="3"/>
  <c r="AF31" i="3"/>
  <c r="AF32" i="3"/>
  <c r="AF33" i="3"/>
  <c r="AF241" i="3"/>
  <c r="AF216" i="3"/>
  <c r="AF219" i="3"/>
  <c r="AF200" i="3"/>
  <c r="AF201" i="3"/>
  <c r="AF208" i="3"/>
  <c r="AF213" i="3"/>
  <c r="AF220" i="3"/>
  <c r="AF185" i="3"/>
  <c r="AF190" i="3"/>
  <c r="AF259" i="3"/>
  <c r="AF195" i="3"/>
  <c r="AF261" i="3"/>
  <c r="AF260" i="3"/>
  <c r="AF262" i="3"/>
  <c r="AF187" i="3"/>
  <c r="AF251" i="3"/>
  <c r="AF253" i="3"/>
  <c r="AF256" i="3"/>
  <c r="AF186" i="3"/>
  <c r="AF250" i="3"/>
  <c r="AF257" i="3"/>
  <c r="AF274" i="3"/>
  <c r="AF276" i="3"/>
  <c r="AF184" i="3"/>
  <c r="AH29" i="3"/>
  <c r="AF75" i="3"/>
  <c r="AF78" i="3"/>
  <c r="AH51" i="3"/>
  <c r="AH56" i="3"/>
  <c r="AH60" i="3"/>
  <c r="AH59" i="3"/>
  <c r="AH61" i="3"/>
  <c r="AH63" i="3"/>
  <c r="AH68" i="3"/>
  <c r="AH69" i="3"/>
  <c r="AF108" i="3"/>
  <c r="AF112" i="3"/>
  <c r="AH93" i="3"/>
  <c r="AH92" i="3"/>
  <c r="AH94" i="3"/>
  <c r="AH96" i="3"/>
  <c r="AH101" i="3"/>
  <c r="AH102" i="3"/>
  <c r="AF122" i="3"/>
  <c r="AF126" i="3"/>
  <c r="AH115" i="3"/>
  <c r="AH117" i="3"/>
  <c r="AH17" i="3"/>
  <c r="AH70" i="3"/>
  <c r="AH103" i="3"/>
  <c r="AH18" i="3"/>
  <c r="AH71" i="3"/>
  <c r="AH104" i="3"/>
  <c r="AH118" i="3"/>
  <c r="AH19" i="3"/>
  <c r="AE192" i="3"/>
  <c r="AF192" i="3"/>
  <c r="AH242" i="3"/>
  <c r="AH72" i="3"/>
  <c r="AH105" i="3"/>
  <c r="AH133" i="3"/>
  <c r="AH20" i="3"/>
  <c r="AH73" i="3"/>
  <c r="AH106" i="3"/>
  <c r="AH120" i="3"/>
  <c r="AH21" i="3"/>
  <c r="AH74" i="3"/>
  <c r="AH107" i="3"/>
  <c r="AH121" i="3"/>
  <c r="AH22" i="3"/>
  <c r="AH23" i="3"/>
  <c r="AH13" i="3"/>
  <c r="AH14" i="3"/>
  <c r="AH129" i="3"/>
  <c r="AH15" i="3"/>
  <c r="AH16" i="3"/>
  <c r="AH25" i="3"/>
  <c r="AH31" i="3"/>
  <c r="AH32" i="3"/>
  <c r="AH33" i="3"/>
  <c r="AH241" i="3"/>
  <c r="AH216" i="3"/>
  <c r="AH247" i="3"/>
  <c r="AH270" i="3"/>
  <c r="AH215" i="3"/>
  <c r="AH219" i="3"/>
  <c r="AH200" i="3"/>
  <c r="AH201" i="3"/>
  <c r="AH208" i="3"/>
  <c r="AH213" i="3"/>
  <c r="AH220" i="3"/>
  <c r="AH185" i="3"/>
  <c r="AH190" i="3"/>
  <c r="AH259" i="3"/>
  <c r="AH195" i="3"/>
  <c r="AH261" i="3"/>
  <c r="AH260" i="3"/>
  <c r="AH262" i="3"/>
  <c r="AH187" i="3"/>
  <c r="AH251" i="3"/>
  <c r="AH253" i="3"/>
  <c r="AH256" i="3"/>
  <c r="AH186" i="3"/>
  <c r="AH250" i="3"/>
  <c r="AH257" i="3"/>
  <c r="AH272" i="3"/>
  <c r="AH274" i="3"/>
  <c r="AG275" i="3"/>
  <c r="AG270" i="3"/>
  <c r="AG272" i="3"/>
  <c r="AG259" i="3"/>
  <c r="AG260" i="3"/>
  <c r="AG261" i="3"/>
  <c r="AG262" i="3"/>
  <c r="AG13" i="3"/>
  <c r="AG14" i="3"/>
  <c r="AG15" i="3"/>
  <c r="AG16" i="3"/>
  <c r="AG17" i="3"/>
  <c r="AG18" i="3"/>
  <c r="AG19" i="3"/>
  <c r="AG20" i="3"/>
  <c r="AG21" i="3"/>
  <c r="AG22" i="3"/>
  <c r="AG23" i="3"/>
  <c r="AG25" i="3"/>
  <c r="AG29" i="3"/>
  <c r="AG31" i="3"/>
  <c r="AG32" i="3"/>
  <c r="AG33" i="3"/>
  <c r="AG241" i="3"/>
  <c r="AG242" i="3"/>
  <c r="AG247" i="3"/>
  <c r="AG250" i="3"/>
  <c r="AG251" i="3"/>
  <c r="AG253" i="3"/>
  <c r="AG256" i="3"/>
  <c r="AG257" i="3"/>
  <c r="AG274" i="3"/>
  <c r="AG276" i="3"/>
  <c r="AH275" i="3"/>
  <c r="AH276" i="3"/>
  <c r="AH184" i="3"/>
  <c r="AI29" i="3"/>
  <c r="AI275" i="3"/>
  <c r="AI51" i="3"/>
  <c r="AI56" i="3"/>
  <c r="AI13" i="3"/>
  <c r="AI60" i="3"/>
  <c r="AI59" i="3"/>
  <c r="AI61" i="3"/>
  <c r="AI63" i="3"/>
  <c r="AI93" i="3"/>
  <c r="AI92" i="3"/>
  <c r="AI94" i="3"/>
  <c r="AI96" i="3"/>
  <c r="AI14" i="3"/>
  <c r="AI115" i="3"/>
  <c r="AI129" i="3"/>
  <c r="AI15" i="3"/>
  <c r="AI16" i="3"/>
  <c r="AI68" i="3"/>
  <c r="AH75" i="3"/>
  <c r="AH78" i="3"/>
  <c r="AI69" i="3"/>
  <c r="AH108" i="3"/>
  <c r="AH112" i="3"/>
  <c r="AI101" i="3"/>
  <c r="AI102" i="3"/>
  <c r="AH122" i="3"/>
  <c r="AH126" i="3"/>
  <c r="AI117" i="3"/>
  <c r="AI17" i="3"/>
  <c r="AI70" i="3"/>
  <c r="AI103" i="3"/>
  <c r="AI18" i="3"/>
  <c r="AI71" i="3"/>
  <c r="AI104" i="3"/>
  <c r="AI118" i="3"/>
  <c r="AI19" i="3"/>
  <c r="AG192" i="3"/>
  <c r="AI242" i="3"/>
  <c r="AI72" i="3"/>
  <c r="AI105" i="3"/>
  <c r="AI133" i="3"/>
  <c r="AI20" i="3"/>
  <c r="AI73" i="3"/>
  <c r="AI106" i="3"/>
  <c r="AI120" i="3"/>
  <c r="AI21" i="3"/>
  <c r="AI74" i="3"/>
  <c r="AI107" i="3"/>
  <c r="AI121" i="3"/>
  <c r="AI22" i="3"/>
  <c r="AI23" i="3"/>
  <c r="AI25" i="3"/>
  <c r="AI31" i="3"/>
  <c r="AI32" i="3"/>
  <c r="AI33" i="3"/>
  <c r="AI241" i="3"/>
  <c r="AI216" i="3"/>
  <c r="AI247" i="3"/>
  <c r="AI270" i="3"/>
  <c r="AI215" i="3"/>
  <c r="AI219" i="3"/>
  <c r="AI200" i="3"/>
  <c r="AI201" i="3"/>
  <c r="AI208" i="3"/>
  <c r="AI213" i="3"/>
  <c r="AI220" i="3"/>
  <c r="AI185" i="3"/>
  <c r="AI190" i="3"/>
  <c r="AI259" i="3"/>
  <c r="AG195" i="3"/>
  <c r="AG215" i="3"/>
  <c r="AG216" i="3"/>
  <c r="AG219" i="3"/>
  <c r="AG200" i="3"/>
  <c r="AG201" i="3"/>
  <c r="AG208" i="3"/>
  <c r="AG213" i="3"/>
  <c r="AG220" i="3"/>
  <c r="AI195" i="3"/>
  <c r="AI261" i="3"/>
  <c r="AI260" i="3"/>
  <c r="AI262" i="3"/>
  <c r="AI186" i="3"/>
  <c r="AI250" i="3"/>
  <c r="AI187" i="3"/>
  <c r="AI251" i="3"/>
  <c r="AI253" i="3"/>
  <c r="AI256" i="3"/>
  <c r="AI257" i="3"/>
  <c r="AI272" i="3"/>
  <c r="AI274" i="3"/>
  <c r="AI276" i="3"/>
  <c r="AI184" i="3"/>
  <c r="AJ29" i="3"/>
  <c r="AJ275" i="3"/>
  <c r="AI75" i="3"/>
  <c r="AI78" i="3"/>
  <c r="AJ51" i="3"/>
  <c r="AJ56" i="3"/>
  <c r="AJ60" i="3"/>
  <c r="AJ59" i="3"/>
  <c r="AJ61" i="3"/>
  <c r="AJ63" i="3"/>
  <c r="AJ68" i="3"/>
  <c r="AJ69" i="3"/>
  <c r="AI108" i="3"/>
  <c r="AI112" i="3"/>
  <c r="AJ93" i="3"/>
  <c r="AJ92" i="3"/>
  <c r="AJ94" i="3"/>
  <c r="AJ96" i="3"/>
  <c r="AJ101" i="3"/>
  <c r="AJ102" i="3"/>
  <c r="AI122" i="3"/>
  <c r="AI126" i="3"/>
  <c r="AJ115" i="3"/>
  <c r="AJ117" i="3"/>
  <c r="AJ17" i="3"/>
  <c r="AJ70" i="3"/>
  <c r="AJ103" i="3"/>
  <c r="AJ18" i="3"/>
  <c r="AJ71" i="3"/>
  <c r="AJ104" i="3"/>
  <c r="AJ118" i="3"/>
  <c r="AJ19" i="3"/>
  <c r="AH192" i="3"/>
  <c r="AJ242" i="3"/>
  <c r="AJ72" i="3"/>
  <c r="AJ105" i="3"/>
  <c r="AJ133" i="3"/>
  <c r="AJ20" i="3"/>
  <c r="AJ73" i="3"/>
  <c r="AJ106" i="3"/>
  <c r="AJ120" i="3"/>
  <c r="AJ21" i="3"/>
  <c r="AJ74" i="3"/>
  <c r="AJ107" i="3"/>
  <c r="AJ121" i="3"/>
  <c r="AJ22" i="3"/>
  <c r="AJ23" i="3"/>
  <c r="AJ13" i="3"/>
  <c r="AJ14" i="3"/>
  <c r="AJ129" i="3"/>
  <c r="AJ15" i="3"/>
  <c r="AJ16" i="3"/>
  <c r="AJ25" i="3"/>
  <c r="AJ31" i="3"/>
  <c r="AJ32" i="3"/>
  <c r="AJ33" i="3"/>
  <c r="AJ241" i="3"/>
  <c r="AJ216" i="3"/>
  <c r="AJ247" i="3"/>
  <c r="AJ270" i="3"/>
  <c r="AJ215" i="3"/>
  <c r="AJ219" i="3"/>
  <c r="AJ200" i="3"/>
  <c r="AJ201" i="3"/>
  <c r="AJ208" i="3"/>
  <c r="AJ213" i="3"/>
  <c r="AJ220" i="3"/>
  <c r="AJ185" i="3"/>
  <c r="AJ190" i="3"/>
  <c r="AJ259" i="3"/>
  <c r="AJ195" i="3"/>
  <c r="AJ261" i="3"/>
  <c r="AJ260" i="3"/>
  <c r="AJ262" i="3"/>
  <c r="AJ186" i="3"/>
  <c r="AJ250" i="3"/>
  <c r="AJ187" i="3"/>
  <c r="AJ251" i="3"/>
  <c r="AJ253" i="3"/>
  <c r="AJ256" i="3"/>
  <c r="AJ257" i="3"/>
  <c r="AJ272" i="3"/>
  <c r="AJ274" i="3"/>
  <c r="AJ276" i="3"/>
  <c r="AJ184" i="3"/>
  <c r="AK29" i="3"/>
  <c r="AL29" i="3"/>
  <c r="AK51" i="3"/>
  <c r="AK56" i="3"/>
  <c r="AL56" i="3"/>
  <c r="AG56" i="3"/>
  <c r="AB56" i="3"/>
  <c r="W56" i="3"/>
  <c r="R56" i="3"/>
  <c r="M56" i="3"/>
  <c r="M60" i="3"/>
  <c r="R60" i="3"/>
  <c r="W60" i="3"/>
  <c r="AB60" i="3"/>
  <c r="AG60" i="3"/>
  <c r="AK60" i="3"/>
  <c r="AL60" i="3"/>
  <c r="AL49" i="3"/>
  <c r="AG49" i="3"/>
  <c r="AB49" i="3"/>
  <c r="W49" i="3"/>
  <c r="R49" i="3"/>
  <c r="M49" i="3"/>
  <c r="M68" i="3"/>
  <c r="M67" i="3"/>
  <c r="R68" i="3"/>
  <c r="R67" i="3"/>
  <c r="W68" i="3"/>
  <c r="W67" i="3"/>
  <c r="AB68" i="3"/>
  <c r="AB67" i="3"/>
  <c r="AG68" i="3"/>
  <c r="AG67" i="3"/>
  <c r="AL67" i="3"/>
  <c r="AK59" i="3"/>
  <c r="AK61" i="3"/>
  <c r="AK63" i="3"/>
  <c r="AK68" i="3"/>
  <c r="AL68" i="3"/>
  <c r="AH76" i="3"/>
  <c r="AI76" i="3"/>
  <c r="AJ75" i="3"/>
  <c r="AJ76" i="3"/>
  <c r="AJ78" i="3"/>
  <c r="AK69" i="3"/>
  <c r="AK70" i="3"/>
  <c r="AK71" i="3"/>
  <c r="AI192" i="3"/>
  <c r="AK242" i="3"/>
  <c r="AK72" i="3"/>
  <c r="AK73" i="3"/>
  <c r="AK74" i="3"/>
  <c r="AK75" i="3"/>
  <c r="AK76" i="3"/>
  <c r="AL76" i="3"/>
  <c r="AL77" i="3"/>
  <c r="AC76" i="3"/>
  <c r="AD76" i="3"/>
  <c r="AE76" i="3"/>
  <c r="AF76" i="3"/>
  <c r="AG76" i="3"/>
  <c r="AG77" i="3"/>
  <c r="X76" i="3"/>
  <c r="Y76" i="3"/>
  <c r="Z76" i="3"/>
  <c r="AA76" i="3"/>
  <c r="AB76" i="3"/>
  <c r="AB77" i="3"/>
  <c r="S76" i="3"/>
  <c r="T76" i="3"/>
  <c r="U76" i="3"/>
  <c r="V76" i="3"/>
  <c r="W76" i="3"/>
  <c r="W77" i="3"/>
  <c r="O76" i="3"/>
  <c r="P76" i="3"/>
  <c r="Q76" i="3"/>
  <c r="N76" i="3"/>
  <c r="R76" i="3"/>
  <c r="R77" i="3"/>
  <c r="M76" i="3"/>
  <c r="M77" i="3"/>
  <c r="AL82" i="3"/>
  <c r="AG82" i="3"/>
  <c r="AB82" i="3"/>
  <c r="W82" i="3"/>
  <c r="R82" i="3"/>
  <c r="M82" i="3"/>
  <c r="M93" i="3"/>
  <c r="R93" i="3"/>
  <c r="W93" i="3"/>
  <c r="AB93" i="3"/>
  <c r="AG93" i="3"/>
  <c r="AK93" i="3"/>
  <c r="AL93" i="3"/>
  <c r="AL100" i="3"/>
  <c r="AG100" i="3"/>
  <c r="AB100" i="3"/>
  <c r="W100" i="3"/>
  <c r="R100" i="3"/>
  <c r="M100" i="3"/>
  <c r="L110" i="3"/>
  <c r="M110" i="3"/>
  <c r="M101" i="3"/>
  <c r="M111" i="3"/>
  <c r="Q110" i="3"/>
  <c r="N110" i="3"/>
  <c r="O110" i="3"/>
  <c r="P110" i="3"/>
  <c r="R110" i="3"/>
  <c r="R101" i="3"/>
  <c r="R111" i="3"/>
  <c r="S110" i="3"/>
  <c r="T110" i="3"/>
  <c r="U110" i="3"/>
  <c r="V110" i="3"/>
  <c r="W110" i="3"/>
  <c r="W101" i="3"/>
  <c r="W111" i="3"/>
  <c r="X110" i="3"/>
  <c r="Y110" i="3"/>
  <c r="Z110" i="3"/>
  <c r="AA110" i="3"/>
  <c r="AB110" i="3"/>
  <c r="AB101" i="3"/>
  <c r="AB111" i="3"/>
  <c r="AC110" i="3"/>
  <c r="AD110" i="3"/>
  <c r="AE110" i="3"/>
  <c r="AF110" i="3"/>
  <c r="AG110" i="3"/>
  <c r="AG101" i="3"/>
  <c r="AG111" i="3"/>
  <c r="AK92" i="3"/>
  <c r="AK94" i="3"/>
  <c r="AK96" i="3"/>
  <c r="AK101" i="3"/>
  <c r="AL101" i="3"/>
  <c r="AH110" i="3"/>
  <c r="AI110" i="3"/>
  <c r="AJ108" i="3"/>
  <c r="AJ110" i="3"/>
  <c r="AJ112" i="3"/>
  <c r="AK102" i="3"/>
  <c r="AK103" i="3"/>
  <c r="AK104" i="3"/>
  <c r="AK105" i="3"/>
  <c r="AK106" i="3"/>
  <c r="AK107" i="3"/>
  <c r="AK108" i="3"/>
  <c r="AK110" i="3"/>
  <c r="AL110" i="3"/>
  <c r="AL111" i="3"/>
  <c r="AH191" i="3"/>
  <c r="AI191" i="3"/>
  <c r="AJ191" i="3"/>
  <c r="AK191" i="3"/>
  <c r="AL191" i="3"/>
  <c r="AC191" i="3"/>
  <c r="AD191" i="3"/>
  <c r="AE191" i="3"/>
  <c r="AF191" i="3"/>
  <c r="AG191" i="3"/>
  <c r="X191" i="3"/>
  <c r="Y191" i="3"/>
  <c r="Z191" i="3"/>
  <c r="AA191" i="3"/>
  <c r="AB191" i="3"/>
  <c r="W191" i="3"/>
  <c r="T191" i="3"/>
  <c r="U191" i="3"/>
  <c r="V191" i="3"/>
  <c r="S191" i="3"/>
  <c r="AJ122" i="3"/>
  <c r="AJ126" i="3"/>
  <c r="AK115" i="3"/>
  <c r="AK117" i="3"/>
  <c r="AK17" i="3"/>
  <c r="AK18" i="3"/>
  <c r="AK118" i="3"/>
  <c r="AK19" i="3"/>
  <c r="AK119" i="3"/>
  <c r="AK133" i="3"/>
  <c r="AK20" i="3"/>
  <c r="AK120" i="3"/>
  <c r="AK21" i="3"/>
  <c r="AK121" i="3"/>
  <c r="AK22" i="3"/>
  <c r="AK23" i="3"/>
  <c r="AK13" i="3"/>
  <c r="AK14" i="3"/>
  <c r="AK129" i="3"/>
  <c r="AK15" i="3"/>
  <c r="AK16" i="3"/>
  <c r="AK25" i="3"/>
  <c r="AK31" i="3"/>
  <c r="AK32" i="3"/>
  <c r="AK33" i="3"/>
  <c r="AK241" i="3"/>
  <c r="AK216" i="3"/>
  <c r="AK247" i="3"/>
  <c r="AK270" i="3"/>
  <c r="AK215" i="3"/>
  <c r="AK219" i="3"/>
  <c r="AK200" i="3"/>
  <c r="AK201" i="3"/>
  <c r="AK208" i="3"/>
  <c r="AK213" i="3"/>
  <c r="AK220" i="3"/>
  <c r="AK190" i="3"/>
  <c r="AL190" i="3"/>
  <c r="AG190" i="3"/>
  <c r="AB190" i="3"/>
  <c r="W190" i="3"/>
  <c r="L174" i="3"/>
  <c r="N169" i="3"/>
  <c r="N173" i="3"/>
  <c r="N174" i="3"/>
  <c r="O169" i="3"/>
  <c r="O173" i="3"/>
  <c r="O174" i="3"/>
  <c r="P169" i="3"/>
  <c r="P173" i="3"/>
  <c r="P174" i="3"/>
  <c r="Q169" i="3"/>
  <c r="Q173" i="3"/>
  <c r="Q174" i="3"/>
  <c r="S169" i="3"/>
  <c r="S173" i="3"/>
  <c r="S174" i="3"/>
  <c r="T169" i="3"/>
  <c r="T173" i="3"/>
  <c r="T174" i="3"/>
  <c r="U169" i="3"/>
  <c r="U173" i="3"/>
  <c r="U174" i="3"/>
  <c r="V169" i="3"/>
  <c r="V173" i="3"/>
  <c r="V174" i="3"/>
  <c r="X169" i="3"/>
  <c r="X173" i="3"/>
  <c r="X174" i="3"/>
  <c r="Y169" i="3"/>
  <c r="Y173" i="3"/>
  <c r="Y174" i="3"/>
  <c r="Z169" i="3"/>
  <c r="Z173" i="3"/>
  <c r="Z174" i="3"/>
  <c r="AA169" i="3"/>
  <c r="AA173" i="3"/>
  <c r="AA174" i="3"/>
  <c r="AC169" i="3"/>
  <c r="AC173" i="3"/>
  <c r="AC174" i="3"/>
  <c r="AD169" i="3"/>
  <c r="AD173" i="3"/>
  <c r="AD174" i="3"/>
  <c r="AE169" i="3"/>
  <c r="AE173" i="3"/>
  <c r="AE174" i="3"/>
  <c r="AF169" i="3"/>
  <c r="AF173" i="3"/>
  <c r="AF174" i="3"/>
  <c r="AH169" i="3"/>
  <c r="AH173" i="3"/>
  <c r="AH174" i="3"/>
  <c r="AH176" i="3"/>
  <c r="AH26" i="3"/>
  <c r="AI169" i="3"/>
  <c r="AI173" i="3"/>
  <c r="AI174" i="3"/>
  <c r="AI176" i="3"/>
  <c r="AI26" i="3"/>
  <c r="AJ169" i="3"/>
  <c r="AJ173" i="3"/>
  <c r="AJ174" i="3"/>
  <c r="AJ176" i="3"/>
  <c r="AJ26" i="3"/>
  <c r="AK169" i="3"/>
  <c r="AK173" i="3"/>
  <c r="AK174" i="3"/>
  <c r="AK176" i="3"/>
  <c r="AK26" i="3"/>
  <c r="AL26" i="3"/>
  <c r="AL13" i="3"/>
  <c r="AL14" i="3"/>
  <c r="AL15" i="3"/>
  <c r="AL16" i="3"/>
  <c r="AL291" i="3"/>
  <c r="AC176" i="3"/>
  <c r="AC26" i="3"/>
  <c r="AD176" i="3"/>
  <c r="AD26" i="3"/>
  <c r="AE176" i="3"/>
  <c r="AE26" i="3"/>
  <c r="AF176" i="3"/>
  <c r="AF26" i="3"/>
  <c r="AG26" i="3"/>
  <c r="AG291" i="3"/>
  <c r="X176" i="3"/>
  <c r="X26" i="3"/>
  <c r="Y176" i="3"/>
  <c r="Y26" i="3"/>
  <c r="Z176" i="3"/>
  <c r="Z26" i="3"/>
  <c r="AA176" i="3"/>
  <c r="AA26" i="3"/>
  <c r="AB26" i="3"/>
  <c r="AB291" i="3"/>
  <c r="S176" i="3"/>
  <c r="S26" i="3"/>
  <c r="T176" i="3"/>
  <c r="T26" i="3"/>
  <c r="U176" i="3"/>
  <c r="U26" i="3"/>
  <c r="V176" i="3"/>
  <c r="V26" i="3"/>
  <c r="W26" i="3"/>
  <c r="W291" i="3"/>
  <c r="N176" i="3"/>
  <c r="N26" i="3"/>
  <c r="O176" i="3"/>
  <c r="O26" i="3"/>
  <c r="P176" i="3"/>
  <c r="P26" i="3"/>
  <c r="Q176" i="3"/>
  <c r="Q26" i="3"/>
  <c r="R26" i="3"/>
  <c r="R291" i="3"/>
  <c r="L176" i="3"/>
  <c r="L26" i="3"/>
  <c r="M26" i="3"/>
  <c r="M14" i="3"/>
  <c r="M16" i="3"/>
  <c r="M291" i="3"/>
  <c r="AL17" i="3"/>
  <c r="AL18" i="3"/>
  <c r="AL19" i="3"/>
  <c r="AL20" i="3"/>
  <c r="AL21" i="3"/>
  <c r="AL22" i="3"/>
  <c r="AL23" i="3"/>
  <c r="AL25" i="3"/>
  <c r="AL31" i="3"/>
  <c r="AL32" i="3"/>
  <c r="AL33" i="3"/>
  <c r="AL241" i="3"/>
  <c r="AL242" i="3"/>
  <c r="AL247" i="3"/>
  <c r="AK186" i="3"/>
  <c r="AK250" i="3"/>
  <c r="AL250" i="3"/>
  <c r="AK187" i="3"/>
  <c r="AK251" i="3"/>
  <c r="AL251" i="3"/>
  <c r="AK253" i="3"/>
  <c r="AL253" i="3"/>
  <c r="AK256" i="3"/>
  <c r="AL256" i="3"/>
  <c r="AL257" i="3"/>
  <c r="AL290" i="3"/>
  <c r="AK257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AH288" i="3"/>
  <c r="AI288" i="3"/>
  <c r="AJ288" i="3"/>
  <c r="AK288" i="3"/>
  <c r="AC288" i="3"/>
  <c r="AD288" i="3"/>
  <c r="AE288" i="3"/>
  <c r="AF288" i="3"/>
  <c r="X288" i="3"/>
  <c r="Y288" i="3"/>
  <c r="Z288" i="3"/>
  <c r="AA288" i="3"/>
  <c r="S288" i="3"/>
  <c r="T288" i="3"/>
  <c r="U288" i="3"/>
  <c r="V288" i="3"/>
  <c r="Q288" i="3"/>
  <c r="P288" i="3"/>
  <c r="O288" i="3"/>
  <c r="N288" i="3"/>
  <c r="L288" i="3"/>
  <c r="AK275" i="3"/>
  <c r="AK272" i="3"/>
  <c r="AK185" i="3"/>
  <c r="AK259" i="3"/>
  <c r="AK195" i="3"/>
  <c r="AK261" i="3"/>
  <c r="AK260" i="3"/>
  <c r="AK262" i="3"/>
  <c r="AK274" i="3"/>
  <c r="AK276" i="3"/>
  <c r="AK184" i="3"/>
  <c r="AL184" i="3"/>
  <c r="AL185" i="3"/>
  <c r="AL281" i="3"/>
  <c r="AH35" i="3"/>
  <c r="AL35" i="3"/>
  <c r="AI35" i="3"/>
  <c r="AJ35" i="3"/>
  <c r="AK35" i="3"/>
  <c r="AL39" i="3"/>
  <c r="AL283" i="3"/>
  <c r="AK281" i="3"/>
  <c r="AK283" i="3"/>
  <c r="AJ281" i="3"/>
  <c r="AJ283" i="3"/>
  <c r="AI281" i="3"/>
  <c r="AI283" i="3"/>
  <c r="AH281" i="3"/>
  <c r="AH283" i="3"/>
  <c r="AG184" i="3"/>
  <c r="AG185" i="3"/>
  <c r="AG281" i="3"/>
  <c r="AC35" i="3"/>
  <c r="AG35" i="3"/>
  <c r="AD35" i="3"/>
  <c r="AE35" i="3"/>
  <c r="AF35" i="3"/>
  <c r="AG39" i="3"/>
  <c r="AG283" i="3"/>
  <c r="AF281" i="3"/>
  <c r="AF283" i="3"/>
  <c r="AE281" i="3"/>
  <c r="AE283" i="3"/>
  <c r="AD281" i="3"/>
  <c r="AD283" i="3"/>
  <c r="AC281" i="3"/>
  <c r="AC283" i="3"/>
  <c r="AB184" i="3"/>
  <c r="AB185" i="3"/>
  <c r="AB281" i="3"/>
  <c r="X35" i="3"/>
  <c r="AB35" i="3"/>
  <c r="Y35" i="3"/>
  <c r="Z35" i="3"/>
  <c r="AA35" i="3"/>
  <c r="AB39" i="3"/>
  <c r="AB283" i="3"/>
  <c r="AA281" i="3"/>
  <c r="AA283" i="3"/>
  <c r="Z281" i="3"/>
  <c r="Z283" i="3"/>
  <c r="Y281" i="3"/>
  <c r="Y283" i="3"/>
  <c r="X281" i="3"/>
  <c r="X283" i="3"/>
  <c r="W184" i="3"/>
  <c r="W185" i="3"/>
  <c r="W281" i="3"/>
  <c r="S35" i="3"/>
  <c r="W35" i="3"/>
  <c r="T35" i="3"/>
  <c r="U35" i="3"/>
  <c r="V35" i="3"/>
  <c r="W39" i="3"/>
  <c r="W283" i="3"/>
  <c r="V281" i="3"/>
  <c r="V283" i="3"/>
  <c r="U281" i="3"/>
  <c r="U283" i="3"/>
  <c r="T281" i="3"/>
  <c r="T283" i="3"/>
  <c r="S281" i="3"/>
  <c r="S283" i="3"/>
  <c r="R184" i="3"/>
  <c r="R185" i="3"/>
  <c r="R190" i="3"/>
  <c r="R281" i="3"/>
  <c r="N35" i="3"/>
  <c r="R35" i="3"/>
  <c r="O35" i="3"/>
  <c r="P35" i="3"/>
  <c r="Q35" i="3"/>
  <c r="R39" i="3"/>
  <c r="R283" i="3"/>
  <c r="Q281" i="3"/>
  <c r="Q283" i="3"/>
  <c r="P281" i="3"/>
  <c r="P283" i="3"/>
  <c r="O281" i="3"/>
  <c r="O283" i="3"/>
  <c r="N281" i="3"/>
  <c r="N283" i="3"/>
  <c r="M184" i="3"/>
  <c r="M185" i="3"/>
  <c r="M190" i="3"/>
  <c r="M281" i="3"/>
  <c r="M17" i="3"/>
  <c r="M18" i="3"/>
  <c r="M19" i="3"/>
  <c r="M21" i="3"/>
  <c r="M22" i="3"/>
  <c r="M23" i="3"/>
  <c r="M25" i="3"/>
  <c r="M31" i="3"/>
  <c r="M32" i="3"/>
  <c r="M33" i="3"/>
  <c r="M35" i="3"/>
  <c r="L35" i="3"/>
  <c r="M39" i="3"/>
  <c r="M283" i="3"/>
  <c r="L281" i="3"/>
  <c r="L283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M155" i="3"/>
  <c r="L155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AH27" i="3"/>
  <c r="AH178" i="3"/>
  <c r="AH36" i="3"/>
  <c r="AH37" i="3"/>
  <c r="AI27" i="3"/>
  <c r="AI178" i="3"/>
  <c r="AI36" i="3"/>
  <c r="AI37" i="3"/>
  <c r="AJ27" i="3"/>
  <c r="AJ178" i="3"/>
  <c r="AJ36" i="3"/>
  <c r="AJ37" i="3"/>
  <c r="AK27" i="3"/>
  <c r="AK178" i="3"/>
  <c r="AK36" i="3"/>
  <c r="AK37" i="3"/>
  <c r="AL37" i="3"/>
  <c r="AL42" i="3"/>
  <c r="AC27" i="3"/>
  <c r="AC178" i="3"/>
  <c r="AC36" i="3"/>
  <c r="AC37" i="3"/>
  <c r="AD27" i="3"/>
  <c r="AD178" i="3"/>
  <c r="AD36" i="3"/>
  <c r="AD37" i="3"/>
  <c r="AE27" i="3"/>
  <c r="AE178" i="3"/>
  <c r="AE36" i="3"/>
  <c r="AE37" i="3"/>
  <c r="AF27" i="3"/>
  <c r="AF178" i="3"/>
  <c r="AF36" i="3"/>
  <c r="AF37" i="3"/>
  <c r="AG37" i="3"/>
  <c r="AG42" i="3"/>
  <c r="AL153" i="3"/>
  <c r="AK42" i="3"/>
  <c r="AF42" i="3"/>
  <c r="AK153" i="3"/>
  <c r="AJ42" i="3"/>
  <c r="AE42" i="3"/>
  <c r="AJ153" i="3"/>
  <c r="AI42" i="3"/>
  <c r="AD42" i="3"/>
  <c r="AI153" i="3"/>
  <c r="AH42" i="3"/>
  <c r="AC42" i="3"/>
  <c r="AH153" i="3"/>
  <c r="X27" i="3"/>
  <c r="X178" i="3"/>
  <c r="X36" i="3"/>
  <c r="X37" i="3"/>
  <c r="Y27" i="3"/>
  <c r="Y178" i="3"/>
  <c r="Y36" i="3"/>
  <c r="Y37" i="3"/>
  <c r="Z27" i="3"/>
  <c r="Z178" i="3"/>
  <c r="Z36" i="3"/>
  <c r="Z37" i="3"/>
  <c r="AA27" i="3"/>
  <c r="AA178" i="3"/>
  <c r="AA36" i="3"/>
  <c r="AA37" i="3"/>
  <c r="AB37" i="3"/>
  <c r="AB42" i="3"/>
  <c r="AG153" i="3"/>
  <c r="AA42" i="3"/>
  <c r="AF153" i="3"/>
  <c r="Z42" i="3"/>
  <c r="AE153" i="3"/>
  <c r="Y42" i="3"/>
  <c r="AD153" i="3"/>
  <c r="X42" i="3"/>
  <c r="AC153" i="3"/>
  <c r="S27" i="3"/>
  <c r="S178" i="3"/>
  <c r="S36" i="3"/>
  <c r="S37" i="3"/>
  <c r="T27" i="3"/>
  <c r="T178" i="3"/>
  <c r="T36" i="3"/>
  <c r="T37" i="3"/>
  <c r="U27" i="3"/>
  <c r="U178" i="3"/>
  <c r="U36" i="3"/>
  <c r="U37" i="3"/>
  <c r="V27" i="3"/>
  <c r="V178" i="3"/>
  <c r="V36" i="3"/>
  <c r="V37" i="3"/>
  <c r="W37" i="3"/>
  <c r="W42" i="3"/>
  <c r="AB153" i="3"/>
  <c r="V42" i="3"/>
  <c r="AA153" i="3"/>
  <c r="U42" i="3"/>
  <c r="Z153" i="3"/>
  <c r="T42" i="3"/>
  <c r="Y153" i="3"/>
  <c r="S42" i="3"/>
  <c r="X153" i="3"/>
  <c r="N27" i="3"/>
  <c r="N178" i="3"/>
  <c r="N36" i="3"/>
  <c r="N37" i="3"/>
  <c r="O27" i="3"/>
  <c r="O178" i="3"/>
  <c r="O36" i="3"/>
  <c r="O37" i="3"/>
  <c r="P27" i="3"/>
  <c r="P178" i="3"/>
  <c r="P36" i="3"/>
  <c r="P37" i="3"/>
  <c r="Q27" i="3"/>
  <c r="Q178" i="3"/>
  <c r="Q36" i="3"/>
  <c r="Q37" i="3"/>
  <c r="R37" i="3"/>
  <c r="R42" i="3"/>
  <c r="W153" i="3"/>
  <c r="Q42" i="3"/>
  <c r="V153" i="3"/>
  <c r="P42" i="3"/>
  <c r="U153" i="3"/>
  <c r="O42" i="3"/>
  <c r="T153" i="3"/>
  <c r="N42" i="3"/>
  <c r="S153" i="3"/>
  <c r="L27" i="3"/>
  <c r="L37" i="3"/>
  <c r="M37" i="3"/>
  <c r="M42" i="3"/>
  <c r="R153" i="3"/>
  <c r="L42" i="3"/>
  <c r="Q153" i="3"/>
  <c r="P153" i="3"/>
  <c r="O153" i="3"/>
  <c r="N153" i="3"/>
  <c r="M153" i="3"/>
  <c r="L153" i="3"/>
  <c r="AL151" i="3"/>
  <c r="AG151" i="3"/>
  <c r="AB151" i="3"/>
  <c r="W151" i="3"/>
  <c r="R151" i="3"/>
  <c r="AL150" i="3"/>
  <c r="AG150" i="3"/>
  <c r="AB150" i="3"/>
  <c r="W150" i="3"/>
  <c r="R150" i="3"/>
  <c r="M150" i="3"/>
  <c r="AL27" i="3"/>
  <c r="AL149" i="3"/>
  <c r="AK149" i="3"/>
  <c r="AJ149" i="3"/>
  <c r="AI149" i="3"/>
  <c r="AH149" i="3"/>
  <c r="AG27" i="3"/>
  <c r="AG149" i="3"/>
  <c r="AF149" i="3"/>
  <c r="AE149" i="3"/>
  <c r="AD149" i="3"/>
  <c r="AC149" i="3"/>
  <c r="AB27" i="3"/>
  <c r="AB149" i="3"/>
  <c r="AA149" i="3"/>
  <c r="Z149" i="3"/>
  <c r="Y149" i="3"/>
  <c r="X149" i="3"/>
  <c r="W27" i="3"/>
  <c r="W149" i="3"/>
  <c r="V149" i="3"/>
  <c r="U149" i="3"/>
  <c r="T149" i="3"/>
  <c r="S149" i="3"/>
  <c r="R27" i="3"/>
  <c r="R149" i="3"/>
  <c r="Q149" i="3"/>
  <c r="P149" i="3"/>
  <c r="O149" i="3"/>
  <c r="N149" i="3"/>
  <c r="M27" i="3"/>
  <c r="M149" i="3"/>
  <c r="L149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L147" i="3"/>
  <c r="M147" i="3"/>
  <c r="AH151" i="3"/>
  <c r="AI151" i="3"/>
  <c r="AJ151" i="3"/>
  <c r="AK151" i="3"/>
  <c r="AC151" i="3"/>
  <c r="AD151" i="3"/>
  <c r="AE151" i="3"/>
  <c r="AF151" i="3"/>
  <c r="X151" i="3"/>
  <c r="Y151" i="3"/>
  <c r="Z151" i="3"/>
  <c r="AA151" i="3"/>
  <c r="S151" i="3"/>
  <c r="T151" i="3"/>
  <c r="U151" i="3"/>
  <c r="V151" i="3"/>
  <c r="Q151" i="3"/>
  <c r="P151" i="3"/>
  <c r="O151" i="3"/>
  <c r="N151" i="3"/>
  <c r="M151" i="3"/>
  <c r="L151" i="3"/>
  <c r="L29" i="3"/>
  <c r="L74" i="3"/>
  <c r="L169" i="3"/>
  <c r="Z13" i="3"/>
  <c r="L75" i="3"/>
  <c r="L78" i="3"/>
  <c r="N69" i="3"/>
  <c r="N70" i="3"/>
  <c r="N71" i="3"/>
  <c r="N73" i="3"/>
  <c r="N74" i="3"/>
  <c r="AL275" i="3"/>
  <c r="AH264" i="3"/>
  <c r="AI264" i="3"/>
  <c r="AJ264" i="3"/>
  <c r="AK264" i="3"/>
  <c r="AL264" i="3"/>
  <c r="AL265" i="3"/>
  <c r="AL266" i="3"/>
  <c r="AL267" i="3"/>
  <c r="AH268" i="3"/>
  <c r="AI268" i="3"/>
  <c r="AJ268" i="3"/>
  <c r="AK268" i="3"/>
  <c r="AL268" i="3"/>
  <c r="AH269" i="3"/>
  <c r="AI269" i="3"/>
  <c r="AJ269" i="3"/>
  <c r="AK269" i="3"/>
  <c r="AL269" i="3"/>
  <c r="AL270" i="3"/>
  <c r="AL271" i="3"/>
  <c r="AL272" i="3"/>
  <c r="AL259" i="3"/>
  <c r="AL260" i="3"/>
  <c r="AL261" i="3"/>
  <c r="AL262" i="3"/>
  <c r="AH243" i="3"/>
  <c r="AI243" i="3"/>
  <c r="AJ243" i="3"/>
  <c r="AK243" i="3"/>
  <c r="AL243" i="3"/>
  <c r="AH244" i="3"/>
  <c r="AI244" i="3"/>
  <c r="AJ244" i="3"/>
  <c r="AK244" i="3"/>
  <c r="AL244" i="3"/>
  <c r="AH245" i="3"/>
  <c r="AI245" i="3"/>
  <c r="AJ245" i="3"/>
  <c r="AK245" i="3"/>
  <c r="AL245" i="3"/>
  <c r="AL246" i="3"/>
  <c r="AL248" i="3"/>
  <c r="AH252" i="3"/>
  <c r="AI252" i="3"/>
  <c r="AJ252" i="3"/>
  <c r="AK252" i="3"/>
  <c r="AL252" i="3"/>
  <c r="AH254" i="3"/>
  <c r="AI254" i="3"/>
  <c r="AJ254" i="3"/>
  <c r="AK254" i="3"/>
  <c r="AL254" i="3"/>
  <c r="AH255" i="3"/>
  <c r="AI255" i="3"/>
  <c r="AJ255" i="3"/>
  <c r="AK255" i="3"/>
  <c r="AL255" i="3"/>
  <c r="AL274" i="3"/>
  <c r="AL276" i="3"/>
  <c r="AC264" i="3"/>
  <c r="AD264" i="3"/>
  <c r="AE264" i="3"/>
  <c r="AF264" i="3"/>
  <c r="AG264" i="3"/>
  <c r="AG265" i="3"/>
  <c r="AG266" i="3"/>
  <c r="AG267" i="3"/>
  <c r="AC268" i="3"/>
  <c r="AD268" i="3"/>
  <c r="AE268" i="3"/>
  <c r="AF268" i="3"/>
  <c r="AG268" i="3"/>
  <c r="AC269" i="3"/>
  <c r="AD269" i="3"/>
  <c r="AE269" i="3"/>
  <c r="AF269" i="3"/>
  <c r="AG269" i="3"/>
  <c r="AG271" i="3"/>
  <c r="AC243" i="3"/>
  <c r="AD243" i="3"/>
  <c r="AE243" i="3"/>
  <c r="AF243" i="3"/>
  <c r="AG243" i="3"/>
  <c r="AC244" i="3"/>
  <c r="AD244" i="3"/>
  <c r="AE244" i="3"/>
  <c r="AF244" i="3"/>
  <c r="AG244" i="3"/>
  <c r="AC245" i="3"/>
  <c r="AD245" i="3"/>
  <c r="AE245" i="3"/>
  <c r="AF245" i="3"/>
  <c r="AG245" i="3"/>
  <c r="AG246" i="3"/>
  <c r="AG248" i="3"/>
  <c r="AC252" i="3"/>
  <c r="AD252" i="3"/>
  <c r="AE252" i="3"/>
  <c r="AF252" i="3"/>
  <c r="AG252" i="3"/>
  <c r="AC254" i="3"/>
  <c r="AD254" i="3"/>
  <c r="AE254" i="3"/>
  <c r="AF254" i="3"/>
  <c r="AG254" i="3"/>
  <c r="AC255" i="3"/>
  <c r="AD255" i="3"/>
  <c r="AE255" i="3"/>
  <c r="AF255" i="3"/>
  <c r="AG255" i="3"/>
  <c r="X264" i="3"/>
  <c r="Y264" i="3"/>
  <c r="Z264" i="3"/>
  <c r="AA264" i="3"/>
  <c r="AB264" i="3"/>
  <c r="AB265" i="3"/>
  <c r="AB266" i="3"/>
  <c r="AB267" i="3"/>
  <c r="X268" i="3"/>
  <c r="Y268" i="3"/>
  <c r="Z268" i="3"/>
  <c r="AA268" i="3"/>
  <c r="AB268" i="3"/>
  <c r="X269" i="3"/>
  <c r="Y269" i="3"/>
  <c r="Z269" i="3"/>
  <c r="AA269" i="3"/>
  <c r="AB269" i="3"/>
  <c r="AB271" i="3"/>
  <c r="X243" i="3"/>
  <c r="Y243" i="3"/>
  <c r="Z243" i="3"/>
  <c r="AA243" i="3"/>
  <c r="AB243" i="3"/>
  <c r="X244" i="3"/>
  <c r="Y244" i="3"/>
  <c r="Z244" i="3"/>
  <c r="AA244" i="3"/>
  <c r="AB244" i="3"/>
  <c r="X245" i="3"/>
  <c r="Y245" i="3"/>
  <c r="Z245" i="3"/>
  <c r="AA245" i="3"/>
  <c r="AB245" i="3"/>
  <c r="AB246" i="3"/>
  <c r="AB248" i="3"/>
  <c r="X252" i="3"/>
  <c r="Y252" i="3"/>
  <c r="Z252" i="3"/>
  <c r="AA252" i="3"/>
  <c r="AB252" i="3"/>
  <c r="X254" i="3"/>
  <c r="Y254" i="3"/>
  <c r="Z254" i="3"/>
  <c r="AA254" i="3"/>
  <c r="AB254" i="3"/>
  <c r="X255" i="3"/>
  <c r="Y255" i="3"/>
  <c r="Z255" i="3"/>
  <c r="AA255" i="3"/>
  <c r="AB255" i="3"/>
  <c r="S264" i="3"/>
  <c r="T264" i="3"/>
  <c r="U264" i="3"/>
  <c r="V264" i="3"/>
  <c r="W264" i="3"/>
  <c r="W265" i="3"/>
  <c r="W266" i="3"/>
  <c r="W267" i="3"/>
  <c r="S268" i="3"/>
  <c r="T268" i="3"/>
  <c r="U268" i="3"/>
  <c r="V268" i="3"/>
  <c r="W268" i="3"/>
  <c r="S269" i="3"/>
  <c r="T269" i="3"/>
  <c r="U269" i="3"/>
  <c r="V269" i="3"/>
  <c r="W269" i="3"/>
  <c r="W271" i="3"/>
  <c r="S243" i="3"/>
  <c r="T243" i="3"/>
  <c r="U243" i="3"/>
  <c r="V243" i="3"/>
  <c r="W243" i="3"/>
  <c r="S244" i="3"/>
  <c r="T244" i="3"/>
  <c r="U244" i="3"/>
  <c r="V244" i="3"/>
  <c r="W244" i="3"/>
  <c r="S245" i="3"/>
  <c r="T245" i="3"/>
  <c r="U245" i="3"/>
  <c r="V245" i="3"/>
  <c r="W245" i="3"/>
  <c r="W246" i="3"/>
  <c r="W248" i="3"/>
  <c r="S252" i="3"/>
  <c r="T252" i="3"/>
  <c r="U252" i="3"/>
  <c r="V252" i="3"/>
  <c r="W252" i="3"/>
  <c r="S254" i="3"/>
  <c r="T254" i="3"/>
  <c r="U254" i="3"/>
  <c r="V254" i="3"/>
  <c r="W254" i="3"/>
  <c r="S255" i="3"/>
  <c r="T255" i="3"/>
  <c r="U255" i="3"/>
  <c r="V255" i="3"/>
  <c r="W255" i="3"/>
  <c r="M209" i="3"/>
  <c r="M275" i="3"/>
  <c r="R191" i="3"/>
  <c r="M191" i="3"/>
  <c r="L275" i="3"/>
  <c r="M273" i="3"/>
  <c r="R264" i="3"/>
  <c r="R265" i="3"/>
  <c r="R266" i="3"/>
  <c r="R267" i="3"/>
  <c r="R268" i="3"/>
  <c r="R269" i="3"/>
  <c r="R271" i="3"/>
  <c r="M271" i="3"/>
  <c r="M267" i="3"/>
  <c r="M266" i="3"/>
  <c r="M265" i="3"/>
  <c r="R255" i="3"/>
  <c r="R254" i="3"/>
  <c r="R252" i="3"/>
  <c r="N256" i="3"/>
  <c r="P256" i="3"/>
  <c r="O256" i="3"/>
  <c r="L256" i="3"/>
  <c r="N255" i="3"/>
  <c r="Q255" i="3"/>
  <c r="P255" i="3"/>
  <c r="O255" i="3"/>
  <c r="L255" i="3"/>
  <c r="N254" i="3"/>
  <c r="Q254" i="3"/>
  <c r="P254" i="3"/>
  <c r="O254" i="3"/>
  <c r="L254" i="3"/>
  <c r="M256" i="3"/>
  <c r="M255" i="3"/>
  <c r="M254" i="3"/>
  <c r="M252" i="3"/>
  <c r="N252" i="3"/>
  <c r="Q252" i="3"/>
  <c r="P252" i="3"/>
  <c r="O252" i="3"/>
  <c r="L252" i="3"/>
  <c r="R248" i="3"/>
  <c r="R246" i="3"/>
  <c r="R245" i="3"/>
  <c r="R244" i="3"/>
  <c r="R243" i="3"/>
  <c r="Q244" i="3"/>
  <c r="Q245" i="3"/>
  <c r="P244" i="3"/>
  <c r="P245" i="3"/>
  <c r="O244" i="3"/>
  <c r="O245" i="3"/>
  <c r="N244" i="3"/>
  <c r="N245" i="3"/>
  <c r="L245" i="3"/>
  <c r="L244" i="3"/>
  <c r="N243" i="3"/>
  <c r="Q243" i="3"/>
  <c r="P243" i="3"/>
  <c r="O243" i="3"/>
  <c r="M248" i="3"/>
  <c r="M246" i="3"/>
  <c r="M245" i="3"/>
  <c r="M244" i="3"/>
  <c r="M243" i="3"/>
  <c r="L243" i="3"/>
  <c r="AL215" i="3"/>
  <c r="AL216" i="3"/>
  <c r="AH217" i="3"/>
  <c r="AI217" i="3"/>
  <c r="AJ217" i="3"/>
  <c r="AK217" i="3"/>
  <c r="AL217" i="3"/>
  <c r="AH218" i="3"/>
  <c r="AI218" i="3"/>
  <c r="AJ218" i="3"/>
  <c r="AK218" i="3"/>
  <c r="AL218" i="3"/>
  <c r="AL219" i="3"/>
  <c r="AL200" i="3"/>
  <c r="AL201" i="3"/>
  <c r="AL208" i="3"/>
  <c r="AL213" i="3"/>
  <c r="AL220" i="3"/>
  <c r="AK189" i="3"/>
  <c r="AL189" i="3"/>
  <c r="AL195" i="3"/>
  <c r="AJ192" i="3"/>
  <c r="AK192" i="3"/>
  <c r="AL192" i="3"/>
  <c r="AL198" i="3"/>
  <c r="AL221" i="3"/>
  <c r="AK198" i="3"/>
  <c r="AK221" i="3"/>
  <c r="AJ189" i="3"/>
  <c r="AJ198" i="3"/>
  <c r="AJ221" i="3"/>
  <c r="AI189" i="3"/>
  <c r="AI198" i="3"/>
  <c r="AI221" i="3"/>
  <c r="AH189" i="3"/>
  <c r="AH198" i="3"/>
  <c r="AH221" i="3"/>
  <c r="AC217" i="3"/>
  <c r="AD217" i="3"/>
  <c r="AE217" i="3"/>
  <c r="AF217" i="3"/>
  <c r="AG217" i="3"/>
  <c r="AC218" i="3"/>
  <c r="AD218" i="3"/>
  <c r="AE218" i="3"/>
  <c r="AF218" i="3"/>
  <c r="AG218" i="3"/>
  <c r="AF189" i="3"/>
  <c r="AG189" i="3"/>
  <c r="AG198" i="3"/>
  <c r="AG221" i="3"/>
  <c r="AF198" i="3"/>
  <c r="AF221" i="3"/>
  <c r="AE189" i="3"/>
  <c r="AE198" i="3"/>
  <c r="AE221" i="3"/>
  <c r="AD189" i="3"/>
  <c r="AD198" i="3"/>
  <c r="AD221" i="3"/>
  <c r="AC189" i="3"/>
  <c r="AC198" i="3"/>
  <c r="AC221" i="3"/>
  <c r="X217" i="3"/>
  <c r="Y217" i="3"/>
  <c r="Z217" i="3"/>
  <c r="AA217" i="3"/>
  <c r="AB217" i="3"/>
  <c r="X218" i="3"/>
  <c r="Y218" i="3"/>
  <c r="Z218" i="3"/>
  <c r="AA218" i="3"/>
  <c r="AB218" i="3"/>
  <c r="AA189" i="3"/>
  <c r="AB189" i="3"/>
  <c r="AB198" i="3"/>
  <c r="AB221" i="3"/>
  <c r="AA198" i="3"/>
  <c r="AA221" i="3"/>
  <c r="Z189" i="3"/>
  <c r="Z198" i="3"/>
  <c r="Z221" i="3"/>
  <c r="Y189" i="3"/>
  <c r="Y198" i="3"/>
  <c r="Y221" i="3"/>
  <c r="X189" i="3"/>
  <c r="X198" i="3"/>
  <c r="X221" i="3"/>
  <c r="S217" i="3"/>
  <c r="T217" i="3"/>
  <c r="U217" i="3"/>
  <c r="V217" i="3"/>
  <c r="W217" i="3"/>
  <c r="S218" i="3"/>
  <c r="T218" i="3"/>
  <c r="U218" i="3"/>
  <c r="V218" i="3"/>
  <c r="W218" i="3"/>
  <c r="V189" i="3"/>
  <c r="W189" i="3"/>
  <c r="W198" i="3"/>
  <c r="W221" i="3"/>
  <c r="V198" i="3"/>
  <c r="V221" i="3"/>
  <c r="U189" i="3"/>
  <c r="U198" i="3"/>
  <c r="U221" i="3"/>
  <c r="T189" i="3"/>
  <c r="T198" i="3"/>
  <c r="T221" i="3"/>
  <c r="S189" i="3"/>
  <c r="S198" i="3"/>
  <c r="S221" i="3"/>
  <c r="Q189" i="3"/>
  <c r="R189" i="3"/>
  <c r="R198" i="3"/>
  <c r="R221" i="3"/>
  <c r="Q198" i="3"/>
  <c r="Q221" i="3"/>
  <c r="P189" i="3"/>
  <c r="P198" i="3"/>
  <c r="P221" i="3"/>
  <c r="O189" i="3"/>
  <c r="O198" i="3"/>
  <c r="O221" i="3"/>
  <c r="N189" i="3"/>
  <c r="N198" i="3"/>
  <c r="N221" i="3"/>
  <c r="L189" i="3"/>
  <c r="M189" i="3"/>
  <c r="M198" i="3"/>
  <c r="M221" i="3"/>
  <c r="L198" i="3"/>
  <c r="L221" i="3"/>
  <c r="R218" i="3"/>
  <c r="Q218" i="3"/>
  <c r="P218" i="3"/>
  <c r="O218" i="3"/>
  <c r="N218" i="3"/>
  <c r="M218" i="3"/>
  <c r="L218" i="3"/>
  <c r="M217" i="3"/>
  <c r="R217" i="3"/>
  <c r="Q217" i="3"/>
  <c r="P217" i="3"/>
  <c r="O217" i="3"/>
  <c r="N217" i="3"/>
  <c r="L217" i="3"/>
  <c r="M269" i="3"/>
  <c r="Q269" i="3"/>
  <c r="P269" i="3"/>
  <c r="O269" i="3"/>
  <c r="N269" i="3"/>
  <c r="L269" i="3"/>
  <c r="Q268" i="3"/>
  <c r="P268" i="3"/>
  <c r="O268" i="3"/>
  <c r="N268" i="3"/>
  <c r="M268" i="3"/>
  <c r="L268" i="3"/>
  <c r="AH212" i="3"/>
  <c r="AI212" i="3"/>
  <c r="AJ212" i="3"/>
  <c r="AK212" i="3"/>
  <c r="AL212" i="3"/>
  <c r="AC212" i="3"/>
  <c r="AD212" i="3"/>
  <c r="AE212" i="3"/>
  <c r="AF212" i="3"/>
  <c r="AG212" i="3"/>
  <c r="X212" i="3"/>
  <c r="Y212" i="3"/>
  <c r="Z212" i="3"/>
  <c r="AA212" i="3"/>
  <c r="AB212" i="3"/>
  <c r="S212" i="3"/>
  <c r="T212" i="3"/>
  <c r="U212" i="3"/>
  <c r="V212" i="3"/>
  <c r="W212" i="3"/>
  <c r="R212" i="3"/>
  <c r="M212" i="3"/>
  <c r="N212" i="3"/>
  <c r="O212" i="3"/>
  <c r="P212" i="3"/>
  <c r="Q212" i="3"/>
  <c r="L212" i="3"/>
  <c r="AK30" i="3"/>
  <c r="AJ30" i="3"/>
  <c r="AI30" i="3"/>
  <c r="AH30" i="3"/>
  <c r="AF30" i="3"/>
  <c r="AE30" i="3"/>
  <c r="AD30" i="3"/>
  <c r="AC30" i="3"/>
  <c r="AA30" i="3"/>
  <c r="Z30" i="3"/>
  <c r="Y30" i="3"/>
  <c r="X30" i="3"/>
  <c r="V30" i="3"/>
  <c r="U30" i="3"/>
  <c r="T30" i="3"/>
  <c r="S30" i="3"/>
  <c r="N30" i="3"/>
  <c r="Q30" i="3"/>
  <c r="P30" i="3"/>
  <c r="O30" i="3"/>
  <c r="L30" i="3"/>
  <c r="AH152" i="3"/>
  <c r="AI152" i="3"/>
  <c r="AJ152" i="3"/>
  <c r="AK152" i="3"/>
  <c r="AC152" i="3"/>
  <c r="AD152" i="3"/>
  <c r="AE152" i="3"/>
  <c r="AF152" i="3"/>
  <c r="X152" i="3"/>
  <c r="Y152" i="3"/>
  <c r="Z152" i="3"/>
  <c r="AA152" i="3"/>
  <c r="S152" i="3"/>
  <c r="T152" i="3"/>
  <c r="U152" i="3"/>
  <c r="V152" i="3"/>
  <c r="Q152" i="3"/>
  <c r="P152" i="3"/>
  <c r="O152" i="3"/>
  <c r="N152" i="3"/>
  <c r="L152" i="3"/>
  <c r="N264" i="3"/>
  <c r="P264" i="3"/>
  <c r="O264" i="3"/>
  <c r="Q264" i="3"/>
  <c r="M264" i="3"/>
  <c r="L26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AL209" i="3"/>
  <c r="AL206" i="3"/>
  <c r="AK209" i="3"/>
  <c r="AJ209" i="3"/>
  <c r="AI209" i="3"/>
  <c r="AH209" i="3"/>
  <c r="AG209" i="3"/>
  <c r="AG206" i="3"/>
  <c r="AF209" i="3"/>
  <c r="AE209" i="3"/>
  <c r="AD209" i="3"/>
  <c r="AC209" i="3"/>
  <c r="AA209" i="3"/>
  <c r="AB206" i="3"/>
  <c r="AB209" i="3"/>
  <c r="Z209" i="3"/>
  <c r="Y209" i="3"/>
  <c r="X209" i="3"/>
  <c r="W209" i="3"/>
  <c r="W206" i="3"/>
  <c r="V209" i="3"/>
  <c r="U209" i="3"/>
  <c r="T209" i="3"/>
  <c r="S209" i="3"/>
  <c r="R209" i="3"/>
  <c r="R206" i="3"/>
  <c r="Q209" i="3"/>
  <c r="P209" i="3"/>
  <c r="O209" i="3"/>
  <c r="N209" i="3"/>
  <c r="L209" i="3"/>
  <c r="P206" i="3"/>
  <c r="L206" i="3"/>
  <c r="N206" i="3"/>
  <c r="O206" i="3"/>
  <c r="M206" i="3"/>
  <c r="AH205" i="3"/>
  <c r="AI205" i="3"/>
  <c r="AJ205" i="3"/>
  <c r="AK205" i="3"/>
  <c r="AL205" i="3"/>
  <c r="AC205" i="3"/>
  <c r="AD205" i="3"/>
  <c r="AE205" i="3"/>
  <c r="AF205" i="3"/>
  <c r="AG205" i="3"/>
  <c r="X205" i="3"/>
  <c r="Y205" i="3"/>
  <c r="Z205" i="3"/>
  <c r="AA205" i="3"/>
  <c r="AB205" i="3"/>
  <c r="S205" i="3"/>
  <c r="T205" i="3"/>
  <c r="U205" i="3"/>
  <c r="V205" i="3"/>
  <c r="W205" i="3"/>
  <c r="Q205" i="3"/>
  <c r="P205" i="3"/>
  <c r="O205" i="3"/>
  <c r="N205" i="3"/>
  <c r="R205" i="3"/>
  <c r="M205" i="3"/>
  <c r="L205" i="3"/>
  <c r="AH211" i="3"/>
  <c r="AI211" i="3"/>
  <c r="AJ211" i="3"/>
  <c r="AK211" i="3"/>
  <c r="AL211" i="3"/>
  <c r="AC211" i="3"/>
  <c r="AD211" i="3"/>
  <c r="AE211" i="3"/>
  <c r="AF211" i="3"/>
  <c r="AG211" i="3"/>
  <c r="X211" i="3"/>
  <c r="Y211" i="3"/>
  <c r="Z211" i="3"/>
  <c r="AA211" i="3"/>
  <c r="AB211" i="3"/>
  <c r="S211" i="3"/>
  <c r="T211" i="3"/>
  <c r="U211" i="3"/>
  <c r="V211" i="3"/>
  <c r="W211" i="3"/>
  <c r="R211" i="3"/>
  <c r="N211" i="3"/>
  <c r="O211" i="3"/>
  <c r="P211" i="3"/>
  <c r="Q211" i="3"/>
  <c r="M211" i="3"/>
  <c r="L211" i="3"/>
  <c r="AH203" i="3"/>
  <c r="AI203" i="3"/>
  <c r="AJ203" i="3"/>
  <c r="AK203" i="3"/>
  <c r="AL203" i="3"/>
  <c r="AH202" i="3"/>
  <c r="AI202" i="3"/>
  <c r="AJ202" i="3"/>
  <c r="AK202" i="3"/>
  <c r="AL202" i="3"/>
  <c r="AC203" i="3"/>
  <c r="AD203" i="3"/>
  <c r="AE203" i="3"/>
  <c r="AF203" i="3"/>
  <c r="AG203" i="3"/>
  <c r="AC202" i="3"/>
  <c r="AD202" i="3"/>
  <c r="AE202" i="3"/>
  <c r="AF202" i="3"/>
  <c r="AG202" i="3"/>
  <c r="X203" i="3"/>
  <c r="Y203" i="3"/>
  <c r="Z203" i="3"/>
  <c r="AA203" i="3"/>
  <c r="AB203" i="3"/>
  <c r="X202" i="3"/>
  <c r="Y202" i="3"/>
  <c r="Z202" i="3"/>
  <c r="AA202" i="3"/>
  <c r="AB202" i="3"/>
  <c r="S203" i="3"/>
  <c r="T203" i="3"/>
  <c r="U203" i="3"/>
  <c r="V203" i="3"/>
  <c r="W203" i="3"/>
  <c r="S202" i="3"/>
  <c r="T202" i="3"/>
  <c r="U202" i="3"/>
  <c r="V202" i="3"/>
  <c r="W202" i="3"/>
  <c r="R203" i="3"/>
  <c r="O203" i="3"/>
  <c r="P203" i="3"/>
  <c r="Q203" i="3"/>
  <c r="N203" i="3"/>
  <c r="M203" i="3"/>
  <c r="L203" i="3"/>
  <c r="R202" i="3"/>
  <c r="M202" i="3"/>
  <c r="Q202" i="3"/>
  <c r="P202" i="3"/>
  <c r="O202" i="3"/>
  <c r="N202" i="3"/>
  <c r="L202" i="3"/>
  <c r="N201" i="3"/>
  <c r="M201" i="3"/>
  <c r="O201" i="3"/>
  <c r="P201" i="3"/>
  <c r="L201" i="3"/>
  <c r="AK194" i="3"/>
  <c r="AL194" i="3"/>
  <c r="AJ194" i="3"/>
  <c r="AI194" i="3"/>
  <c r="AH194" i="3"/>
  <c r="AH197" i="3"/>
  <c r="AI197" i="3"/>
  <c r="AJ197" i="3"/>
  <c r="AK197" i="3"/>
  <c r="AL197" i="3"/>
  <c r="AH196" i="3"/>
  <c r="AI196" i="3"/>
  <c r="AJ196" i="3"/>
  <c r="AK196" i="3"/>
  <c r="AL196" i="3"/>
  <c r="AF194" i="3"/>
  <c r="AG194" i="3"/>
  <c r="AE194" i="3"/>
  <c r="AD194" i="3"/>
  <c r="AC194" i="3"/>
  <c r="AC197" i="3"/>
  <c r="AD197" i="3"/>
  <c r="AE197" i="3"/>
  <c r="AF197" i="3"/>
  <c r="AG197" i="3"/>
  <c r="AC196" i="3"/>
  <c r="AD196" i="3"/>
  <c r="AE196" i="3"/>
  <c r="AF196" i="3"/>
  <c r="AG196" i="3"/>
  <c r="AA194" i="3"/>
  <c r="AB194" i="3"/>
  <c r="Z194" i="3"/>
  <c r="Y194" i="3"/>
  <c r="X194" i="3"/>
  <c r="X197" i="3"/>
  <c r="Y197" i="3"/>
  <c r="Z197" i="3"/>
  <c r="AA197" i="3"/>
  <c r="AB197" i="3"/>
  <c r="X196" i="3"/>
  <c r="Y196" i="3"/>
  <c r="Z196" i="3"/>
  <c r="AA196" i="3"/>
  <c r="AB196" i="3"/>
  <c r="V194" i="3"/>
  <c r="W194" i="3"/>
  <c r="U194" i="3"/>
  <c r="T194" i="3"/>
  <c r="S194" i="3"/>
  <c r="S197" i="3"/>
  <c r="T197" i="3"/>
  <c r="U197" i="3"/>
  <c r="V197" i="3"/>
  <c r="W197" i="3"/>
  <c r="S196" i="3"/>
  <c r="T196" i="3"/>
  <c r="U196" i="3"/>
  <c r="V196" i="3"/>
  <c r="W196" i="3"/>
  <c r="Q197" i="3"/>
  <c r="P197" i="3"/>
  <c r="O197" i="3"/>
  <c r="N197" i="3"/>
  <c r="L197" i="3"/>
  <c r="Q194" i="3"/>
  <c r="R194" i="3"/>
  <c r="R197" i="3"/>
  <c r="R196" i="3"/>
  <c r="L194" i="3"/>
  <c r="M197" i="3"/>
  <c r="M194" i="3"/>
  <c r="N194" i="3"/>
  <c r="O194" i="3"/>
  <c r="P194" i="3"/>
  <c r="K198" i="3"/>
  <c r="M196" i="3"/>
  <c r="N196" i="3"/>
  <c r="O196" i="3"/>
  <c r="P196" i="3"/>
  <c r="Q196" i="3"/>
  <c r="L196" i="3"/>
  <c r="L235" i="3"/>
  <c r="N235" i="3"/>
  <c r="O235" i="3"/>
  <c r="P235" i="3"/>
  <c r="Q235" i="3"/>
  <c r="S235" i="3"/>
  <c r="T235" i="3"/>
  <c r="U235" i="3"/>
  <c r="V235" i="3"/>
  <c r="X235" i="3"/>
  <c r="Y235" i="3"/>
  <c r="Z235" i="3"/>
  <c r="AA235" i="3"/>
  <c r="AC235" i="3"/>
  <c r="AD235" i="3"/>
  <c r="AE235" i="3"/>
  <c r="AF235" i="3"/>
  <c r="AH235" i="3"/>
  <c r="AI235" i="3"/>
  <c r="AJ235" i="3"/>
  <c r="AK235" i="3"/>
  <c r="AH236" i="3"/>
  <c r="AI236" i="3"/>
  <c r="AJ236" i="3"/>
  <c r="AK236" i="3"/>
  <c r="AC236" i="3"/>
  <c r="AD236" i="3"/>
  <c r="AE236" i="3"/>
  <c r="AF236" i="3"/>
  <c r="X236" i="3"/>
  <c r="Y236" i="3"/>
  <c r="Z236" i="3"/>
  <c r="AA236" i="3"/>
  <c r="S236" i="3"/>
  <c r="T236" i="3"/>
  <c r="U236" i="3"/>
  <c r="V236" i="3"/>
  <c r="L119" i="3"/>
  <c r="L133" i="3"/>
  <c r="L105" i="3"/>
  <c r="L72" i="3"/>
  <c r="M242" i="3"/>
  <c r="L242" i="3"/>
  <c r="N236" i="3"/>
  <c r="O236" i="3"/>
  <c r="P236" i="3"/>
  <c r="Q236" i="3"/>
  <c r="L236" i="3"/>
  <c r="L210" i="3"/>
  <c r="N210" i="3"/>
  <c r="O210" i="3"/>
  <c r="P210" i="3"/>
  <c r="Q210" i="3"/>
  <c r="S210" i="3"/>
  <c r="T210" i="3"/>
  <c r="U210" i="3"/>
  <c r="V210" i="3"/>
  <c r="X210" i="3"/>
  <c r="Y210" i="3"/>
  <c r="Z210" i="3"/>
  <c r="AA210" i="3"/>
  <c r="AC210" i="3"/>
  <c r="AD210" i="3"/>
  <c r="AE210" i="3"/>
  <c r="AF210" i="3"/>
  <c r="AH210" i="3"/>
  <c r="AI210" i="3"/>
  <c r="AJ210" i="3"/>
  <c r="AK210" i="3"/>
  <c r="AL210" i="3"/>
  <c r="AG210" i="3"/>
  <c r="AB210" i="3"/>
  <c r="W210" i="3"/>
  <c r="R210" i="3"/>
  <c r="M210" i="3"/>
  <c r="L204" i="3"/>
  <c r="N204" i="3"/>
  <c r="O204" i="3"/>
  <c r="P204" i="3"/>
  <c r="Q204" i="3"/>
  <c r="S204" i="3"/>
  <c r="T204" i="3"/>
  <c r="U204" i="3"/>
  <c r="V204" i="3"/>
  <c r="X204" i="3"/>
  <c r="Y204" i="3"/>
  <c r="Z204" i="3"/>
  <c r="AA204" i="3"/>
  <c r="AC204" i="3"/>
  <c r="AD204" i="3"/>
  <c r="AE204" i="3"/>
  <c r="AF204" i="3"/>
  <c r="AH204" i="3"/>
  <c r="AI204" i="3"/>
  <c r="AJ204" i="3"/>
  <c r="AK204" i="3"/>
  <c r="AL204" i="3"/>
  <c r="AG204" i="3"/>
  <c r="AB204" i="3"/>
  <c r="W204" i="3"/>
  <c r="R204" i="3"/>
  <c r="M204" i="3"/>
  <c r="AH193" i="3"/>
  <c r="AI193" i="3"/>
  <c r="AJ193" i="3"/>
  <c r="AK193" i="3"/>
  <c r="AL193" i="3"/>
  <c r="AC193" i="3"/>
  <c r="AD193" i="3"/>
  <c r="AE193" i="3"/>
  <c r="AF193" i="3"/>
  <c r="AG193" i="3"/>
  <c r="X193" i="3"/>
  <c r="Y193" i="3"/>
  <c r="Z193" i="3"/>
  <c r="AA193" i="3"/>
  <c r="AB193" i="3"/>
  <c r="S193" i="3"/>
  <c r="T193" i="3"/>
  <c r="U193" i="3"/>
  <c r="V193" i="3"/>
  <c r="W193" i="3"/>
  <c r="R193" i="3"/>
  <c r="M193" i="3"/>
  <c r="N193" i="3"/>
  <c r="O193" i="3"/>
  <c r="P193" i="3"/>
  <c r="Q193" i="3"/>
  <c r="L193" i="3"/>
  <c r="P191" i="3"/>
  <c r="Q191" i="3"/>
  <c r="O191" i="3"/>
  <c r="N191" i="3"/>
  <c r="L191" i="3"/>
  <c r="L122" i="3"/>
  <c r="L126" i="3"/>
  <c r="N117" i="3"/>
  <c r="N118" i="3"/>
  <c r="N120" i="3"/>
  <c r="N121" i="3"/>
  <c r="N122" i="3"/>
  <c r="N126" i="3"/>
  <c r="O117" i="3"/>
  <c r="O118" i="3"/>
  <c r="O120" i="3"/>
  <c r="O121" i="3"/>
  <c r="O122" i="3"/>
  <c r="O126" i="3"/>
  <c r="AJ188" i="3"/>
  <c r="AK188" i="3"/>
  <c r="AI188" i="3"/>
  <c r="AH188" i="3"/>
  <c r="AE188" i="3"/>
  <c r="AF188" i="3"/>
  <c r="AD188" i="3"/>
  <c r="AC188" i="3"/>
  <c r="AL188" i="3"/>
  <c r="AL187" i="3"/>
  <c r="AL186" i="3"/>
  <c r="AG188" i="3"/>
  <c r="AG187" i="3"/>
  <c r="AG186" i="3"/>
  <c r="AB188" i="3"/>
  <c r="AB187" i="3"/>
  <c r="AB186" i="3"/>
  <c r="W188" i="3"/>
  <c r="W187" i="3"/>
  <c r="W186" i="3"/>
  <c r="R188" i="3"/>
  <c r="R187" i="3"/>
  <c r="R186" i="3"/>
  <c r="M188" i="3"/>
  <c r="M187" i="3"/>
  <c r="M186" i="3"/>
  <c r="X188" i="3"/>
  <c r="Y188" i="3"/>
  <c r="Z188" i="3"/>
  <c r="AA188" i="3"/>
  <c r="V188" i="3"/>
  <c r="U188" i="3"/>
  <c r="T188" i="3"/>
  <c r="S188" i="3"/>
  <c r="Q188" i="3"/>
  <c r="N188" i="3"/>
  <c r="O188" i="3"/>
  <c r="P188" i="3"/>
  <c r="L188" i="3"/>
  <c r="AK226" i="3"/>
  <c r="AJ226" i="3"/>
  <c r="AI226" i="3"/>
  <c r="AH226" i="3"/>
  <c r="AF226" i="3"/>
  <c r="AE226" i="3"/>
  <c r="AD226" i="3"/>
  <c r="AC226" i="3"/>
  <c r="AA226" i="3"/>
  <c r="Z226" i="3"/>
  <c r="Y226" i="3"/>
  <c r="X226" i="3"/>
  <c r="V226" i="3"/>
  <c r="U226" i="3"/>
  <c r="T226" i="3"/>
  <c r="S226" i="3"/>
  <c r="Q226" i="3"/>
  <c r="P226" i="3"/>
  <c r="O226" i="3"/>
  <c r="N226" i="3"/>
  <c r="L226" i="3"/>
  <c r="AL36" i="3"/>
  <c r="AG36" i="3"/>
  <c r="AB36" i="3"/>
  <c r="W36" i="3"/>
  <c r="R36" i="3"/>
  <c r="AL30" i="3"/>
  <c r="AG30" i="3"/>
  <c r="AB30" i="3"/>
  <c r="W30" i="3"/>
  <c r="R30" i="3"/>
  <c r="L20" i="3"/>
  <c r="M20" i="3"/>
  <c r="M30" i="3"/>
  <c r="M29" i="3"/>
  <c r="M36" i="3"/>
  <c r="L36" i="3"/>
  <c r="AH43" i="3"/>
  <c r="AI43" i="3"/>
  <c r="AJ43" i="3"/>
  <c r="AK43" i="3"/>
  <c r="AL43" i="3"/>
  <c r="AH34" i="3"/>
  <c r="AI34" i="3"/>
  <c r="AJ34" i="3"/>
  <c r="AK34" i="3"/>
  <c r="AL34" i="3"/>
  <c r="AH39" i="3"/>
  <c r="AI39" i="3"/>
  <c r="AJ39" i="3"/>
  <c r="AK39" i="3"/>
  <c r="AL41" i="3"/>
  <c r="AK41" i="3"/>
  <c r="AJ41" i="3"/>
  <c r="AI41" i="3"/>
  <c r="AH41" i="3"/>
  <c r="AH38" i="3"/>
  <c r="AI38" i="3"/>
  <c r="AJ38" i="3"/>
  <c r="AK38" i="3"/>
  <c r="AL38" i="3"/>
  <c r="AL40" i="3"/>
  <c r="AK40" i="3"/>
  <c r="AJ40" i="3"/>
  <c r="AI40" i="3"/>
  <c r="AH40" i="3"/>
  <c r="AC43" i="3"/>
  <c r="AD43" i="3"/>
  <c r="AE43" i="3"/>
  <c r="AF43" i="3"/>
  <c r="AG43" i="3"/>
  <c r="AC34" i="3"/>
  <c r="AD34" i="3"/>
  <c r="AE34" i="3"/>
  <c r="AF34" i="3"/>
  <c r="AG34" i="3"/>
  <c r="AC39" i="3"/>
  <c r="AD39" i="3"/>
  <c r="AE39" i="3"/>
  <c r="AF39" i="3"/>
  <c r="AG41" i="3"/>
  <c r="AF41" i="3"/>
  <c r="AE41" i="3"/>
  <c r="AD41" i="3"/>
  <c r="AC41" i="3"/>
  <c r="AC38" i="3"/>
  <c r="AD38" i="3"/>
  <c r="AE38" i="3"/>
  <c r="AF38" i="3"/>
  <c r="AG38" i="3"/>
  <c r="AG40" i="3"/>
  <c r="AF40" i="3"/>
  <c r="AE40" i="3"/>
  <c r="AD40" i="3"/>
  <c r="AC40" i="3"/>
  <c r="X43" i="3"/>
  <c r="Y43" i="3"/>
  <c r="Z43" i="3"/>
  <c r="AA43" i="3"/>
  <c r="AB43" i="3"/>
  <c r="X34" i="3"/>
  <c r="Y34" i="3"/>
  <c r="Z34" i="3"/>
  <c r="AA34" i="3"/>
  <c r="AB34" i="3"/>
  <c r="X39" i="3"/>
  <c r="Y39" i="3"/>
  <c r="Z39" i="3"/>
  <c r="AA39" i="3"/>
  <c r="AB41" i="3"/>
  <c r="AA41" i="3"/>
  <c r="Z41" i="3"/>
  <c r="Y41" i="3"/>
  <c r="X41" i="3"/>
  <c r="X38" i="3"/>
  <c r="Y38" i="3"/>
  <c r="Z38" i="3"/>
  <c r="AA38" i="3"/>
  <c r="AB38" i="3"/>
  <c r="AB40" i="3"/>
  <c r="AA40" i="3"/>
  <c r="Z40" i="3"/>
  <c r="Y40" i="3"/>
  <c r="X40" i="3"/>
  <c r="S43" i="3"/>
  <c r="T43" i="3"/>
  <c r="U43" i="3"/>
  <c r="V43" i="3"/>
  <c r="W43" i="3"/>
  <c r="S34" i="3"/>
  <c r="T34" i="3"/>
  <c r="U34" i="3"/>
  <c r="V34" i="3"/>
  <c r="W34" i="3"/>
  <c r="S39" i="3"/>
  <c r="T39" i="3"/>
  <c r="U39" i="3"/>
  <c r="V39" i="3"/>
  <c r="W41" i="3"/>
  <c r="V41" i="3"/>
  <c r="U41" i="3"/>
  <c r="T41" i="3"/>
  <c r="S41" i="3"/>
  <c r="S38" i="3"/>
  <c r="T38" i="3"/>
  <c r="U38" i="3"/>
  <c r="V38" i="3"/>
  <c r="W38" i="3"/>
  <c r="W40" i="3"/>
  <c r="V40" i="3"/>
  <c r="U40" i="3"/>
  <c r="T40" i="3"/>
  <c r="S40" i="3"/>
  <c r="R43" i="3"/>
  <c r="M43" i="3"/>
  <c r="Q43" i="3"/>
  <c r="P43" i="3"/>
  <c r="O43" i="3"/>
  <c r="N43" i="3"/>
  <c r="L43" i="3"/>
  <c r="L40" i="3"/>
  <c r="M38" i="3"/>
  <c r="M40" i="3"/>
  <c r="N40" i="3"/>
  <c r="O40" i="3"/>
  <c r="P40" i="3"/>
  <c r="Q40" i="3"/>
  <c r="R38" i="3"/>
  <c r="R40" i="3"/>
  <c r="L41" i="3"/>
  <c r="M41" i="3"/>
  <c r="N41" i="3"/>
  <c r="O41" i="3"/>
  <c r="P41" i="3"/>
  <c r="Q41" i="3"/>
  <c r="R41" i="3"/>
  <c r="AK161" i="3"/>
  <c r="AJ161" i="3"/>
  <c r="AI161" i="3"/>
  <c r="AH161" i="3"/>
  <c r="AH158" i="3"/>
  <c r="AI158" i="3"/>
  <c r="AJ158" i="3"/>
  <c r="AK158" i="3"/>
  <c r="AH157" i="3"/>
  <c r="AI157" i="3"/>
  <c r="AJ157" i="3"/>
  <c r="AK157" i="3"/>
  <c r="AF161" i="3"/>
  <c r="AE161" i="3"/>
  <c r="AD161" i="3"/>
  <c r="AC161" i="3"/>
  <c r="AC158" i="3"/>
  <c r="AD158" i="3"/>
  <c r="AE158" i="3"/>
  <c r="AF158" i="3"/>
  <c r="AC157" i="3"/>
  <c r="AD157" i="3"/>
  <c r="AE157" i="3"/>
  <c r="AF157" i="3"/>
  <c r="AA161" i="3"/>
  <c r="Z161" i="3"/>
  <c r="Y161" i="3"/>
  <c r="X161" i="3"/>
  <c r="X158" i="3"/>
  <c r="Y158" i="3"/>
  <c r="Z158" i="3"/>
  <c r="AA158" i="3"/>
  <c r="X157" i="3"/>
  <c r="Y157" i="3"/>
  <c r="Z157" i="3"/>
  <c r="AA157" i="3"/>
  <c r="V161" i="3"/>
  <c r="U161" i="3"/>
  <c r="T161" i="3"/>
  <c r="S161" i="3"/>
  <c r="S158" i="3"/>
  <c r="T158" i="3"/>
  <c r="U158" i="3"/>
  <c r="V158" i="3"/>
  <c r="S157" i="3"/>
  <c r="T157" i="3"/>
  <c r="U157" i="3"/>
  <c r="V157" i="3"/>
  <c r="N39" i="3"/>
  <c r="N38" i="3"/>
  <c r="O39" i="3"/>
  <c r="P39" i="3"/>
  <c r="O38" i="3"/>
  <c r="P38" i="3"/>
  <c r="I161" i="3"/>
  <c r="I158" i="3"/>
  <c r="J161" i="3"/>
  <c r="J158" i="3"/>
  <c r="K161" i="3"/>
  <c r="K158" i="3"/>
  <c r="G161" i="3"/>
  <c r="G158" i="3"/>
  <c r="L158" i="3"/>
  <c r="N158" i="3"/>
  <c r="O158" i="3"/>
  <c r="P158" i="3"/>
  <c r="Q158" i="3"/>
  <c r="Q161" i="3"/>
  <c r="Q39" i="3"/>
  <c r="N50" i="3"/>
  <c r="I51" i="3"/>
  <c r="N51" i="3"/>
  <c r="G55" i="3"/>
  <c r="L55" i="3"/>
  <c r="N55" i="3"/>
  <c r="N56" i="3"/>
  <c r="N83" i="3"/>
  <c r="I84" i="3"/>
  <c r="N84" i="3"/>
  <c r="N88" i="3"/>
  <c r="N89" i="3"/>
  <c r="N13" i="3"/>
  <c r="L59" i="3"/>
  <c r="I60" i="3"/>
  <c r="J60" i="3"/>
  <c r="K60" i="3"/>
  <c r="N60" i="3"/>
  <c r="N59" i="3"/>
  <c r="N61" i="3"/>
  <c r="N63" i="3"/>
  <c r="N64" i="3"/>
  <c r="N97" i="3"/>
  <c r="N115" i="3"/>
  <c r="N68" i="3"/>
  <c r="L64" i="3"/>
  <c r="L61" i="3"/>
  <c r="L63" i="3"/>
  <c r="L50" i="3"/>
  <c r="L51" i="3"/>
  <c r="L56" i="3"/>
  <c r="L68" i="3"/>
  <c r="K75" i="3"/>
  <c r="K78" i="3"/>
  <c r="L69" i="3"/>
  <c r="L70" i="3"/>
  <c r="L71" i="3"/>
  <c r="L73" i="3"/>
  <c r="L97" i="3"/>
  <c r="L83" i="3"/>
  <c r="G84" i="3"/>
  <c r="L84" i="3"/>
  <c r="L89" i="3"/>
  <c r="K108" i="3"/>
  <c r="K112" i="3"/>
  <c r="L115" i="3"/>
  <c r="K122" i="3"/>
  <c r="K126" i="3"/>
  <c r="L117" i="3"/>
  <c r="L118" i="3"/>
  <c r="L120" i="3"/>
  <c r="L121" i="3"/>
  <c r="L131" i="3"/>
  <c r="N131" i="3"/>
  <c r="G132" i="3"/>
  <c r="L132" i="3"/>
  <c r="N132" i="3"/>
  <c r="L134" i="3"/>
  <c r="N134" i="3"/>
  <c r="L135" i="3"/>
  <c r="N135" i="3"/>
  <c r="L109" i="3"/>
  <c r="N109" i="3"/>
  <c r="L123" i="3"/>
  <c r="N123" i="3"/>
  <c r="N24" i="3"/>
  <c r="G34" i="3"/>
  <c r="L34" i="3"/>
  <c r="N34" i="3"/>
  <c r="O50" i="3"/>
  <c r="J51" i="3"/>
  <c r="O55" i="3"/>
  <c r="O83" i="3"/>
  <c r="J84" i="3"/>
  <c r="O84" i="3"/>
  <c r="O88" i="3"/>
  <c r="O89" i="3"/>
  <c r="P50" i="3"/>
  <c r="K51" i="3"/>
  <c r="P51" i="3"/>
  <c r="P55" i="3"/>
  <c r="P56" i="3"/>
  <c r="P83" i="3"/>
  <c r="K84" i="3"/>
  <c r="P84" i="3"/>
  <c r="P88" i="3"/>
  <c r="P89" i="3"/>
  <c r="P13" i="3"/>
  <c r="L48" i="3"/>
  <c r="Q50" i="3"/>
  <c r="Q51" i="3"/>
  <c r="Q55" i="3"/>
  <c r="Q56" i="3"/>
  <c r="L81" i="3"/>
  <c r="Q83" i="3"/>
  <c r="Q84" i="3"/>
  <c r="Q88" i="3"/>
  <c r="Q89" i="3"/>
  <c r="Q13" i="3"/>
  <c r="O60" i="3"/>
  <c r="O59" i="3"/>
  <c r="O61" i="3"/>
  <c r="O63" i="3"/>
  <c r="P60" i="3"/>
  <c r="P59" i="3"/>
  <c r="P61" i="3"/>
  <c r="P63" i="3"/>
  <c r="Q60" i="3"/>
  <c r="Q59" i="3"/>
  <c r="Q61" i="3"/>
  <c r="Q63" i="3"/>
  <c r="O64" i="3"/>
  <c r="O97" i="3"/>
  <c r="O115" i="3"/>
  <c r="P64" i="3"/>
  <c r="P97" i="3"/>
  <c r="P129" i="3"/>
  <c r="Q64" i="3"/>
  <c r="Q97" i="3"/>
  <c r="L129" i="3"/>
  <c r="Q129" i="3"/>
  <c r="O131" i="3"/>
  <c r="P68" i="3"/>
  <c r="P131" i="3"/>
  <c r="Q68" i="3"/>
  <c r="Q131" i="3"/>
  <c r="O132" i="3"/>
  <c r="P132" i="3"/>
  <c r="Q132" i="3"/>
  <c r="O134" i="3"/>
  <c r="P134" i="3"/>
  <c r="Q134" i="3"/>
  <c r="O135" i="3"/>
  <c r="P135" i="3"/>
  <c r="Q135" i="3"/>
  <c r="O109" i="3"/>
  <c r="O123" i="3"/>
  <c r="O24" i="3"/>
  <c r="P109" i="3"/>
  <c r="P123" i="3"/>
  <c r="P24" i="3"/>
  <c r="Q109" i="3"/>
  <c r="Q123" i="3"/>
  <c r="Q24" i="3"/>
  <c r="R24" i="3"/>
  <c r="O34" i="3"/>
  <c r="P34" i="3"/>
  <c r="Q34" i="3"/>
  <c r="R34" i="3"/>
  <c r="I157" i="3"/>
  <c r="J157" i="3"/>
  <c r="K157" i="3"/>
  <c r="G157" i="3"/>
  <c r="L157" i="3"/>
  <c r="N157" i="3"/>
  <c r="O157" i="3"/>
  <c r="P157" i="3"/>
  <c r="Q157" i="3"/>
  <c r="Q38" i="3"/>
  <c r="I16" i="3"/>
  <c r="I23" i="3"/>
  <c r="I25" i="3"/>
  <c r="I31" i="3"/>
  <c r="I33" i="3"/>
  <c r="I35" i="3"/>
  <c r="L13" i="3"/>
  <c r="M13" i="3"/>
  <c r="L15" i="3"/>
  <c r="M15" i="3"/>
  <c r="L24" i="3"/>
  <c r="M24" i="3"/>
  <c r="M34" i="3"/>
  <c r="J16" i="3"/>
  <c r="J23" i="3"/>
  <c r="J25" i="3"/>
  <c r="J31" i="3"/>
  <c r="J33" i="3"/>
  <c r="J35" i="3"/>
  <c r="K16" i="3"/>
  <c r="K23" i="3"/>
  <c r="K25" i="3"/>
  <c r="K31" i="3"/>
  <c r="K33" i="3"/>
  <c r="K35" i="3"/>
  <c r="L161" i="3"/>
  <c r="L39" i="3"/>
  <c r="L38" i="3"/>
  <c r="P161" i="3"/>
  <c r="O161" i="3"/>
  <c r="N161" i="3"/>
  <c r="S109" i="3"/>
  <c r="T109" i="3"/>
  <c r="U109" i="3"/>
  <c r="V109" i="3"/>
  <c r="X109" i="3"/>
  <c r="Y109" i="3"/>
  <c r="Z109" i="3"/>
  <c r="AA109" i="3"/>
  <c r="AC109" i="3"/>
  <c r="AD109" i="3"/>
  <c r="AE109" i="3"/>
  <c r="AF109" i="3"/>
  <c r="AH109" i="3"/>
  <c r="S123" i="3"/>
  <c r="T123" i="3"/>
  <c r="U123" i="3"/>
  <c r="V123" i="3"/>
  <c r="X123" i="3"/>
  <c r="Y123" i="3"/>
  <c r="Z123" i="3"/>
  <c r="AA123" i="3"/>
  <c r="AC123" i="3"/>
  <c r="AD123" i="3"/>
  <c r="AE123" i="3"/>
  <c r="AF123" i="3"/>
  <c r="AH123" i="3"/>
  <c r="AH24" i="3"/>
  <c r="AI109" i="3"/>
  <c r="AI123" i="3"/>
  <c r="AI24" i="3"/>
  <c r="AJ109" i="3"/>
  <c r="AJ123" i="3"/>
  <c r="AJ24" i="3"/>
  <c r="AK109" i="3"/>
  <c r="AK123" i="3"/>
  <c r="AK24" i="3"/>
  <c r="AL24" i="3"/>
  <c r="I49" i="3"/>
  <c r="J49" i="3"/>
  <c r="K49" i="3"/>
  <c r="N49" i="3"/>
  <c r="N48" i="3"/>
  <c r="O49" i="3"/>
  <c r="O48" i="3"/>
  <c r="P49" i="3"/>
  <c r="P48" i="3"/>
  <c r="Q49" i="3"/>
  <c r="Q48" i="3"/>
  <c r="S49" i="3"/>
  <c r="S48" i="3"/>
  <c r="T49" i="3"/>
  <c r="T48" i="3"/>
  <c r="U49" i="3"/>
  <c r="U48" i="3"/>
  <c r="V49" i="3"/>
  <c r="V48" i="3"/>
  <c r="X49" i="3"/>
  <c r="X48" i="3"/>
  <c r="Y49" i="3"/>
  <c r="Y48" i="3"/>
  <c r="Z49" i="3"/>
  <c r="Z48" i="3"/>
  <c r="AA49" i="3"/>
  <c r="AA48" i="3"/>
  <c r="AC49" i="3"/>
  <c r="AC48" i="3"/>
  <c r="AH50" i="3"/>
  <c r="S51" i="3"/>
  <c r="X51" i="3"/>
  <c r="AC51" i="3"/>
  <c r="S55" i="3"/>
  <c r="T55" i="3"/>
  <c r="U55" i="3"/>
  <c r="V55" i="3"/>
  <c r="X55" i="3"/>
  <c r="Y55" i="3"/>
  <c r="Z55" i="3"/>
  <c r="AA55" i="3"/>
  <c r="AC55" i="3"/>
  <c r="AD55" i="3"/>
  <c r="AE55" i="3"/>
  <c r="AF55" i="3"/>
  <c r="AH55" i="3"/>
  <c r="N81" i="3"/>
  <c r="O81" i="3"/>
  <c r="P81" i="3"/>
  <c r="Q81" i="3"/>
  <c r="S82" i="3"/>
  <c r="S81" i="3"/>
  <c r="T82" i="3"/>
  <c r="T81" i="3"/>
  <c r="U82" i="3"/>
  <c r="U81" i="3"/>
  <c r="V82" i="3"/>
  <c r="V81" i="3"/>
  <c r="X82" i="3"/>
  <c r="X81" i="3"/>
  <c r="Y82" i="3"/>
  <c r="Y81" i="3"/>
  <c r="Z82" i="3"/>
  <c r="Z81" i="3"/>
  <c r="AA82" i="3"/>
  <c r="AA81" i="3"/>
  <c r="AC82" i="3"/>
  <c r="AC81" i="3"/>
  <c r="AH83" i="3"/>
  <c r="S84" i="3"/>
  <c r="X84" i="3"/>
  <c r="AC84" i="3"/>
  <c r="AH84" i="3"/>
  <c r="S88" i="3"/>
  <c r="T88" i="3"/>
  <c r="U88" i="3"/>
  <c r="V88" i="3"/>
  <c r="X88" i="3"/>
  <c r="Y88" i="3"/>
  <c r="Z88" i="3"/>
  <c r="AA88" i="3"/>
  <c r="AC88" i="3"/>
  <c r="AD88" i="3"/>
  <c r="AE88" i="3"/>
  <c r="AF88" i="3"/>
  <c r="AH88" i="3"/>
  <c r="AH89" i="3"/>
  <c r="AD49" i="3"/>
  <c r="AD48" i="3"/>
  <c r="AI50" i="3"/>
  <c r="AI55" i="3"/>
  <c r="AD82" i="3"/>
  <c r="AD81" i="3"/>
  <c r="AI83" i="3"/>
  <c r="T84" i="3"/>
  <c r="Y84" i="3"/>
  <c r="AD84" i="3"/>
  <c r="AI84" i="3"/>
  <c r="AI88" i="3"/>
  <c r="AI89" i="3"/>
  <c r="AE49" i="3"/>
  <c r="AE48" i="3"/>
  <c r="AJ50" i="3"/>
  <c r="U51" i="3"/>
  <c r="Z51" i="3"/>
  <c r="AE51" i="3"/>
  <c r="AJ55" i="3"/>
  <c r="AE82" i="3"/>
  <c r="AE81" i="3"/>
  <c r="AJ83" i="3"/>
  <c r="U84" i="3"/>
  <c r="Z84" i="3"/>
  <c r="AE84" i="3"/>
  <c r="AJ84" i="3"/>
  <c r="AJ88" i="3"/>
  <c r="AJ89" i="3"/>
  <c r="AF49" i="3"/>
  <c r="AF48" i="3"/>
  <c r="AK50" i="3"/>
  <c r="V51" i="3"/>
  <c r="AA51" i="3"/>
  <c r="AF51" i="3"/>
  <c r="AK55" i="3"/>
  <c r="AF82" i="3"/>
  <c r="AF81" i="3"/>
  <c r="AK83" i="3"/>
  <c r="V84" i="3"/>
  <c r="AA84" i="3"/>
  <c r="AF84" i="3"/>
  <c r="AK84" i="3"/>
  <c r="AK88" i="3"/>
  <c r="AK89" i="3"/>
  <c r="S62" i="3"/>
  <c r="X62" i="3"/>
  <c r="AC62" i="3"/>
  <c r="AH62" i="3"/>
  <c r="S95" i="3"/>
  <c r="X95" i="3"/>
  <c r="AC95" i="3"/>
  <c r="AH95" i="3"/>
  <c r="T62" i="3"/>
  <c r="Y62" i="3"/>
  <c r="AD62" i="3"/>
  <c r="AI62" i="3"/>
  <c r="T95" i="3"/>
  <c r="Y95" i="3"/>
  <c r="AD95" i="3"/>
  <c r="AI95" i="3"/>
  <c r="U62" i="3"/>
  <c r="Z62" i="3"/>
  <c r="AE62" i="3"/>
  <c r="AJ62" i="3"/>
  <c r="U95" i="3"/>
  <c r="Z95" i="3"/>
  <c r="AE95" i="3"/>
  <c r="AJ95" i="3"/>
  <c r="V62" i="3"/>
  <c r="AA62" i="3"/>
  <c r="AF62" i="3"/>
  <c r="AK62" i="3"/>
  <c r="V95" i="3"/>
  <c r="AA95" i="3"/>
  <c r="AF95" i="3"/>
  <c r="AK95" i="3"/>
  <c r="S64" i="3"/>
  <c r="X64" i="3"/>
  <c r="AC64" i="3"/>
  <c r="AH64" i="3"/>
  <c r="S97" i="3"/>
  <c r="X97" i="3"/>
  <c r="AC97" i="3"/>
  <c r="AH97" i="3"/>
  <c r="T64" i="3"/>
  <c r="Y64" i="3"/>
  <c r="AD64" i="3"/>
  <c r="AI64" i="3"/>
  <c r="T97" i="3"/>
  <c r="Y97" i="3"/>
  <c r="AD97" i="3"/>
  <c r="AI97" i="3"/>
  <c r="U64" i="3"/>
  <c r="Z64" i="3"/>
  <c r="AE64" i="3"/>
  <c r="AJ64" i="3"/>
  <c r="U97" i="3"/>
  <c r="Z97" i="3"/>
  <c r="AE97" i="3"/>
  <c r="AJ97" i="3"/>
  <c r="V64" i="3"/>
  <c r="AA64" i="3"/>
  <c r="AF64" i="3"/>
  <c r="AK64" i="3"/>
  <c r="V97" i="3"/>
  <c r="AA97" i="3"/>
  <c r="AF97" i="3"/>
  <c r="AK97" i="3"/>
  <c r="AF50" i="3"/>
  <c r="AF56" i="3"/>
  <c r="AE50" i="3"/>
  <c r="AE56" i="3"/>
  <c r="AD50" i="3"/>
  <c r="AC50" i="3"/>
  <c r="AC56" i="3"/>
  <c r="AA50" i="3"/>
  <c r="AA56" i="3"/>
  <c r="Z50" i="3"/>
  <c r="Z56" i="3"/>
  <c r="Y50" i="3"/>
  <c r="X50" i="3"/>
  <c r="X56" i="3"/>
  <c r="V50" i="3"/>
  <c r="V56" i="3"/>
  <c r="U50" i="3"/>
  <c r="U56" i="3"/>
  <c r="T50" i="3"/>
  <c r="S50" i="3"/>
  <c r="S56" i="3"/>
  <c r="AF83" i="3"/>
  <c r="AF89" i="3"/>
  <c r="AE83" i="3"/>
  <c r="AE89" i="3"/>
  <c r="AD83" i="3"/>
  <c r="AD89" i="3"/>
  <c r="AC83" i="3"/>
  <c r="AC89" i="3"/>
  <c r="AA83" i="3"/>
  <c r="AA89" i="3"/>
  <c r="Z83" i="3"/>
  <c r="Z89" i="3"/>
  <c r="Y83" i="3"/>
  <c r="Y89" i="3"/>
  <c r="X83" i="3"/>
  <c r="X89" i="3"/>
  <c r="V83" i="3"/>
  <c r="V89" i="3"/>
  <c r="U83" i="3"/>
  <c r="U89" i="3"/>
  <c r="T83" i="3"/>
  <c r="T89" i="3"/>
  <c r="S83" i="3"/>
  <c r="S89" i="3"/>
  <c r="S131" i="3"/>
  <c r="T131" i="3"/>
  <c r="U131" i="3"/>
  <c r="V131" i="3"/>
  <c r="X131" i="3"/>
  <c r="Y131" i="3"/>
  <c r="Z131" i="3"/>
  <c r="AA131" i="3"/>
  <c r="AC131" i="3"/>
  <c r="AD131" i="3"/>
  <c r="AE131" i="3"/>
  <c r="AF131" i="3"/>
  <c r="AH131" i="3"/>
  <c r="AI131" i="3"/>
  <c r="AJ131" i="3"/>
  <c r="AK131" i="3"/>
  <c r="S132" i="3"/>
  <c r="T132" i="3"/>
  <c r="U132" i="3"/>
  <c r="V132" i="3"/>
  <c r="X132" i="3"/>
  <c r="Y132" i="3"/>
  <c r="Z132" i="3"/>
  <c r="AA132" i="3"/>
  <c r="AC132" i="3"/>
  <c r="AD132" i="3"/>
  <c r="AE132" i="3"/>
  <c r="AF132" i="3"/>
  <c r="AH132" i="3"/>
  <c r="AI132" i="3"/>
  <c r="AJ132" i="3"/>
  <c r="AK132" i="3"/>
  <c r="S134" i="3"/>
  <c r="T134" i="3"/>
  <c r="U134" i="3"/>
  <c r="V134" i="3"/>
  <c r="X134" i="3"/>
  <c r="Y134" i="3"/>
  <c r="Z134" i="3"/>
  <c r="AA134" i="3"/>
  <c r="AC134" i="3"/>
  <c r="AD134" i="3"/>
  <c r="AE134" i="3"/>
  <c r="AF134" i="3"/>
  <c r="AH134" i="3"/>
  <c r="AI134" i="3"/>
  <c r="AJ134" i="3"/>
  <c r="AK134" i="3"/>
  <c r="S135" i="3"/>
  <c r="T135" i="3"/>
  <c r="U135" i="3"/>
  <c r="V135" i="3"/>
  <c r="X135" i="3"/>
  <c r="Y135" i="3"/>
  <c r="Z135" i="3"/>
  <c r="AA135" i="3"/>
  <c r="AC135" i="3"/>
  <c r="AD135" i="3"/>
  <c r="AE135" i="3"/>
  <c r="AF135" i="3"/>
  <c r="AH135" i="3"/>
  <c r="AI135" i="3"/>
  <c r="AJ135" i="3"/>
  <c r="AK135" i="3"/>
  <c r="AC24" i="3"/>
  <c r="AD24" i="3"/>
  <c r="AE24" i="3"/>
  <c r="AF24" i="3"/>
  <c r="AG24" i="3"/>
  <c r="AC13" i="3"/>
  <c r="AE13" i="3"/>
  <c r="AF13" i="3"/>
  <c r="X24" i="3"/>
  <c r="Y24" i="3"/>
  <c r="Z24" i="3"/>
  <c r="AA24" i="3"/>
  <c r="AB24" i="3"/>
  <c r="X13" i="3"/>
  <c r="AA13" i="3"/>
  <c r="S24" i="3"/>
  <c r="T24" i="3"/>
  <c r="U24" i="3"/>
  <c r="V24" i="3"/>
  <c r="W24" i="3"/>
  <c r="S13" i="3"/>
  <c r="U13" i="3"/>
  <c r="V13" i="3"/>
  <c r="AK136" i="3"/>
  <c r="AK138" i="3"/>
  <c r="AK139" i="3"/>
  <c r="AJ136" i="3"/>
  <c r="AJ138" i="3"/>
  <c r="AJ139" i="3"/>
  <c r="AI136" i="3"/>
  <c r="AI138" i="3"/>
  <c r="AI139" i="3"/>
  <c r="AH136" i="3"/>
  <c r="AH138" i="3"/>
  <c r="AH139" i="3"/>
  <c r="AK137" i="3"/>
  <c r="AJ137" i="3"/>
  <c r="AI137" i="3"/>
  <c r="AH137" i="3"/>
  <c r="AF136" i="3"/>
  <c r="AF138" i="3"/>
  <c r="AF139" i="3"/>
  <c r="AE136" i="3"/>
  <c r="AE138" i="3"/>
  <c r="AE139" i="3"/>
  <c r="AD136" i="3"/>
  <c r="AD138" i="3"/>
  <c r="AD139" i="3"/>
  <c r="AC136" i="3"/>
  <c r="AC138" i="3"/>
  <c r="AC139" i="3"/>
  <c r="AF137" i="3"/>
  <c r="AE137" i="3"/>
  <c r="AD137" i="3"/>
  <c r="AC137" i="3"/>
  <c r="AA136" i="3"/>
  <c r="AA138" i="3"/>
  <c r="AA139" i="3"/>
  <c r="Z136" i="3"/>
  <c r="Z138" i="3"/>
  <c r="Z139" i="3"/>
  <c r="Y136" i="3"/>
  <c r="Y138" i="3"/>
  <c r="Y139" i="3"/>
  <c r="X136" i="3"/>
  <c r="X138" i="3"/>
  <c r="X139" i="3"/>
  <c r="AA137" i="3"/>
  <c r="Z137" i="3"/>
  <c r="Y137" i="3"/>
  <c r="X137" i="3"/>
  <c r="V136" i="3"/>
  <c r="V138" i="3"/>
  <c r="V139" i="3"/>
  <c r="U136" i="3"/>
  <c r="U138" i="3"/>
  <c r="U139" i="3"/>
  <c r="T136" i="3"/>
  <c r="T138" i="3"/>
  <c r="T139" i="3"/>
  <c r="S136" i="3"/>
  <c r="S138" i="3"/>
  <c r="S139" i="3"/>
  <c r="V137" i="3"/>
  <c r="U137" i="3"/>
  <c r="T137" i="3"/>
  <c r="S137" i="3"/>
  <c r="L136" i="3"/>
  <c r="N136" i="3"/>
  <c r="O136" i="3"/>
  <c r="P136" i="3"/>
  <c r="Q136" i="3"/>
  <c r="L137" i="3"/>
  <c r="N137" i="3"/>
  <c r="O137" i="3"/>
  <c r="P137" i="3"/>
  <c r="Q137" i="3"/>
  <c r="L138" i="3"/>
  <c r="N138" i="3"/>
  <c r="O138" i="3"/>
  <c r="P138" i="3"/>
  <c r="Q138" i="3"/>
  <c r="L139" i="3"/>
  <c r="N139" i="3"/>
  <c r="O139" i="3"/>
  <c r="P139" i="3"/>
  <c r="Q139" i="3"/>
  <c r="AK122" i="3"/>
  <c r="AK126" i="3"/>
  <c r="AK124" i="3"/>
  <c r="AK125" i="3"/>
  <c r="AJ124" i="3"/>
  <c r="AJ125" i="3"/>
  <c r="AI124" i="3"/>
  <c r="AI125" i="3"/>
  <c r="AH124" i="3"/>
  <c r="AH125" i="3"/>
  <c r="AF124" i="3"/>
  <c r="AF125" i="3"/>
  <c r="AE124" i="3"/>
  <c r="AE125" i="3"/>
  <c r="AD124" i="3"/>
  <c r="AD125" i="3"/>
  <c r="AC124" i="3"/>
  <c r="AC125" i="3"/>
  <c r="AA124" i="3"/>
  <c r="AA125" i="3"/>
  <c r="Z124" i="3"/>
  <c r="Z125" i="3"/>
  <c r="Y124" i="3"/>
  <c r="Y125" i="3"/>
  <c r="X124" i="3"/>
  <c r="X125" i="3"/>
  <c r="V124" i="3"/>
  <c r="V125" i="3"/>
  <c r="U124" i="3"/>
  <c r="U125" i="3"/>
  <c r="T124" i="3"/>
  <c r="T125" i="3"/>
  <c r="S124" i="3"/>
  <c r="S125" i="3"/>
  <c r="L124" i="3"/>
  <c r="N124" i="3"/>
  <c r="O124" i="3"/>
  <c r="P124" i="3"/>
  <c r="Q124" i="3"/>
  <c r="L125" i="3"/>
  <c r="N125" i="3"/>
  <c r="O125" i="3"/>
  <c r="P125" i="3"/>
  <c r="Q125" i="3"/>
  <c r="K124" i="3"/>
  <c r="K125" i="3"/>
  <c r="K127" i="3"/>
  <c r="K130" i="3"/>
  <c r="K136" i="3"/>
  <c r="K137" i="3"/>
  <c r="K138" i="3"/>
  <c r="K139" i="3"/>
  <c r="K141" i="3"/>
  <c r="K142" i="3"/>
  <c r="K143" i="3"/>
  <c r="K144" i="3"/>
  <c r="K68" i="3"/>
  <c r="K76" i="3"/>
  <c r="K101" i="3"/>
  <c r="K110" i="3"/>
  <c r="K145" i="3"/>
  <c r="F16" i="3"/>
  <c r="K147" i="3"/>
  <c r="K148" i="3"/>
  <c r="K169" i="3"/>
  <c r="K174" i="3"/>
  <c r="K176" i="3"/>
  <c r="K26" i="3"/>
  <c r="K27" i="3"/>
  <c r="K149" i="3"/>
  <c r="K150" i="3"/>
  <c r="E264" i="3"/>
  <c r="F264" i="3"/>
  <c r="G264" i="3"/>
  <c r="H264" i="3"/>
  <c r="F265" i="3"/>
  <c r="G265" i="3"/>
  <c r="H265" i="3"/>
  <c r="G266" i="3"/>
  <c r="H266" i="3"/>
  <c r="E267" i="3"/>
  <c r="F267" i="3"/>
  <c r="G267" i="3"/>
  <c r="H267" i="3"/>
  <c r="E268" i="3"/>
  <c r="F268" i="3"/>
  <c r="G268" i="3"/>
  <c r="H268" i="3"/>
  <c r="E269" i="3"/>
  <c r="F269" i="3"/>
  <c r="G269" i="3"/>
  <c r="H269" i="3"/>
  <c r="E270" i="3"/>
  <c r="F270" i="3"/>
  <c r="G270" i="3"/>
  <c r="H270" i="3"/>
  <c r="E271" i="3"/>
  <c r="F271" i="3"/>
  <c r="G271" i="3"/>
  <c r="H271" i="3"/>
  <c r="H272" i="3"/>
  <c r="D259" i="3"/>
  <c r="E259" i="3"/>
  <c r="F259" i="3"/>
  <c r="G259" i="3"/>
  <c r="H259" i="3"/>
  <c r="E260" i="3"/>
  <c r="F260" i="3"/>
  <c r="G260" i="3"/>
  <c r="H260" i="3"/>
  <c r="E261" i="3"/>
  <c r="F261" i="3"/>
  <c r="G261" i="3"/>
  <c r="H261" i="3"/>
  <c r="H262" i="3"/>
  <c r="H16" i="3"/>
  <c r="H23" i="3"/>
  <c r="H25" i="3"/>
  <c r="H31" i="3"/>
  <c r="H33" i="3"/>
  <c r="H241" i="3"/>
  <c r="E242" i="3"/>
  <c r="F242" i="3"/>
  <c r="G242" i="3"/>
  <c r="H242" i="3"/>
  <c r="E243" i="3"/>
  <c r="F243" i="3"/>
  <c r="G243" i="3"/>
  <c r="H243" i="3"/>
  <c r="E244" i="3"/>
  <c r="F244" i="3"/>
  <c r="G244" i="3"/>
  <c r="H244" i="3"/>
  <c r="E245" i="3"/>
  <c r="F245" i="3"/>
  <c r="G245" i="3"/>
  <c r="H245" i="3"/>
  <c r="E246" i="3"/>
  <c r="F246" i="3"/>
  <c r="G246" i="3"/>
  <c r="H246" i="3"/>
  <c r="E247" i="3"/>
  <c r="F247" i="3"/>
  <c r="G247" i="3"/>
  <c r="H247" i="3"/>
  <c r="E248" i="3"/>
  <c r="F248" i="3"/>
  <c r="G248" i="3"/>
  <c r="H248" i="3"/>
  <c r="E250" i="3"/>
  <c r="F250" i="3"/>
  <c r="G250" i="3"/>
  <c r="H250" i="3"/>
  <c r="E251" i="3"/>
  <c r="F251" i="3"/>
  <c r="G251" i="3"/>
  <c r="H251" i="3"/>
  <c r="E252" i="3"/>
  <c r="F252" i="3"/>
  <c r="G252" i="3"/>
  <c r="H252" i="3"/>
  <c r="E253" i="3"/>
  <c r="F253" i="3"/>
  <c r="G253" i="3"/>
  <c r="H253" i="3"/>
  <c r="E254" i="3"/>
  <c r="F254" i="3"/>
  <c r="G254" i="3"/>
  <c r="H254" i="3"/>
  <c r="F255" i="3"/>
  <c r="G255" i="3"/>
  <c r="H255" i="3"/>
  <c r="E256" i="3"/>
  <c r="F256" i="3"/>
  <c r="G256" i="3"/>
  <c r="H256" i="3"/>
  <c r="H257" i="3"/>
  <c r="D273" i="3"/>
  <c r="E273" i="3"/>
  <c r="F273" i="3"/>
  <c r="G273" i="3"/>
  <c r="H273" i="3"/>
  <c r="H274" i="3"/>
  <c r="H276" i="3"/>
  <c r="I275" i="3"/>
  <c r="I266" i="3"/>
  <c r="I272" i="3"/>
  <c r="I259" i="3"/>
  <c r="I262" i="3"/>
  <c r="I241" i="3"/>
  <c r="I248" i="3"/>
  <c r="I256" i="3"/>
  <c r="I257" i="3"/>
  <c r="I274" i="3"/>
  <c r="I276" i="3"/>
  <c r="J275" i="3"/>
  <c r="J264" i="3"/>
  <c r="J265" i="3"/>
  <c r="J266" i="3"/>
  <c r="J267" i="3"/>
  <c r="J268" i="3"/>
  <c r="J269" i="3"/>
  <c r="J270" i="3"/>
  <c r="J271" i="3"/>
  <c r="J272" i="3"/>
  <c r="J259" i="3"/>
  <c r="J260" i="3"/>
  <c r="J261" i="3"/>
  <c r="J262" i="3"/>
  <c r="J241" i="3"/>
  <c r="J242" i="3"/>
  <c r="J243" i="3"/>
  <c r="J244" i="3"/>
  <c r="J245" i="3"/>
  <c r="J246" i="3"/>
  <c r="J247" i="3"/>
  <c r="J248" i="3"/>
  <c r="J250" i="3"/>
  <c r="J251" i="3"/>
  <c r="J252" i="3"/>
  <c r="J253" i="3"/>
  <c r="J254" i="3"/>
  <c r="J255" i="3"/>
  <c r="J256" i="3"/>
  <c r="J257" i="3"/>
  <c r="J273" i="3"/>
  <c r="J274" i="3"/>
  <c r="J276" i="3"/>
  <c r="K275" i="3"/>
  <c r="K264" i="3"/>
  <c r="K266" i="3"/>
  <c r="K267" i="3"/>
  <c r="K268" i="3"/>
  <c r="K269" i="3"/>
  <c r="K270" i="3"/>
  <c r="K271" i="3"/>
  <c r="K272" i="3"/>
  <c r="K259" i="3"/>
  <c r="K260" i="3"/>
  <c r="K261" i="3"/>
  <c r="K262" i="3"/>
  <c r="K241" i="3"/>
  <c r="K242" i="3"/>
  <c r="K243" i="3"/>
  <c r="K244" i="3"/>
  <c r="K245" i="3"/>
  <c r="K246" i="3"/>
  <c r="K247" i="3"/>
  <c r="K248" i="3"/>
  <c r="K250" i="3"/>
  <c r="K251" i="3"/>
  <c r="K252" i="3"/>
  <c r="K253" i="3"/>
  <c r="K254" i="3"/>
  <c r="K255" i="3"/>
  <c r="K256" i="3"/>
  <c r="K257" i="3"/>
  <c r="K273" i="3"/>
  <c r="K274" i="3"/>
  <c r="K276" i="3"/>
  <c r="K184" i="3"/>
  <c r="J184" i="3"/>
  <c r="K151" i="3"/>
  <c r="K206" i="3"/>
  <c r="J206" i="3"/>
  <c r="K152" i="3"/>
  <c r="K178" i="3"/>
  <c r="K36" i="3"/>
  <c r="K37" i="3"/>
  <c r="K42" i="3"/>
  <c r="F23" i="3"/>
  <c r="F25" i="3"/>
  <c r="F174" i="3"/>
  <c r="F176" i="3"/>
  <c r="F26" i="3"/>
  <c r="F27" i="3"/>
  <c r="F177" i="3"/>
  <c r="F36" i="3"/>
  <c r="F37" i="3"/>
  <c r="F42" i="3"/>
  <c r="K153" i="3"/>
  <c r="F31" i="3"/>
  <c r="F33" i="3"/>
  <c r="F241" i="3"/>
  <c r="F257" i="3"/>
  <c r="K154" i="3"/>
  <c r="F277" i="3"/>
  <c r="K155" i="3"/>
  <c r="AK112" i="3"/>
  <c r="AK111" i="3"/>
  <c r="AJ111" i="3"/>
  <c r="AI111" i="3"/>
  <c r="AH111" i="3"/>
  <c r="AF111" i="3"/>
  <c r="AE111" i="3"/>
  <c r="AD111" i="3"/>
  <c r="AC111" i="3"/>
  <c r="AA111" i="3"/>
  <c r="Z111" i="3"/>
  <c r="Y111" i="3"/>
  <c r="X111" i="3"/>
  <c r="V111" i="3"/>
  <c r="U111" i="3"/>
  <c r="T111" i="3"/>
  <c r="S111" i="3"/>
  <c r="Q111" i="3"/>
  <c r="P111" i="3"/>
  <c r="O111" i="3"/>
  <c r="N111" i="3"/>
  <c r="L111" i="3"/>
  <c r="AA77" i="3"/>
  <c r="Z77" i="3"/>
  <c r="Y77" i="3"/>
  <c r="X77" i="3"/>
  <c r="V77" i="3"/>
  <c r="U77" i="3"/>
  <c r="T77" i="3"/>
  <c r="S77" i="3"/>
  <c r="L99" i="3"/>
  <c r="N99" i="3"/>
  <c r="O99" i="3"/>
  <c r="P99" i="3"/>
  <c r="Q99" i="3"/>
  <c r="S99" i="3"/>
  <c r="T99" i="3"/>
  <c r="U99" i="3"/>
  <c r="V99" i="3"/>
  <c r="X99" i="3"/>
  <c r="Y99" i="3"/>
  <c r="Z99" i="3"/>
  <c r="AA99" i="3"/>
  <c r="AC99" i="3"/>
  <c r="AD99" i="3"/>
  <c r="AE99" i="3"/>
  <c r="AF99" i="3"/>
  <c r="AH82" i="3"/>
  <c r="AH81" i="3"/>
  <c r="AH99" i="3"/>
  <c r="AI82" i="3"/>
  <c r="AI81" i="3"/>
  <c r="AI99" i="3"/>
  <c r="AJ82" i="3"/>
  <c r="AJ81" i="3"/>
  <c r="AJ99" i="3"/>
  <c r="AK82" i="3"/>
  <c r="AK81" i="3"/>
  <c r="AK99" i="3"/>
  <c r="L100" i="3"/>
  <c r="N100" i="3"/>
  <c r="O100" i="3"/>
  <c r="P100" i="3"/>
  <c r="Q100" i="3"/>
  <c r="S100" i="3"/>
  <c r="T100" i="3"/>
  <c r="U100" i="3"/>
  <c r="V100" i="3"/>
  <c r="X100" i="3"/>
  <c r="Y100" i="3"/>
  <c r="Z100" i="3"/>
  <c r="AA100" i="3"/>
  <c r="AC100" i="3"/>
  <c r="AD100" i="3"/>
  <c r="AE100" i="3"/>
  <c r="AF100" i="3"/>
  <c r="AH100" i="3"/>
  <c r="AI100" i="3"/>
  <c r="AJ100" i="3"/>
  <c r="AK100" i="3"/>
  <c r="L76" i="3"/>
  <c r="L77" i="3"/>
  <c r="L66" i="3"/>
  <c r="N66" i="3"/>
  <c r="O66" i="3"/>
  <c r="P66" i="3"/>
  <c r="Q66" i="3"/>
  <c r="S66" i="3"/>
  <c r="T66" i="3"/>
  <c r="U66" i="3"/>
  <c r="V66" i="3"/>
  <c r="X66" i="3"/>
  <c r="Y66" i="3"/>
  <c r="Z66" i="3"/>
  <c r="AA66" i="3"/>
  <c r="AC66" i="3"/>
  <c r="AD66" i="3"/>
  <c r="AE66" i="3"/>
  <c r="AF66" i="3"/>
  <c r="AH49" i="3"/>
  <c r="AH48" i="3"/>
  <c r="AH66" i="3"/>
  <c r="AI49" i="3"/>
  <c r="AI48" i="3"/>
  <c r="AI66" i="3"/>
  <c r="AJ49" i="3"/>
  <c r="AJ48" i="3"/>
  <c r="AJ66" i="3"/>
  <c r="AK49" i="3"/>
  <c r="AK48" i="3"/>
  <c r="AK66" i="3"/>
  <c r="L67" i="3"/>
  <c r="N67" i="3"/>
  <c r="O67" i="3"/>
  <c r="P67" i="3"/>
  <c r="Q67" i="3"/>
  <c r="S67" i="3"/>
  <c r="T67" i="3"/>
  <c r="U67" i="3"/>
  <c r="V67" i="3"/>
  <c r="X67" i="3"/>
  <c r="Y67" i="3"/>
  <c r="Z67" i="3"/>
  <c r="AA67" i="3"/>
  <c r="AC67" i="3"/>
  <c r="AD67" i="3"/>
  <c r="AE67" i="3"/>
  <c r="AF67" i="3"/>
  <c r="AH67" i="3"/>
  <c r="AI67" i="3"/>
  <c r="AJ67" i="3"/>
  <c r="AK67" i="3"/>
  <c r="L141" i="3"/>
  <c r="N141" i="3"/>
  <c r="O141" i="3"/>
  <c r="P141" i="3"/>
  <c r="Q141" i="3"/>
  <c r="S141" i="3"/>
  <c r="T141" i="3"/>
  <c r="U141" i="3"/>
  <c r="V141" i="3"/>
  <c r="X141" i="3"/>
  <c r="Y141" i="3"/>
  <c r="Z141" i="3"/>
  <c r="AA141" i="3"/>
  <c r="AC141" i="3"/>
  <c r="AD141" i="3"/>
  <c r="AE141" i="3"/>
  <c r="AF141" i="3"/>
  <c r="AH141" i="3"/>
  <c r="AI141" i="3"/>
  <c r="AJ141" i="3"/>
  <c r="AK141" i="3"/>
  <c r="L142" i="3"/>
  <c r="N142" i="3"/>
  <c r="O142" i="3"/>
  <c r="P142" i="3"/>
  <c r="Q142" i="3"/>
  <c r="S142" i="3"/>
  <c r="T142" i="3"/>
  <c r="U142" i="3"/>
  <c r="V142" i="3"/>
  <c r="X142" i="3"/>
  <c r="Y142" i="3"/>
  <c r="Z142" i="3"/>
  <c r="AA142" i="3"/>
  <c r="AC142" i="3"/>
  <c r="AD142" i="3"/>
  <c r="AE142" i="3"/>
  <c r="AF142" i="3"/>
  <c r="AH142" i="3"/>
  <c r="AI142" i="3"/>
  <c r="AJ142" i="3"/>
  <c r="AK142" i="3"/>
  <c r="L143" i="3"/>
  <c r="N143" i="3"/>
  <c r="O143" i="3"/>
  <c r="P143" i="3"/>
  <c r="Q143" i="3"/>
  <c r="S143" i="3"/>
  <c r="T143" i="3"/>
  <c r="U143" i="3"/>
  <c r="V143" i="3"/>
  <c r="X143" i="3"/>
  <c r="Y143" i="3"/>
  <c r="Z143" i="3"/>
  <c r="AA143" i="3"/>
  <c r="AC143" i="3"/>
  <c r="AD143" i="3"/>
  <c r="AE143" i="3"/>
  <c r="AF143" i="3"/>
  <c r="AH143" i="3"/>
  <c r="AI143" i="3"/>
  <c r="AJ143" i="3"/>
  <c r="AK143" i="3"/>
  <c r="L144" i="3"/>
  <c r="N144" i="3"/>
  <c r="O144" i="3"/>
  <c r="P144" i="3"/>
  <c r="Q144" i="3"/>
  <c r="S144" i="3"/>
  <c r="T144" i="3"/>
  <c r="U144" i="3"/>
  <c r="V144" i="3"/>
  <c r="X144" i="3"/>
  <c r="Y144" i="3"/>
  <c r="Z144" i="3"/>
  <c r="AA144" i="3"/>
  <c r="AC144" i="3"/>
  <c r="AD144" i="3"/>
  <c r="AE144" i="3"/>
  <c r="AF144" i="3"/>
  <c r="AH144" i="3"/>
  <c r="AI144" i="3"/>
  <c r="AJ144" i="3"/>
  <c r="AK144" i="3"/>
  <c r="L145" i="3"/>
  <c r="S145" i="3"/>
  <c r="T145" i="3"/>
  <c r="U145" i="3"/>
  <c r="V145" i="3"/>
  <c r="X145" i="3"/>
  <c r="Y145" i="3"/>
  <c r="Z145" i="3"/>
  <c r="AA145" i="3"/>
  <c r="AK90" i="3"/>
  <c r="AJ90" i="3"/>
  <c r="AI90" i="3"/>
  <c r="AH90" i="3"/>
  <c r="AF90" i="3"/>
  <c r="AE90" i="3"/>
  <c r="AD90" i="3"/>
  <c r="AC90" i="3"/>
  <c r="AA90" i="3"/>
  <c r="Z90" i="3"/>
  <c r="Y90" i="3"/>
  <c r="X90" i="3"/>
  <c r="V90" i="3"/>
  <c r="U90" i="3"/>
  <c r="T90" i="3"/>
  <c r="S90" i="3"/>
  <c r="Q90" i="3"/>
  <c r="P90" i="3"/>
  <c r="O90" i="3"/>
  <c r="N90" i="3"/>
  <c r="L90" i="3"/>
  <c r="AK57" i="3"/>
  <c r="AJ57" i="3"/>
  <c r="AI57" i="3"/>
  <c r="AH57" i="3"/>
  <c r="AF57" i="3"/>
  <c r="AE57" i="3"/>
  <c r="AD57" i="3"/>
  <c r="AC57" i="3"/>
  <c r="AA57" i="3"/>
  <c r="Z57" i="3"/>
  <c r="Y57" i="3"/>
  <c r="X57" i="3"/>
  <c r="V57" i="3"/>
  <c r="U57" i="3"/>
  <c r="T57" i="3"/>
  <c r="S57" i="3"/>
  <c r="Q57" i="3"/>
  <c r="P57" i="3"/>
  <c r="O57" i="3"/>
  <c r="N57" i="3"/>
  <c r="L57" i="3"/>
  <c r="K281" i="3"/>
  <c r="K282" i="3"/>
  <c r="K283" i="3"/>
  <c r="G236" i="3"/>
  <c r="I236" i="3"/>
  <c r="J236" i="3"/>
  <c r="K236" i="3"/>
  <c r="I291" i="3"/>
  <c r="J291" i="3"/>
  <c r="K291" i="3"/>
  <c r="G122" i="3"/>
  <c r="G126" i="3"/>
  <c r="G127" i="3"/>
  <c r="K288" i="3"/>
  <c r="J288" i="3"/>
  <c r="I288" i="3"/>
  <c r="G13" i="3"/>
  <c r="G14" i="3"/>
  <c r="G15" i="3"/>
  <c r="G16" i="3"/>
  <c r="G288" i="3"/>
  <c r="D272" i="3"/>
  <c r="D262" i="3"/>
  <c r="D16" i="3"/>
  <c r="D23" i="3"/>
  <c r="D25" i="3"/>
  <c r="D31" i="3"/>
  <c r="D33" i="3"/>
  <c r="D241" i="3"/>
  <c r="D257" i="3"/>
  <c r="D274" i="3"/>
  <c r="D276" i="3"/>
  <c r="E275" i="3"/>
  <c r="E272" i="3"/>
  <c r="E262" i="3"/>
  <c r="E16" i="3"/>
  <c r="E23" i="3"/>
  <c r="E25" i="3"/>
  <c r="E31" i="3"/>
  <c r="E33" i="3"/>
  <c r="E241" i="3"/>
  <c r="E257" i="3"/>
  <c r="E274" i="3"/>
  <c r="E276" i="3"/>
  <c r="F275" i="3"/>
  <c r="F272" i="3"/>
  <c r="F262" i="3"/>
  <c r="F274" i="3"/>
  <c r="F276" i="3"/>
  <c r="G275" i="3"/>
  <c r="G272" i="3"/>
  <c r="G262" i="3"/>
  <c r="G18" i="3"/>
  <c r="G19" i="3"/>
  <c r="G20" i="3"/>
  <c r="G21" i="3"/>
  <c r="G22" i="3"/>
  <c r="G17" i="3"/>
  <c r="G23" i="3"/>
  <c r="G24" i="3"/>
  <c r="G25" i="3"/>
  <c r="G29" i="3"/>
  <c r="G30" i="3"/>
  <c r="G28" i="3"/>
  <c r="G31" i="3"/>
  <c r="G32" i="3"/>
  <c r="G33" i="3"/>
  <c r="G241" i="3"/>
  <c r="G257" i="3"/>
  <c r="G274" i="3"/>
  <c r="G276" i="3"/>
  <c r="G184" i="3"/>
  <c r="G189" i="3"/>
  <c r="G198" i="3"/>
  <c r="G231" i="3"/>
  <c r="I184" i="3"/>
  <c r="I189" i="3"/>
  <c r="I198" i="3"/>
  <c r="I231" i="3"/>
  <c r="J189" i="3"/>
  <c r="J198" i="3"/>
  <c r="J231" i="3"/>
  <c r="K189" i="3"/>
  <c r="K231" i="3"/>
  <c r="K215" i="3"/>
  <c r="J151" i="3"/>
  <c r="I151" i="3"/>
  <c r="F184" i="3"/>
  <c r="G151" i="3"/>
  <c r="G232" i="3"/>
  <c r="I232" i="3"/>
  <c r="J232" i="3"/>
  <c r="K232" i="3"/>
  <c r="K219" i="3"/>
  <c r="K208" i="3"/>
  <c r="K213" i="3"/>
  <c r="K220" i="3"/>
  <c r="G235" i="3"/>
  <c r="I235" i="3"/>
  <c r="J235" i="3"/>
  <c r="K235" i="3"/>
  <c r="I206" i="3"/>
  <c r="J152" i="3"/>
  <c r="I152" i="3"/>
  <c r="I229" i="3"/>
  <c r="J229" i="3"/>
  <c r="K229" i="3"/>
  <c r="D169" i="3"/>
  <c r="D170" i="3"/>
  <c r="D171" i="3"/>
  <c r="D174" i="3"/>
  <c r="E174" i="3"/>
  <c r="G169" i="3"/>
  <c r="G171" i="3"/>
  <c r="G174" i="3"/>
  <c r="I174" i="3"/>
  <c r="J174" i="3"/>
  <c r="H205" i="3"/>
  <c r="E277" i="3"/>
  <c r="J155" i="3"/>
  <c r="J154" i="3"/>
  <c r="G277" i="3"/>
  <c r="H277" i="3"/>
  <c r="D277" i="3"/>
  <c r="I155" i="3"/>
  <c r="I154" i="3"/>
  <c r="J176" i="3"/>
  <c r="J26" i="3"/>
  <c r="J27" i="3"/>
  <c r="J36" i="3"/>
  <c r="J37" i="3"/>
  <c r="J42" i="3"/>
  <c r="E176" i="3"/>
  <c r="E26" i="3"/>
  <c r="E27" i="3"/>
  <c r="E177" i="3"/>
  <c r="E36" i="3"/>
  <c r="E37" i="3"/>
  <c r="E42" i="3"/>
  <c r="J153" i="3"/>
  <c r="G176" i="3"/>
  <c r="G26" i="3"/>
  <c r="G27" i="3"/>
  <c r="G36" i="3"/>
  <c r="G37" i="3"/>
  <c r="G42" i="3"/>
  <c r="I176" i="3"/>
  <c r="I26" i="3"/>
  <c r="I36" i="3"/>
  <c r="D176" i="3"/>
  <c r="D26" i="3"/>
  <c r="H26" i="3"/>
  <c r="H27" i="3"/>
  <c r="D36" i="3"/>
  <c r="H36" i="3"/>
  <c r="H37" i="3"/>
  <c r="H42" i="3"/>
  <c r="I27" i="3"/>
  <c r="I37" i="3"/>
  <c r="I42" i="3"/>
  <c r="D27" i="3"/>
  <c r="D37" i="3"/>
  <c r="D42" i="3"/>
  <c r="I153" i="3"/>
  <c r="H115" i="3"/>
  <c r="I93" i="3"/>
  <c r="J93" i="3"/>
  <c r="K93" i="3"/>
  <c r="G229" i="3"/>
  <c r="G227" i="3"/>
  <c r="G225" i="3"/>
  <c r="G152" i="3"/>
  <c r="G291" i="3"/>
  <c r="G60" i="3"/>
  <c r="G61" i="3"/>
  <c r="G62" i="3"/>
  <c r="G93" i="3"/>
  <c r="G94" i="3"/>
  <c r="G95" i="3"/>
  <c r="I61" i="3"/>
  <c r="I62" i="3"/>
  <c r="I94" i="3"/>
  <c r="I95" i="3"/>
  <c r="K116" i="3"/>
  <c r="J116" i="3"/>
  <c r="I116" i="3"/>
  <c r="J130" i="3"/>
  <c r="I130" i="3"/>
  <c r="J61" i="3"/>
  <c r="J62" i="3"/>
  <c r="J94" i="3"/>
  <c r="J95" i="3"/>
  <c r="K61" i="3"/>
  <c r="K62" i="3"/>
  <c r="K94" i="3"/>
  <c r="K95" i="3"/>
  <c r="G49" i="3"/>
  <c r="G82" i="3"/>
  <c r="I82" i="3"/>
  <c r="J82" i="3"/>
  <c r="K82" i="3"/>
  <c r="I75" i="3"/>
  <c r="I78" i="3"/>
  <c r="I68" i="3"/>
  <c r="I79" i="3"/>
  <c r="G75" i="3"/>
  <c r="G78" i="3"/>
  <c r="G68" i="3"/>
  <c r="G79" i="3"/>
  <c r="J75" i="3"/>
  <c r="J78" i="3"/>
  <c r="J68" i="3"/>
  <c r="J79" i="3"/>
  <c r="K79" i="3"/>
  <c r="I108" i="3"/>
  <c r="I112" i="3"/>
  <c r="I101" i="3"/>
  <c r="I113" i="3"/>
  <c r="G108" i="3"/>
  <c r="G112" i="3"/>
  <c r="G101" i="3"/>
  <c r="G113" i="3"/>
  <c r="J108" i="3"/>
  <c r="J112" i="3"/>
  <c r="J101" i="3"/>
  <c r="J113" i="3"/>
  <c r="K113" i="3"/>
  <c r="I122" i="3"/>
  <c r="I126" i="3"/>
  <c r="I127" i="3"/>
  <c r="J122" i="3"/>
  <c r="J126" i="3"/>
  <c r="J127" i="3"/>
  <c r="F160" i="3"/>
  <c r="F167" i="3"/>
  <c r="I150" i="3"/>
  <c r="J150" i="3"/>
  <c r="D229" i="3"/>
  <c r="D227" i="3"/>
  <c r="I227" i="3"/>
  <c r="D225" i="3"/>
  <c r="I225" i="3"/>
  <c r="E229" i="3"/>
  <c r="E227" i="3"/>
  <c r="J227" i="3"/>
  <c r="E225" i="3"/>
  <c r="J225" i="3"/>
  <c r="F229" i="3"/>
  <c r="F227" i="3"/>
  <c r="K227" i="3"/>
  <c r="F225" i="3"/>
  <c r="K225" i="3"/>
  <c r="F161" i="3"/>
  <c r="F157" i="3"/>
  <c r="F158" i="3"/>
  <c r="E161" i="3"/>
  <c r="E164" i="3"/>
  <c r="E167" i="3"/>
  <c r="E158" i="3"/>
  <c r="E157" i="3"/>
  <c r="D163" i="3"/>
  <c r="D164" i="3"/>
  <c r="H188" i="3"/>
  <c r="G179" i="3"/>
  <c r="H170" i="3"/>
  <c r="H171" i="3"/>
  <c r="H172" i="3"/>
  <c r="H173" i="3"/>
  <c r="H169" i="3"/>
  <c r="J179" i="3"/>
  <c r="K179" i="3"/>
  <c r="H150" i="3"/>
  <c r="G150" i="3"/>
  <c r="I141" i="3"/>
  <c r="J76" i="3"/>
  <c r="J110" i="3"/>
  <c r="J124" i="3"/>
  <c r="J136" i="3"/>
  <c r="J137" i="3"/>
  <c r="J145" i="3"/>
  <c r="I110" i="3"/>
  <c r="I76" i="3"/>
  <c r="I124" i="3"/>
  <c r="I136" i="3"/>
  <c r="I137" i="3"/>
  <c r="I145" i="3"/>
  <c r="J144" i="3"/>
  <c r="I144" i="3"/>
  <c r="J143" i="3"/>
  <c r="I143" i="3"/>
  <c r="J142" i="3"/>
  <c r="I142" i="3"/>
  <c r="J141" i="3"/>
  <c r="E141" i="3"/>
  <c r="F141" i="3"/>
  <c r="G141" i="3"/>
  <c r="E142" i="3"/>
  <c r="F142" i="3"/>
  <c r="G142" i="3"/>
  <c r="E143" i="3"/>
  <c r="F143" i="3"/>
  <c r="G143" i="3"/>
  <c r="E144" i="3"/>
  <c r="F144" i="3"/>
  <c r="G144" i="3"/>
  <c r="E68" i="3"/>
  <c r="E75" i="3"/>
  <c r="E76" i="3"/>
  <c r="E101" i="3"/>
  <c r="E108" i="3"/>
  <c r="E110" i="3"/>
  <c r="E122" i="3"/>
  <c r="E124" i="3"/>
  <c r="E136" i="3"/>
  <c r="E137" i="3"/>
  <c r="E145" i="3"/>
  <c r="F68" i="3"/>
  <c r="F75" i="3"/>
  <c r="F76" i="3"/>
  <c r="F101" i="3"/>
  <c r="F108" i="3"/>
  <c r="F110" i="3"/>
  <c r="F122" i="3"/>
  <c r="F124" i="3"/>
  <c r="F136" i="3"/>
  <c r="F137" i="3"/>
  <c r="F145" i="3"/>
  <c r="G136" i="3"/>
  <c r="G137" i="3"/>
  <c r="G76" i="3"/>
  <c r="G110" i="3"/>
  <c r="G124" i="3"/>
  <c r="G145" i="3"/>
  <c r="D68" i="3"/>
  <c r="D75" i="3"/>
  <c r="D76" i="3"/>
  <c r="D101" i="3"/>
  <c r="D108" i="3"/>
  <c r="D110" i="3"/>
  <c r="D122" i="3"/>
  <c r="D124" i="3"/>
  <c r="D136" i="3"/>
  <c r="D137" i="3"/>
  <c r="D145" i="3"/>
  <c r="D144" i="3"/>
  <c r="D143" i="3"/>
  <c r="D142" i="3"/>
  <c r="D141" i="3"/>
  <c r="J138" i="3"/>
  <c r="J139" i="3"/>
  <c r="I138" i="3"/>
  <c r="I139" i="3"/>
  <c r="G138" i="3"/>
  <c r="G139" i="3"/>
  <c r="F138" i="3"/>
  <c r="F139" i="3"/>
  <c r="E138" i="3"/>
  <c r="E139" i="3"/>
  <c r="D138" i="3"/>
  <c r="D139" i="3"/>
  <c r="J98" i="3"/>
  <c r="K98" i="3"/>
  <c r="I98" i="3"/>
  <c r="D94" i="3"/>
  <c r="D95" i="3"/>
  <c r="E91" i="3"/>
  <c r="D91" i="3"/>
  <c r="K65" i="3"/>
  <c r="I65" i="3"/>
  <c r="D57" i="3"/>
  <c r="E61" i="3"/>
  <c r="E62" i="3"/>
  <c r="F61" i="3"/>
  <c r="F62" i="3"/>
  <c r="J65" i="3"/>
  <c r="G100" i="3"/>
  <c r="F93" i="3"/>
  <c r="D93" i="3"/>
  <c r="F82" i="3"/>
  <c r="E82" i="3"/>
  <c r="D82" i="3"/>
  <c r="D61" i="3"/>
  <c r="D60" i="3"/>
  <c r="E60" i="3"/>
  <c r="F60" i="3"/>
  <c r="H60" i="3"/>
  <c r="I50" i="3"/>
  <c r="D49" i="3"/>
  <c r="E49" i="3"/>
  <c r="F49" i="3"/>
  <c r="H49" i="3"/>
  <c r="F90" i="3"/>
  <c r="E90" i="3"/>
  <c r="D90" i="3"/>
  <c r="D62" i="3"/>
  <c r="D78" i="3"/>
  <c r="D79" i="3"/>
  <c r="K50" i="3"/>
  <c r="J50" i="3"/>
  <c r="E93" i="3"/>
  <c r="D112" i="3"/>
  <c r="D113" i="3"/>
  <c r="K83" i="3"/>
  <c r="F94" i="3"/>
  <c r="F95" i="3"/>
  <c r="J83" i="3"/>
  <c r="E94" i="3"/>
  <c r="E95" i="3"/>
  <c r="I83" i="3"/>
  <c r="F112" i="3"/>
  <c r="E112" i="3"/>
  <c r="E113" i="3"/>
  <c r="F113" i="3"/>
  <c r="D126" i="3"/>
  <c r="D127" i="3"/>
  <c r="F126" i="3"/>
  <c r="E126" i="3"/>
  <c r="E127" i="3"/>
  <c r="F127" i="3"/>
  <c r="F78" i="3"/>
  <c r="F79" i="3"/>
  <c r="E78" i="3"/>
  <c r="E79" i="3"/>
  <c r="K224" i="3"/>
  <c r="J224" i="3"/>
  <c r="E224" i="3"/>
  <c r="D224" i="3"/>
  <c r="I224" i="3"/>
  <c r="G224" i="3"/>
  <c r="F224" i="3"/>
  <c r="K230" i="3"/>
  <c r="K228" i="3"/>
  <c r="K226" i="3"/>
  <c r="F235" i="3"/>
  <c r="H194" i="3"/>
  <c r="H211" i="3"/>
  <c r="H235" i="3"/>
  <c r="F236" i="3"/>
  <c r="H192" i="3"/>
  <c r="H236" i="3"/>
  <c r="F232" i="3"/>
  <c r="H185" i="3"/>
  <c r="H190" i="3"/>
  <c r="H232" i="3"/>
  <c r="F189" i="3"/>
  <c r="F198" i="3"/>
  <c r="F231" i="3"/>
  <c r="H184" i="3"/>
  <c r="H186" i="3"/>
  <c r="H187" i="3"/>
  <c r="H189" i="3"/>
  <c r="H191" i="3"/>
  <c r="H193" i="3"/>
  <c r="H195" i="3"/>
  <c r="H196" i="3"/>
  <c r="H197" i="3"/>
  <c r="H198" i="3"/>
  <c r="H231" i="3"/>
  <c r="H200" i="3"/>
  <c r="H229" i="3"/>
  <c r="H227" i="3"/>
  <c r="H225" i="3"/>
  <c r="F288" i="3"/>
  <c r="H288" i="3"/>
  <c r="F291" i="3"/>
  <c r="H291" i="3"/>
  <c r="F289" i="3"/>
  <c r="G289" i="3"/>
  <c r="H289" i="3"/>
  <c r="I289" i="3"/>
  <c r="J289" i="3"/>
  <c r="K289" i="3"/>
  <c r="J208" i="3"/>
  <c r="I208" i="3"/>
  <c r="D208" i="3"/>
  <c r="G208" i="3"/>
  <c r="H207" i="3"/>
  <c r="H201" i="3"/>
  <c r="H202" i="3"/>
  <c r="H203" i="3"/>
  <c r="H204" i="3"/>
  <c r="H206" i="3"/>
  <c r="H208" i="3"/>
  <c r="F208" i="3"/>
  <c r="E206" i="3"/>
  <c r="E208" i="3"/>
  <c r="I215" i="3"/>
  <c r="J215" i="3"/>
  <c r="G215" i="3"/>
  <c r="H210" i="3"/>
  <c r="E291" i="3"/>
  <c r="D291" i="3"/>
  <c r="E236" i="3"/>
  <c r="F215" i="3"/>
  <c r="H275" i="3"/>
  <c r="E288" i="3"/>
  <c r="D288" i="3"/>
  <c r="D184" i="3"/>
  <c r="D189" i="3"/>
  <c r="D198" i="3"/>
  <c r="D231" i="3"/>
  <c r="E184" i="3"/>
  <c r="E189" i="3"/>
  <c r="E198" i="3"/>
  <c r="E231" i="3"/>
  <c r="E215" i="3"/>
  <c r="F219" i="3"/>
  <c r="F213" i="3"/>
  <c r="F220" i="3"/>
  <c r="D232" i="3"/>
  <c r="E232" i="3"/>
  <c r="E219" i="3"/>
  <c r="E213" i="3"/>
  <c r="E220" i="3"/>
  <c r="D235" i="3"/>
  <c r="E235" i="3"/>
  <c r="F281" i="3"/>
  <c r="F282" i="3"/>
  <c r="F283" i="3"/>
  <c r="F152" i="3"/>
  <c r="F57" i="3"/>
  <c r="E57" i="3"/>
  <c r="G213" i="3"/>
  <c r="G219" i="3"/>
  <c r="G220" i="3"/>
  <c r="I213" i="3"/>
  <c r="J213" i="3"/>
  <c r="F151" i="3"/>
  <c r="E151" i="3"/>
  <c r="F150" i="3"/>
  <c r="E150" i="3"/>
  <c r="D150" i="3"/>
  <c r="F35" i="3"/>
  <c r="E152" i="3"/>
  <c r="E281" i="3"/>
  <c r="E282" i="3"/>
  <c r="E283" i="3"/>
  <c r="E289" i="3"/>
  <c r="E66" i="3"/>
  <c r="E67" i="3"/>
  <c r="D281" i="3"/>
  <c r="D215" i="3"/>
  <c r="D219" i="3"/>
  <c r="D213" i="3"/>
  <c r="D220" i="3"/>
  <c r="H209" i="3"/>
  <c r="H82" i="3"/>
  <c r="H93" i="3"/>
  <c r="I230" i="3"/>
  <c r="J230" i="3"/>
  <c r="G282" i="3"/>
  <c r="H282" i="3"/>
  <c r="I282" i="3"/>
  <c r="J282" i="3"/>
  <c r="E35" i="3"/>
  <c r="D35" i="3"/>
  <c r="D282" i="3"/>
  <c r="D283" i="3"/>
  <c r="D289" i="3"/>
  <c r="D234" i="3"/>
  <c r="E234" i="3"/>
  <c r="G234" i="3"/>
  <c r="J234" i="3"/>
  <c r="I234" i="3"/>
  <c r="F234" i="3"/>
  <c r="D228" i="3"/>
  <c r="E228" i="3"/>
  <c r="K234" i="3"/>
  <c r="I228" i="3"/>
  <c r="F228" i="3"/>
  <c r="H218" i="3"/>
  <c r="H174" i="3"/>
  <c r="D179" i="3"/>
  <c r="H43" i="3"/>
  <c r="D125" i="3"/>
  <c r="F100" i="3"/>
  <c r="E100" i="3"/>
  <c r="D99" i="3"/>
  <c r="D66" i="3"/>
  <c r="D111" i="3"/>
  <c r="E99" i="3"/>
  <c r="D67" i="3"/>
  <c r="D58" i="3"/>
  <c r="I67" i="3"/>
  <c r="D77" i="3"/>
  <c r="F99" i="3"/>
  <c r="J67" i="3"/>
  <c r="I66" i="3"/>
  <c r="G66" i="3"/>
  <c r="K67" i="3"/>
  <c r="J66" i="3"/>
  <c r="K66" i="3"/>
  <c r="H160" i="3"/>
  <c r="E226" i="3"/>
  <c r="H212" i="3"/>
  <c r="F230" i="3"/>
  <c r="F226" i="3"/>
  <c r="G226" i="3"/>
  <c r="D226" i="3"/>
  <c r="D230" i="3"/>
  <c r="G230" i="3"/>
  <c r="J226" i="3"/>
  <c r="E230" i="3"/>
  <c r="I226" i="3"/>
  <c r="D148" i="3"/>
  <c r="D41" i="3"/>
  <c r="D40" i="3"/>
  <c r="D233" i="3"/>
  <c r="D221" i="3"/>
  <c r="H215" i="3"/>
  <c r="E148" i="3"/>
  <c r="E125" i="3"/>
  <c r="E41" i="3"/>
  <c r="E233" i="3"/>
  <c r="E40" i="3"/>
  <c r="E221" i="3"/>
  <c r="E58" i="3"/>
  <c r="E77" i="3"/>
  <c r="G228" i="3"/>
  <c r="J228" i="3"/>
  <c r="E179" i="3"/>
  <c r="H161" i="3"/>
  <c r="G99" i="3"/>
  <c r="I99" i="3"/>
  <c r="D100" i="3"/>
  <c r="E111" i="3"/>
  <c r="H100" i="3"/>
  <c r="F58" i="3"/>
  <c r="F125" i="3"/>
  <c r="E149" i="3"/>
  <c r="D149" i="3"/>
  <c r="J100" i="3"/>
  <c r="J91" i="3"/>
  <c r="I100" i="3"/>
  <c r="G90" i="3"/>
  <c r="F91" i="3"/>
  <c r="G91" i="3"/>
  <c r="I90" i="3"/>
  <c r="I91" i="3"/>
  <c r="J99" i="3"/>
  <c r="H101" i="3"/>
  <c r="K91" i="3"/>
  <c r="K90" i="3"/>
  <c r="J90" i="3"/>
  <c r="K100" i="3"/>
  <c r="G57" i="3"/>
  <c r="G58" i="3"/>
  <c r="H56" i="3"/>
  <c r="I57" i="3"/>
  <c r="I58" i="3"/>
  <c r="K99" i="3"/>
  <c r="F148" i="3"/>
  <c r="J58" i="3"/>
  <c r="J57" i="3"/>
  <c r="J147" i="3"/>
  <c r="K58" i="3"/>
  <c r="K57" i="3"/>
  <c r="I147" i="3"/>
  <c r="F149" i="3"/>
  <c r="F41" i="3"/>
  <c r="F40" i="3"/>
  <c r="F233" i="3"/>
  <c r="F221" i="3"/>
  <c r="F77" i="3"/>
  <c r="F111" i="3"/>
  <c r="G111" i="3"/>
  <c r="H110" i="3"/>
  <c r="H111" i="3"/>
  <c r="I111" i="3"/>
  <c r="K41" i="3"/>
  <c r="K40" i="3"/>
  <c r="J41" i="3"/>
  <c r="J40" i="3"/>
  <c r="I41" i="3"/>
  <c r="I40" i="3"/>
  <c r="H213" i="3"/>
  <c r="J149" i="3"/>
  <c r="J148" i="3"/>
  <c r="I149" i="3"/>
  <c r="I148" i="3"/>
  <c r="F179" i="3"/>
  <c r="G148" i="3"/>
  <c r="H148" i="3"/>
  <c r="G149" i="3"/>
  <c r="H149" i="3"/>
  <c r="I290" i="3"/>
  <c r="J290" i="3"/>
  <c r="K290" i="3"/>
  <c r="K111" i="3"/>
  <c r="J111" i="3"/>
  <c r="H217" i="3"/>
  <c r="I219" i="3"/>
  <c r="I220" i="3"/>
  <c r="J219" i="3"/>
  <c r="J220" i="3"/>
  <c r="K221" i="3"/>
  <c r="K233" i="3"/>
  <c r="J221" i="3"/>
  <c r="J281" i="3"/>
  <c r="J283" i="3"/>
  <c r="J233" i="3"/>
  <c r="I281" i="3"/>
  <c r="I283" i="3"/>
  <c r="I221" i="3"/>
  <c r="I233" i="3"/>
  <c r="H216" i="3"/>
  <c r="H219" i="3"/>
  <c r="H220" i="3"/>
  <c r="H221" i="3"/>
  <c r="H281" i="3"/>
  <c r="H283" i="3"/>
  <c r="G281" i="3"/>
  <c r="G221" i="3"/>
  <c r="G233" i="3"/>
  <c r="H35" i="3"/>
  <c r="H41" i="3"/>
  <c r="H40" i="3"/>
  <c r="G35" i="3"/>
  <c r="K77" i="3"/>
  <c r="J77" i="3"/>
  <c r="G77" i="3"/>
  <c r="H76" i="3"/>
  <c r="H68" i="3"/>
  <c r="H77" i="3"/>
  <c r="I77" i="3"/>
  <c r="F66" i="3"/>
  <c r="H67" i="3"/>
  <c r="G67" i="3"/>
  <c r="F67" i="3"/>
  <c r="I125" i="3"/>
  <c r="J125" i="3"/>
  <c r="G125" i="3"/>
  <c r="H124" i="3"/>
  <c r="H125" i="3"/>
  <c r="I179" i="3"/>
  <c r="G41" i="3"/>
  <c r="G40" i="3"/>
  <c r="G283" i="3"/>
  <c r="Q77" i="3"/>
  <c r="P77" i="3"/>
  <c r="O77" i="3"/>
  <c r="N77" i="3"/>
  <c r="N145" i="3"/>
  <c r="O145" i="3"/>
  <c r="P145" i="3"/>
  <c r="Q145" i="3"/>
  <c r="AK78" i="3"/>
  <c r="AK77" i="3"/>
  <c r="AJ77" i="3"/>
  <c r="AI77" i="3"/>
  <c r="AH77" i="3"/>
  <c r="AF77" i="3"/>
  <c r="AE77" i="3"/>
  <c r="AD77" i="3"/>
  <c r="AC77" i="3"/>
  <c r="AC145" i="3"/>
  <c r="AD145" i="3"/>
  <c r="AE145" i="3"/>
  <c r="AF145" i="3"/>
  <c r="AH145" i="3"/>
  <c r="AI145" i="3"/>
  <c r="AJ145" i="3"/>
  <c r="AK145" i="3"/>
  <c r="C334" i="3"/>
  <c r="C333" i="3"/>
</calcChain>
</file>

<file path=xl/sharedStrings.xml><?xml version="1.0" encoding="utf-8"?>
<sst xmlns="http://schemas.openxmlformats.org/spreadsheetml/2006/main" count="1070" uniqueCount="344">
  <si>
    <t>Basic shares outstanding</t>
  </si>
  <si>
    <t xml:space="preserve">Diluted shares outstanding </t>
  </si>
  <si>
    <t>Effective tax rate</t>
  </si>
  <si>
    <t>(Dollars in millions, except per share data)</t>
  </si>
  <si>
    <t>Total Current Assets</t>
  </si>
  <si>
    <t>Total Assets</t>
  </si>
  <si>
    <t>Assets</t>
  </si>
  <si>
    <t>Liabilities</t>
  </si>
  <si>
    <t>Total Current liabilities</t>
  </si>
  <si>
    <t>Total liabilities</t>
  </si>
  <si>
    <t>Total liabilities and equity</t>
  </si>
  <si>
    <t>Cash flows from operating activities</t>
  </si>
  <si>
    <t>Net cash provided by operating activities</t>
  </si>
  <si>
    <t>Cash flows from investing activities</t>
  </si>
  <si>
    <t>Net cash provided by (used for) investing</t>
  </si>
  <si>
    <t>Cash flows from financing activities</t>
  </si>
  <si>
    <t>Net cash provided by (used for) financing</t>
  </si>
  <si>
    <t>Net increase (decrease) in cash and equivalents</t>
  </si>
  <si>
    <t>Cash and equivalents at beginning of period</t>
  </si>
  <si>
    <t>Balance Sheet Ratios &amp; Assumptions</t>
  </si>
  <si>
    <t>Receivables turnover</t>
  </si>
  <si>
    <t>Number of days of payables</t>
  </si>
  <si>
    <t>Cash Flow Ratios &amp; Assumptions</t>
  </si>
  <si>
    <t>Operating margin (GAAP)</t>
  </si>
  <si>
    <t>Discounted FCFF</t>
  </si>
  <si>
    <t>Provisions for income tax</t>
  </si>
  <si>
    <t>Cash and equivalents</t>
  </si>
  <si>
    <t>Goodwill</t>
  </si>
  <si>
    <t>Accounts payable</t>
  </si>
  <si>
    <t xml:space="preserve">Retained earnings </t>
  </si>
  <si>
    <t>Total shareholders' equity</t>
  </si>
  <si>
    <t xml:space="preserve">Basic EPS </t>
  </si>
  <si>
    <t xml:space="preserve">Diluted EPS </t>
  </si>
  <si>
    <t>DCF Period (approximate number of years)</t>
  </si>
  <si>
    <t>Total operating expenses</t>
  </si>
  <si>
    <t>Change in basic shares  (excluding repurchases)</t>
  </si>
  <si>
    <t>Change in diluted shares  (excluding repurchases)</t>
  </si>
  <si>
    <t>GR</t>
  </si>
  <si>
    <t>Ratio Analysis</t>
  </si>
  <si>
    <t xml:space="preserve">Net Cash and investments per share </t>
  </si>
  <si>
    <t>Days sales outstanding</t>
  </si>
  <si>
    <t>Payables turnover</t>
  </si>
  <si>
    <t>Net Cash from Operations growth rate (YoY)</t>
  </si>
  <si>
    <t>Total operating income/(loss)</t>
  </si>
  <si>
    <t>Income/(loss) before income tax</t>
  </si>
  <si>
    <t xml:space="preserve">Depreciation and amortization </t>
  </si>
  <si>
    <t>Changes in operating assets and liabilities, net of the effects</t>
  </si>
  <si>
    <t>Depreciation &amp; amortization-to-average P&amp;E</t>
  </si>
  <si>
    <t>Prepaid expenses and other current assets</t>
  </si>
  <si>
    <t>Free Cash Flow to Firm (FCFF)</t>
  </si>
  <si>
    <t>Total Debt</t>
  </si>
  <si>
    <t xml:space="preserve">Adjusted net cash  per share </t>
  </si>
  <si>
    <t>Non-GAAP Adjustments</t>
  </si>
  <si>
    <t>Cash Flow Statement Ratios</t>
  </si>
  <si>
    <t>Capex to revenue</t>
  </si>
  <si>
    <t>Equity</t>
  </si>
  <si>
    <t>Share-based compensation to revenue</t>
  </si>
  <si>
    <t>Segment Data</t>
  </si>
  <si>
    <t>Reconciliation</t>
  </si>
  <si>
    <t>Dec-18</t>
  </si>
  <si>
    <t xml:space="preserve">   Net income attributable to common shareholders</t>
  </si>
  <si>
    <t>Accounts receivable</t>
  </si>
  <si>
    <t>Other investing activities</t>
  </si>
  <si>
    <t>Repurchase of common stock</t>
  </si>
  <si>
    <t>Other financing activities</t>
  </si>
  <si>
    <t>Cash and equivalents at end of period (BS)</t>
  </si>
  <si>
    <t>Effect of exchange rate changes &amp; restricted cash</t>
  </si>
  <si>
    <t>Accumulated other comprehensive loss</t>
  </si>
  <si>
    <t>Revenue growth rate (GAAP, YoY)</t>
  </si>
  <si>
    <t>Starbucks Income Statement</t>
  </si>
  <si>
    <t>Starbucks Balance Sheet</t>
  </si>
  <si>
    <t>Starbucks Cash Flow Statement</t>
  </si>
  <si>
    <t>F1Q19</t>
  </si>
  <si>
    <t>Sept-19E</t>
  </si>
  <si>
    <t>Dec-19E</t>
  </si>
  <si>
    <t>Mar-20E</t>
  </si>
  <si>
    <t>June-20E</t>
  </si>
  <si>
    <t>Sept-20E</t>
  </si>
  <si>
    <t>Dec-20E</t>
  </si>
  <si>
    <t>Mar-21E</t>
  </si>
  <si>
    <t>June-21E</t>
  </si>
  <si>
    <t>Sept-21E</t>
  </si>
  <si>
    <t>Dec-21E</t>
  </si>
  <si>
    <t>Mar-22E</t>
  </si>
  <si>
    <t>June-22E</t>
  </si>
  <si>
    <t>Sept-22E</t>
  </si>
  <si>
    <t>Dec-22E</t>
  </si>
  <si>
    <t>Mar-23E</t>
  </si>
  <si>
    <t>June-23E</t>
  </si>
  <si>
    <t>Sept-23E</t>
  </si>
  <si>
    <t>F4Q20E</t>
  </si>
  <si>
    <t>FY 2020E</t>
  </si>
  <si>
    <t>F1Q21E</t>
  </si>
  <si>
    <t>F2Q21E</t>
  </si>
  <si>
    <t>F3Q21E</t>
  </si>
  <si>
    <t>F4Q21E</t>
  </si>
  <si>
    <t>FY 2021E</t>
  </si>
  <si>
    <t>F1Q22E</t>
  </si>
  <si>
    <t>F2Q22E</t>
  </si>
  <si>
    <t>F3Q22E</t>
  </si>
  <si>
    <t>F4Q22E</t>
  </si>
  <si>
    <t>FY 2022E</t>
  </si>
  <si>
    <t>F1Q23E</t>
  </si>
  <si>
    <t>F2Q23E</t>
  </si>
  <si>
    <t>F3Q23E</t>
  </si>
  <si>
    <t>F4Q23E</t>
  </si>
  <si>
    <t>FY 2023E</t>
  </si>
  <si>
    <t>Store operating expenses</t>
  </si>
  <si>
    <t>Other operating expenses</t>
  </si>
  <si>
    <t>Depreciation and amortization expenses</t>
  </si>
  <si>
    <t>General and administrative expenses</t>
  </si>
  <si>
    <t>Income from equity investees</t>
  </si>
  <si>
    <t>Interest income and other</t>
  </si>
  <si>
    <t>Interest expense</t>
  </si>
  <si>
    <t>Net income including noncontrolling interest</t>
  </si>
  <si>
    <t xml:space="preserve">Net earnings attributable to noncontrolling interest </t>
  </si>
  <si>
    <t>Cash dividend</t>
  </si>
  <si>
    <t>Americas (GAAP)</t>
  </si>
  <si>
    <t>Restructuring and impairments</t>
  </si>
  <si>
    <t>Americas company-operated stores</t>
  </si>
  <si>
    <t>Americas licensed stores</t>
  </si>
  <si>
    <t>Comp store sales - Ticket</t>
  </si>
  <si>
    <t>Comp store sales - Transaction</t>
  </si>
  <si>
    <t>Comp store sales - Total</t>
  </si>
  <si>
    <t xml:space="preserve">Net new company operated stores added </t>
  </si>
  <si>
    <t>Estimated stores included in comp sales calculation [step 1]</t>
  </si>
  <si>
    <t>Estimated revenue per store in comp sales calc ($M) [step 4]</t>
  </si>
  <si>
    <t>Comp sale revenue reconciliation [step 5]</t>
  </si>
  <si>
    <t xml:space="preserve">Net new licensed  stores added </t>
  </si>
  <si>
    <t>Revenue per company operated store [step 2]</t>
  </si>
  <si>
    <t>Average revenue per licensed store</t>
  </si>
  <si>
    <t>Average licensed stores in the period</t>
  </si>
  <si>
    <t>Americas Revenue: Other</t>
  </si>
  <si>
    <t>Americas Revenue: licensed stores ($M)</t>
  </si>
  <si>
    <t>Americas Revenue: Company-operated stores ($M)</t>
  </si>
  <si>
    <t>Other revenue YoY growth rate</t>
  </si>
  <si>
    <t>Americas total net revenues ($M)</t>
  </si>
  <si>
    <t>Americas total stores</t>
  </si>
  <si>
    <t>Americas total net store additions</t>
  </si>
  <si>
    <t>Operating expenses exDepreciation($M)</t>
  </si>
  <si>
    <t>Operating expenses exDepreciation (% of revenue)</t>
  </si>
  <si>
    <t>Channel Development (GAAP)</t>
  </si>
  <si>
    <t>Channel Dev Total operating expenses</t>
  </si>
  <si>
    <t>Channel Dev Total operating income</t>
  </si>
  <si>
    <t>Channel Dev Total operating margin (%)</t>
  </si>
  <si>
    <t>Corporate &amp; Other  (GAAP)</t>
  </si>
  <si>
    <t>Corp &amp; Other Total operating expenses</t>
  </si>
  <si>
    <t>Corp &amp; Other Total operating income</t>
  </si>
  <si>
    <t>Revenue YoY growth rate</t>
  </si>
  <si>
    <t>Company-operated revenue</t>
  </si>
  <si>
    <t>Licensed store revenue</t>
  </si>
  <si>
    <t>Other revenue</t>
  </si>
  <si>
    <t>Operating Income</t>
  </si>
  <si>
    <t>Gain on acquisition of JV/disposition of business</t>
  </si>
  <si>
    <r>
      <t xml:space="preserve">Other company-operated revenue (stores open less than 13 months and FX) </t>
    </r>
    <r>
      <rPr>
        <i/>
        <sz val="11"/>
        <color theme="3"/>
        <rFont val="Calibri"/>
        <family val="2"/>
        <scheme val="minor"/>
      </rPr>
      <t>[step 3]</t>
    </r>
  </si>
  <si>
    <r>
      <t>Other company-operated revenue (stores open less than 13 months and FX)</t>
    </r>
    <r>
      <rPr>
        <i/>
        <sz val="11"/>
        <color theme="3"/>
        <rFont val="Calibri"/>
        <family val="2"/>
        <scheme val="minor"/>
      </rPr>
      <t xml:space="preserve"> [step 3]</t>
    </r>
  </si>
  <si>
    <t>Nestle Transaction (Operating expenses)</t>
  </si>
  <si>
    <t>Restructuring and impairments (Operating expenses)</t>
  </si>
  <si>
    <t>Stock Awards (Operating expenses)</t>
  </si>
  <si>
    <t>Total impact on operating expenses</t>
  </si>
  <si>
    <t>Total impact on operating income</t>
  </si>
  <si>
    <t>Gain/(loss) on acquisitions and divestitures (Net income)</t>
  </si>
  <si>
    <t>Impact of extra week - 4Q2016 (Operating income)</t>
  </si>
  <si>
    <t>Non-GAAP operating income adjustments</t>
  </si>
  <si>
    <t xml:space="preserve">Non-GAAP operating income </t>
  </si>
  <si>
    <t>Non-GAAP net income adjustments</t>
  </si>
  <si>
    <t xml:space="preserve">Non-GAAP net income </t>
  </si>
  <si>
    <t>Non-GAAP diluted EPS</t>
  </si>
  <si>
    <t>Income tax impact of adjustments and other (Net income)</t>
  </si>
  <si>
    <t>Income tax impact and other as % of operating income adj</t>
  </si>
  <si>
    <t>Short-term investments</t>
  </si>
  <si>
    <t>Accounts receivable, net</t>
  </si>
  <si>
    <t>Inventories</t>
  </si>
  <si>
    <t>Long-term investments</t>
  </si>
  <si>
    <t xml:space="preserve">Property, plant and equipment, net </t>
  </si>
  <si>
    <t>Other intangible assets, net</t>
  </si>
  <si>
    <t>Accrued liabilities</t>
  </si>
  <si>
    <t>Stored value card liability and deferred revenue</t>
  </si>
  <si>
    <t>Long-term debt</t>
  </si>
  <si>
    <t>Other long-term liabilities</t>
  </si>
  <si>
    <t>Common stock and additional paid in capital</t>
  </si>
  <si>
    <t>Noncontrolling interest</t>
  </si>
  <si>
    <t>Net income - including noncontrolling interests</t>
  </si>
  <si>
    <t>Deferred income taxes, net</t>
  </si>
  <si>
    <t>Income earned from equity method investees</t>
  </si>
  <si>
    <t>Distributions received from equity method investees</t>
  </si>
  <si>
    <t>Stock-based compensation expense</t>
  </si>
  <si>
    <t>Deferred revenue</t>
  </si>
  <si>
    <t>Proceeds from issuance of common stock</t>
  </si>
  <si>
    <t>Sale/Maturities/(Purchases) of investments</t>
  </si>
  <si>
    <t>Additions to PP&amp;E</t>
  </si>
  <si>
    <t>Gain resulting from acquisitions/sales</t>
  </si>
  <si>
    <t>Other Noncash Income/(Expense)</t>
  </si>
  <si>
    <t>Other operating assets and liabilities</t>
  </si>
  <si>
    <t>Cash dividends paid</t>
  </si>
  <si>
    <t>Increase/(Decrease) in prepaid expenses, other</t>
  </si>
  <si>
    <t>Operating margin (Non-GAAP)</t>
  </si>
  <si>
    <t>Interest &amp; other income as a % of average  investments and cash</t>
  </si>
  <si>
    <t>Interest expense as a % of average debt balances</t>
  </si>
  <si>
    <t>Deferred income taxes as % of def revenue &amp; stored value liability</t>
  </si>
  <si>
    <t xml:space="preserve">Distributions from equity investments as a % of income </t>
  </si>
  <si>
    <t>Inventory turnover</t>
  </si>
  <si>
    <t>Short-term investments as a % of total investments</t>
  </si>
  <si>
    <t>Total investments as a % of assets</t>
  </si>
  <si>
    <t>Debt to equity ratio</t>
  </si>
  <si>
    <t>Short-term debt to total debt</t>
  </si>
  <si>
    <t>All Other  (Operating expense)</t>
  </si>
  <si>
    <t>Americas total operating expenses</t>
  </si>
  <si>
    <t>Americas total operating income</t>
  </si>
  <si>
    <t>Americas total operating margin (%)</t>
  </si>
  <si>
    <t>Minimum tax withholdings on share-based awards</t>
  </si>
  <si>
    <t>Cash &amp; marketable securities (exEquity method investments)</t>
  </si>
  <si>
    <t>F2Q19</t>
  </si>
  <si>
    <t>Mar-19</t>
  </si>
  <si>
    <t>General and administrative expenses (GAAP)</t>
  </si>
  <si>
    <t>June-19</t>
  </si>
  <si>
    <t>F3Q19</t>
  </si>
  <si>
    <t>Dec-23E</t>
  </si>
  <si>
    <t>Mar-24E</t>
  </si>
  <si>
    <t>June-24E</t>
  </si>
  <si>
    <t>Sept-24E</t>
  </si>
  <si>
    <t>F1Q24E</t>
  </si>
  <si>
    <t>F2Q24E</t>
  </si>
  <si>
    <t>F3Q24E</t>
  </si>
  <si>
    <t>F4Q24E</t>
  </si>
  <si>
    <t>FY 2024E</t>
  </si>
  <si>
    <t>F4Q19</t>
  </si>
  <si>
    <t>FY 2019</t>
  </si>
  <si>
    <t>F1Q20</t>
  </si>
  <si>
    <t>F2Q20</t>
  </si>
  <si>
    <t>F3Q20</t>
  </si>
  <si>
    <t>Product and distribution costs</t>
  </si>
  <si>
    <t>Revenue - Company-operated stores</t>
  </si>
  <si>
    <t>Revenue - Licensed stores revenue</t>
  </si>
  <si>
    <t>Revenue - Product, Services, and Other</t>
  </si>
  <si>
    <t>Total revenues</t>
  </si>
  <si>
    <t>Proceeds from issuance of commercial paper</t>
  </si>
  <si>
    <t>Increase/(Decrease) in Income Taxes Payable</t>
  </si>
  <si>
    <t xml:space="preserve">Debt/commercial paper (payments) </t>
  </si>
  <si>
    <t>Debt issuance</t>
  </si>
  <si>
    <t>Other current liabilities</t>
  </si>
  <si>
    <t>Accrued payroll and benefits (current)</t>
  </si>
  <si>
    <t>Income taxes payable (current)</t>
  </si>
  <si>
    <t xml:space="preserve">Current portion of operating lease liability </t>
  </si>
  <si>
    <t>Equity investments</t>
  </si>
  <si>
    <t>Operating lease, right-of-use asset</t>
  </si>
  <si>
    <t>Other long-term assets</t>
  </si>
  <si>
    <t>Current portion of debt</t>
  </si>
  <si>
    <t>Operating lease liability</t>
  </si>
  <si>
    <t>Day Count (number of days in the quarter)</t>
  </si>
  <si>
    <t>Dec-24E</t>
  </si>
  <si>
    <t>Mar-25E</t>
  </si>
  <si>
    <t>June-25E</t>
  </si>
  <si>
    <t>Sept-25E</t>
  </si>
  <si>
    <t>F1Q25E</t>
  </si>
  <si>
    <t>F2Q25E</t>
  </si>
  <si>
    <t>F3Q25E</t>
  </si>
  <si>
    <t>F4Q25E</t>
  </si>
  <si>
    <t>FY 2025E</t>
  </si>
  <si>
    <t>International Segment (GAAP)</t>
  </si>
  <si>
    <t>International company-operated stores</t>
  </si>
  <si>
    <t>Int'l Revenue: Company-operated stores ($M)</t>
  </si>
  <si>
    <t>International licensed stores</t>
  </si>
  <si>
    <t>Int'l Revenue: licensed stores ($M)</t>
  </si>
  <si>
    <t>Int'l Revenue: Other</t>
  </si>
  <si>
    <t>Int'l total stores</t>
  </si>
  <si>
    <t>Int'l total net store additions</t>
  </si>
  <si>
    <t>Int'l total net revenues ($M)</t>
  </si>
  <si>
    <t>Int'l Total operating expenses</t>
  </si>
  <si>
    <t>Int'l Total operating income</t>
  </si>
  <si>
    <t>Int'l Total operating margin (%)</t>
  </si>
  <si>
    <t>Channel Development Revenue</t>
  </si>
  <si>
    <t>Net revenues ($M)</t>
  </si>
  <si>
    <t>Net revenue YoY growth rate</t>
  </si>
  <si>
    <t>International transaction and integration related costs</t>
  </si>
  <si>
    <t>Share Count Analysis</t>
  </si>
  <si>
    <t>Sept '18 ASR - Share repurchase assumptions: average price</t>
  </si>
  <si>
    <t>Sept '18 ASR - Share repurchase: amount in the period ($M)</t>
  </si>
  <si>
    <t>Sept '18 ASR -Shares repurchased (in millions)</t>
  </si>
  <si>
    <t>March '19 ASR - Share repurchase assumptions: average price</t>
  </si>
  <si>
    <t>March '19 ASR - Share repurchase: amount in the period ($M)</t>
  </si>
  <si>
    <t>March '19 ASR -Shares repurchased (in millions)</t>
  </si>
  <si>
    <t>Share repurchase assumptions: average price (exASRs)</t>
  </si>
  <si>
    <t>Share repurchase: amount in the period ($M, exASRs)</t>
  </si>
  <si>
    <t>Shares repurchased (in millions, exASRs)</t>
  </si>
  <si>
    <t>Non-GAAP EPS Growth (YoY)</t>
  </si>
  <si>
    <t>Cash Flow From Operations Growth (YoY)</t>
  </si>
  <si>
    <t>Free Cash Flow Growth (YoY)</t>
  </si>
  <si>
    <t>Inventory outstanding</t>
  </si>
  <si>
    <t>Multiple Valuation</t>
  </si>
  <si>
    <t>P/E 3-month average</t>
  </si>
  <si>
    <t>P/E 3-month high</t>
  </si>
  <si>
    <t>P/E 3-month low</t>
  </si>
  <si>
    <t>P/E used for valuation</t>
  </si>
  <si>
    <t>Adjustments</t>
  </si>
  <si>
    <t>Implied P/E 12-month target value</t>
  </si>
  <si>
    <t>DCF check</t>
  </si>
  <si>
    <t>Discounted Cash Flow Valuation</t>
  </si>
  <si>
    <t>Weighted Average Cost of Capital (WACC) Inputs</t>
  </si>
  <si>
    <t>Target share price</t>
  </si>
  <si>
    <t>Shares outstanding</t>
  </si>
  <si>
    <t>Market Capitalization ($M)</t>
  </si>
  <si>
    <t>Beta (relative to the S&amp;P500)</t>
  </si>
  <si>
    <t>Constant market Sharpe ratio</t>
  </si>
  <si>
    <t>S&amp;P500 implied volatility</t>
  </si>
  <si>
    <t>Equity market risk premium</t>
  </si>
  <si>
    <t>Estimate of Risk Free (future 10yr UST)</t>
  </si>
  <si>
    <t>Required return on equity (CAPM)</t>
  </si>
  <si>
    <t>Equity to total capital</t>
  </si>
  <si>
    <t>Average cost of debt</t>
  </si>
  <si>
    <t xml:space="preserve">After tax cost of debt </t>
  </si>
  <si>
    <t>Stage 1 WACC</t>
  </si>
  <si>
    <t>Constant Growth Stage Assumptions</t>
  </si>
  <si>
    <t>Revenue growth (in perpetuity)</t>
  </si>
  <si>
    <t>Constant CFO growth rate</t>
  </si>
  <si>
    <t>Average CapEx (% of sales)</t>
  </si>
  <si>
    <t>Stage 2 Long-Term WACC</t>
  </si>
  <si>
    <t>DCF Valuation</t>
  </si>
  <si>
    <t>PV of terminal value (Stage 2)</t>
  </si>
  <si>
    <t>NPV of Stage 1 cash flows</t>
  </si>
  <si>
    <t xml:space="preserve">Plus cash/(debt) per share </t>
  </si>
  <si>
    <t>Implied DCF 12-month target value</t>
  </si>
  <si>
    <t>Risk Estimation Summary</t>
  </si>
  <si>
    <t>Absolute mean monthly return</t>
  </si>
  <si>
    <t xml:space="preserve">Standard deviation </t>
  </si>
  <si>
    <t>Implied target value</t>
  </si>
  <si>
    <t>Implied upper bound</t>
  </si>
  <si>
    <t>Implied Lower bound</t>
  </si>
  <si>
    <r>
      <rPr>
        <b/>
        <sz val="11"/>
        <color theme="1"/>
        <rFont val="Calibri"/>
        <family val="2"/>
        <scheme val="minor"/>
      </rPr>
      <t>Last updated:</t>
    </r>
    <r>
      <rPr>
        <sz val="11"/>
        <color theme="1"/>
        <rFont val="Calibri"/>
        <family val="2"/>
        <scheme val="minor"/>
      </rPr>
      <t xml:space="preserve"> 8/22/2020</t>
    </r>
  </si>
  <si>
    <r>
      <rPr>
        <b/>
        <sz val="11"/>
        <color theme="1"/>
        <rFont val="Calibri"/>
        <family val="2"/>
        <scheme val="minor"/>
      </rPr>
      <t>Purpose:</t>
    </r>
    <r>
      <rPr>
        <sz val="11"/>
        <color theme="1"/>
        <rFont val="Calibri"/>
        <family val="2"/>
        <scheme val="minor"/>
      </rPr>
      <t xml:space="preserve"> This worksheet tracks the mean monthly share return and standard deviation.</t>
    </r>
  </si>
  <si>
    <t>Date</t>
  </si>
  <si>
    <t>Price</t>
  </si>
  <si>
    <t>% Change</t>
  </si>
  <si>
    <t>Monthly return</t>
  </si>
  <si>
    <t>Diff from mean</t>
  </si>
  <si>
    <t>Diff Squared</t>
  </si>
  <si>
    <t>Mean</t>
  </si>
  <si>
    <t>Sum of squared differences</t>
  </si>
  <si>
    <t>Variance</t>
  </si>
  <si>
    <t>Standard Deviation</t>
  </si>
  <si>
    <t>check</t>
  </si>
  <si>
    <t>Absolute value of mean monthly return</t>
  </si>
  <si>
    <t>Implied 50/50 average target value</t>
  </si>
  <si>
    <t xml:space="preserve">Implied target price band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</si>
</sst>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_)\%;\(0.0\)\%;0.0_)\%;@_)_%"/>
    <numFmt numFmtId="169" formatCode="#,##0.0_)_%;\(#,##0.0\)_%;0.0_)_%;@_)_%"/>
    <numFmt numFmtId="170" formatCode="#,##0.0_);\(#,##0.0\);#,##0.0_);@_)"/>
    <numFmt numFmtId="171" formatCode="&quot;$&quot;_(#,##0.00_);&quot;$&quot;\(#,##0.00\);&quot;$&quot;_(0.00_);@_)"/>
    <numFmt numFmtId="172" formatCode="#,##0.00_);\(#,##0.00\);0.00_);@_)"/>
    <numFmt numFmtId="173" formatCode="\€_(#,##0.00_);\€\(#,##0.00\);\€_(0.00_);@_)"/>
    <numFmt numFmtId="174" formatCode="#,##0_)\x;\(#,##0\)\x;0_)\x;@_)_x"/>
    <numFmt numFmtId="175" formatCode="#,##0_)_x;\(#,##0\)_x;0_)_x;@_)_x"/>
    <numFmt numFmtId="176" formatCode="* #,##0.00_);\(#,##0.00\)"/>
    <numFmt numFmtId="177" formatCode="&quot;$&quot;#,##0;\-&quot;$&quot;#,##0"/>
    <numFmt numFmtId="178" formatCode="#,##0;\-#,##0;&quot;-&quot;"/>
    <numFmt numFmtId="179" formatCode="0.000000"/>
    <numFmt numFmtId="180" formatCode="_(* #,##0,,_);_(* \(#,##0,,\);_(* &quot;-&quot;_)"/>
    <numFmt numFmtId="181" formatCode="_(* #,##0_);[Red]_(* \(#,##0\);_(* &quot;&quot;&quot;&quot;&quot;&quot;&quot;&quot;\ \-\ &quot;&quot;&quot;&quot;&quot;&quot;&quot;&quot;_);_(@_)"/>
    <numFmt numFmtId="182" formatCode="&quot;£&quot;#,##0;[Red]\-&quot;£&quot;#,##0"/>
    <numFmt numFmtId="183" formatCode="_(* #,##0,_);[Red]_(* \(#,##0,\);_(* &quot;&quot;&quot;&quot;&quot;&quot;&quot;&quot;\ \-\ &quot;&quot;&quot;&quot;&quot;&quot;&quot;&quot;_);_(@_)"/>
    <numFmt numFmtId="184" formatCode="0.00_);[Red]\(0.00\)"/>
    <numFmt numFmtId="185" formatCode="0%;\(0%\);;"/>
    <numFmt numFmtId="186" formatCode="&quot;£&quot;#,##0.00;[Red]\-&quot;£&quot;#,##0.00"/>
    <numFmt numFmtId="187" formatCode="_(* #,##0.000_);_(* \(#,##0.000\);_(* &quot;-&quot;_);_(@_)"/>
    <numFmt numFmtId="188" formatCode="0%;\(0%\);&quot;-&quot;"/>
    <numFmt numFmtId="189" formatCode="_-&quot;£&quot;* #,##0_-;\-&quot;£&quot;* #,##0_-;_-&quot;£&quot;* &quot;-&quot;_-;_-@_-"/>
    <numFmt numFmtId="190" formatCode="_(&quot;$&quot;* #,##0,_);_(&quot;$&quot;* \(#,##0,\);_(&quot;$&quot;* &quot;-&quot;_);_(@_)"/>
    <numFmt numFmtId="191" formatCode="#,##0\ ;\(#,##0.0\)"/>
    <numFmt numFmtId="192" formatCode="0.0"/>
    <numFmt numFmtId="193" formatCode="#,##0.00;\-#,##0.00;&quot;-&quot;"/>
    <numFmt numFmtId="194" formatCode="_._.* \(#,##0\)_%;_._.* #,##0_)_%;_._.* 0_)_%;_._.@_)_%"/>
    <numFmt numFmtId="195" formatCode="_._.&quot;$&quot;* \(#,##0\)_%;_._.&quot;$&quot;* #,##0_)_%;_._.&quot;$&quot;* 0_)_%;_._.@_)_%"/>
    <numFmt numFmtId="196" formatCode="&quot;$&quot;0.00_)"/>
    <numFmt numFmtId="197" formatCode="&quot;SFr.&quot;\ #,##0.00;&quot;SFr.&quot;\ \-#,##0.00"/>
    <numFmt numFmtId="198" formatCode="#,##0;\(#,##0\)"/>
    <numFmt numFmtId="199" formatCode="_([$€-2]* #,##0.00_);_([$€-2]* \(#,##0.00\);_([$€-2]* &quot;-&quot;??_)"/>
    <numFmt numFmtId="200" formatCode="_-* #,##0\ _D_M_-;\-* #,##0\ _D_M_-;_-* &quot;-&quot;\ _D_M_-;_-@_-"/>
    <numFmt numFmtId="201" formatCode="_-* #,##0.00\ _D_M_-;\-* #,##0.00\ _D_M_-;_-* &quot;-&quot;??\ _D_M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,##0.0_);\(#,##0.0\)"/>
    <numFmt numFmtId="205" formatCode="#,##0.0\ ;\(#,##0.0\)"/>
    <numFmt numFmtId="206" formatCode="0%;\(0%\)"/>
    <numFmt numFmtId="207" formatCode="&quot;SFr.&quot;#,##0;[Red]&quot;SFr.&quot;\-#,##0"/>
    <numFmt numFmtId="208" formatCode="#,##0.0000000000;\-#,##0.0000000000"/>
    <numFmt numFmtId="209" formatCode="#,##0.0;\-#,##0.0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#,##0.00000000;\-#,##0.00000000"/>
    <numFmt numFmtId="216" formatCode="#,##0.000000000;\-#,##0.000000000"/>
    <numFmt numFmtId="217" formatCode="#,##0___);\(#,##0.00\)"/>
    <numFmt numFmtId="218" formatCode="#,##0&quot;%&quot;"/>
    <numFmt numFmtId="219" formatCode="#,##0_);[Red]\(#,##0\);&quot;-&quot;"/>
    <numFmt numFmtId="220" formatCode="_-&quot;£&quot;* #,##0.00_-;\-&quot;£&quot;* #,##0.00_-;_-&quot;£&quot;* &quot;-&quot;??_-;_-@_-"/>
    <numFmt numFmtId="221" formatCode="*-"/>
    <numFmt numFmtId="222" formatCode="#,##0;[Red]\(#,##0\)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(* #,##0.0000_);_(* \(#,##0.0000\);_(* &quot;-&quot;??_);_(@_)"/>
    <numFmt numFmtId="226" formatCode="0.000%"/>
    <numFmt numFmtId="227" formatCode="0.0\x"/>
    <numFmt numFmtId="228" formatCode="&quot;$&quot;#,##0"/>
    <numFmt numFmtId="229" formatCode="0.000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</font>
    <font>
      <sz val="10"/>
      <color indexed="14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</font>
    <font>
      <sz val="10"/>
      <name val="Tms Rmn"/>
      <family val="1"/>
    </font>
    <font>
      <sz val="11"/>
      <color indexed="8"/>
      <name val="Calibri"/>
      <family val="2"/>
    </font>
    <font>
      <b/>
      <u/>
      <sz val="26"/>
      <color indexed="9"/>
      <name val="Arial"/>
      <family val="2"/>
    </font>
    <font>
      <sz val="10"/>
      <color indexed="10"/>
      <name val="Arial"/>
      <family val="2"/>
    </font>
    <font>
      <sz val="12"/>
      <name val="Helv"/>
    </font>
    <font>
      <sz val="10"/>
      <color rgb="FF404040"/>
      <name val="Segoe UI"/>
      <family val="2"/>
    </font>
    <font>
      <b/>
      <sz val="10"/>
      <color rgb="FF404040"/>
      <name val="Segoe UI"/>
      <family val="2"/>
    </font>
    <font>
      <b/>
      <sz val="10"/>
      <color indexed="10"/>
      <name val="Arial"/>
      <family val="2"/>
    </font>
    <font>
      <sz val="8"/>
      <name val="Tms Rmn"/>
    </font>
    <font>
      <b/>
      <u val="singleAccounting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u val="singleAccounting"/>
      <sz val="11"/>
      <color theme="2"/>
      <name val="Calibri"/>
      <family val="2"/>
      <scheme val="minor"/>
    </font>
    <font>
      <b/>
      <u/>
      <sz val="12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8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i/>
      <u/>
      <sz val="12"/>
      <color theme="3"/>
      <name val="Calibri"/>
      <family val="2"/>
      <scheme val="minor"/>
    </font>
    <font>
      <i/>
      <u val="singleAccounting"/>
      <sz val="11"/>
      <color theme="3"/>
      <name val="Calibri"/>
      <family val="2"/>
      <scheme val="minor"/>
    </font>
    <font>
      <b/>
      <i/>
      <u val="singleAccounting"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 val="singleAccounting"/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</borders>
  <cellStyleXfs count="3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4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5" applyNumberFormat="0" applyFill="0" applyAlignment="0" applyProtection="0"/>
    <xf numFmtId="0" fontId="9" fillId="0" borderId="16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11" fillId="0" borderId="0" applyNumberFormat="0" applyFill="0" applyBorder="0" applyAlignment="0" applyProtection="0"/>
    <xf numFmtId="0" fontId="12" fillId="0" borderId="0"/>
    <xf numFmtId="176" fontId="13" fillId="0" borderId="0">
      <alignment horizontal="center"/>
    </xf>
    <xf numFmtId="37" fontId="14" fillId="0" borderId="0"/>
    <xf numFmtId="37" fontId="15" fillId="0" borderId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6" fillId="0" borderId="2" applyAlignment="0" applyProtection="0"/>
    <xf numFmtId="177" fontId="16" fillId="0" borderId="2" applyAlignment="0" applyProtection="0"/>
    <xf numFmtId="177" fontId="16" fillId="0" borderId="2" applyAlignment="0" applyProtection="0"/>
    <xf numFmtId="177" fontId="1" fillId="0" borderId="0" applyAlignment="0" applyProtection="0"/>
    <xf numFmtId="178" fontId="17" fillId="0" borderId="0" applyFill="0" applyBorder="0" applyAlignment="0"/>
    <xf numFmtId="17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5" fontId="3" fillId="0" borderId="0" applyFill="0" applyBorder="0" applyAlignment="0"/>
    <xf numFmtId="186" fontId="3" fillId="0" borderId="0" applyFill="0" applyBorder="0" applyAlignment="0"/>
    <xf numFmtId="178" fontId="17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0" fontId="18" fillId="0" borderId="0" applyFill="0" applyBorder="0" applyProtection="0">
      <alignment horizontal="center"/>
      <protection locked="0"/>
    </xf>
    <xf numFmtId="0" fontId="19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1" fontId="19" fillId="0" borderId="7"/>
    <xf numFmtId="192" fontId="1" fillId="0" borderId="0"/>
    <xf numFmtId="0" fontId="12" fillId="0" borderId="7"/>
    <xf numFmtId="192" fontId="1" fillId="0" borderId="0"/>
    <xf numFmtId="17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Fill="0" applyBorder="0" applyAlignment="0" applyProtection="0">
      <protection locked="0"/>
    </xf>
    <xf numFmtId="193" fontId="3" fillId="0" borderId="0">
      <alignment horizontal="center"/>
    </xf>
    <xf numFmtId="194" fontId="23" fillId="0" borderId="0" applyFill="0" applyBorder="0" applyProtection="0"/>
    <xf numFmtId="195" fontId="24" fillId="0" borderId="0" applyFont="0" applyFill="0" applyBorder="0" applyAlignment="0" applyProtection="0"/>
    <xf numFmtId="196" fontId="25" fillId="0" borderId="17">
      <protection hidden="1"/>
    </xf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" fontId="13" fillId="0" borderId="0"/>
    <xf numFmtId="14" fontId="26" fillId="0" borderId="0">
      <alignment horizontal="center"/>
    </xf>
    <xf numFmtId="14" fontId="17" fillId="0" borderId="0" applyFill="0" applyBorder="0" applyAlignment="0"/>
    <xf numFmtId="15" fontId="27" fillId="5" borderId="0" applyNumberFormat="0" applyFont="0" applyFill="0" applyBorder="0" applyAlignment="0">
      <alignment horizontal="center" wrapText="1"/>
    </xf>
    <xf numFmtId="0" fontId="17" fillId="0" borderId="14" applyNumberFormat="0" applyFill="0" applyBorder="0" applyAlignment="0" applyProtection="0"/>
    <xf numFmtId="197" fontId="19" fillId="0" borderId="0" applyFont="0" applyFill="0" applyBorder="0" applyAlignment="0" applyProtection="0"/>
    <xf numFmtId="198" fontId="24" fillId="0" borderId="0" applyFont="0" applyFill="0" applyBorder="0" applyAlignment="0" applyProtection="0"/>
    <xf numFmtId="178" fontId="28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28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96" fontId="25" fillId="0" borderId="17">
      <protection hidden="1"/>
    </xf>
    <xf numFmtId="199" fontId="3" fillId="0" borderId="0" applyFont="0" applyFill="0" applyBorder="0" applyAlignment="0" applyProtection="0"/>
    <xf numFmtId="38" fontId="29" fillId="5" borderId="0" applyNumberFormat="0" applyBorder="0" applyAlignment="0" applyProtection="0"/>
    <xf numFmtId="0" fontId="30" fillId="0" borderId="18" applyNumberFormat="0" applyAlignment="0" applyProtection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30" fillId="0" borderId="9">
      <alignment horizontal="left" vertical="center"/>
    </xf>
    <xf numFmtId="0" fontId="30" fillId="0" borderId="9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14" fontId="31" fillId="6" borderId="17">
      <alignment horizontal="center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Fill="0" applyAlignment="0" applyProtection="0">
      <protection locked="0"/>
    </xf>
    <xf numFmtId="0" fontId="18" fillId="0" borderId="7" applyFill="0" applyAlignment="0" applyProtection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7" borderId="14" applyNumberFormat="0" applyBorder="0" applyAlignment="0" applyProtection="0"/>
    <xf numFmtId="178" fontId="35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35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04" fontId="13" fillId="0" borderId="7"/>
    <xf numFmtId="37" fontId="37" fillId="0" borderId="0"/>
    <xf numFmtId="205" fontId="19" fillId="0" borderId="0"/>
    <xf numFmtId="205" fontId="1" fillId="0" borderId="0"/>
    <xf numFmtId="206" fontId="3" fillId="0" borderId="0"/>
    <xf numFmtId="207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wrapText="1"/>
    </xf>
    <xf numFmtId="0" fontId="3" fillId="0" borderId="0"/>
    <xf numFmtId="0" fontId="39" fillId="0" borderId="0"/>
    <xf numFmtId="0" fontId="3" fillId="0" borderId="0"/>
    <xf numFmtId="0" fontId="3" fillId="0" borderId="0"/>
    <xf numFmtId="37" fontId="40" fillId="0" borderId="0"/>
    <xf numFmtId="0" fontId="1" fillId="0" borderId="0"/>
    <xf numFmtId="0" fontId="1" fillId="0" borderId="0"/>
    <xf numFmtId="0" fontId="3" fillId="0" borderId="0">
      <alignment wrapText="1"/>
    </xf>
    <xf numFmtId="0" fontId="3" fillId="0" borderId="0"/>
    <xf numFmtId="37" fontId="40" fillId="0" borderId="0"/>
    <xf numFmtId="0" fontId="3" fillId="0" borderId="0"/>
    <xf numFmtId="37" fontId="40" fillId="0" borderId="0"/>
    <xf numFmtId="0" fontId="1" fillId="0" borderId="0"/>
    <xf numFmtId="0" fontId="20" fillId="0" borderId="0"/>
    <xf numFmtId="37" fontId="1" fillId="0" borderId="0"/>
    <xf numFmtId="0" fontId="1" fillId="0" borderId="0"/>
    <xf numFmtId="37" fontId="1" fillId="0" borderId="0"/>
    <xf numFmtId="0" fontId="3" fillId="0" borderId="0">
      <alignment wrapText="1"/>
    </xf>
    <xf numFmtId="37" fontId="41" fillId="0" borderId="0"/>
    <xf numFmtId="0" fontId="3" fillId="0" borderId="0"/>
    <xf numFmtId="37" fontId="3" fillId="0" borderId="0"/>
    <xf numFmtId="37" fontId="3" fillId="0" borderId="0"/>
    <xf numFmtId="208" fontId="3" fillId="0" borderId="0"/>
    <xf numFmtId="209" fontId="3" fillId="0" borderId="0"/>
    <xf numFmtId="39" fontId="3" fillId="0" borderId="0"/>
    <xf numFmtId="39" fontId="3" fillId="0" borderId="0"/>
    <xf numFmtId="210" fontId="3" fillId="0" borderId="0"/>
    <xf numFmtId="211" fontId="3" fillId="0" borderId="0"/>
    <xf numFmtId="212" fontId="3" fillId="0" borderId="0"/>
    <xf numFmtId="213" fontId="3" fillId="0" borderId="0"/>
    <xf numFmtId="214" fontId="3" fillId="0" borderId="0"/>
    <xf numFmtId="215" fontId="3" fillId="0" borderId="0"/>
    <xf numFmtId="216" fontId="3" fillId="0" borderId="0"/>
    <xf numFmtId="217" fontId="36" fillId="0" borderId="0"/>
    <xf numFmtId="218" fontId="25" fillId="0" borderId="0">
      <protection hidden="1"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6" fillId="0" borderId="19" applyNumberFormat="0" applyBorder="0"/>
    <xf numFmtId="204" fontId="13" fillId="0" borderId="0"/>
    <xf numFmtId="0" fontId="43" fillId="8" borderId="20" applyNumberFormat="0" applyFont="0" applyFill="0" applyAlignment="0">
      <alignment horizontal="center" vertical="center"/>
    </xf>
    <xf numFmtId="178" fontId="44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44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37" fontId="40" fillId="0" borderId="21"/>
    <xf numFmtId="0" fontId="45" fillId="0" borderId="0"/>
    <xf numFmtId="0" fontId="19" fillId="0" borderId="0"/>
    <xf numFmtId="0" fontId="36" fillId="0" borderId="0"/>
    <xf numFmtId="37" fontId="46" fillId="0" borderId="17">
      <alignment horizontal="right"/>
      <protection locked="0"/>
    </xf>
    <xf numFmtId="37" fontId="47" fillId="0" borderId="17">
      <alignment horizontal="right"/>
      <protection locked="0"/>
    </xf>
    <xf numFmtId="49" fontId="17" fillId="0" borderId="0" applyFill="0" applyBorder="0" applyAlignment="0"/>
    <xf numFmtId="219" fontId="3" fillId="0" borderId="0" applyFill="0" applyBorder="0" applyAlignment="0"/>
    <xf numFmtId="220" fontId="3" fillId="0" borderId="0" applyFill="0" applyBorder="0" applyAlignment="0"/>
    <xf numFmtId="221" fontId="3" fillId="0" borderId="0" applyFill="0" applyBorder="0" applyAlignment="0"/>
    <xf numFmtId="222" fontId="3" fillId="0" borderId="0" applyFill="0" applyBorder="0" applyAlignment="0"/>
    <xf numFmtId="49" fontId="3" fillId="0" borderId="0"/>
    <xf numFmtId="0" fontId="48" fillId="0" borderId="0" applyFill="0" applyBorder="0" applyProtection="0">
      <alignment horizontal="left" vertical="top"/>
    </xf>
    <xf numFmtId="40" fontId="4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0" fillId="0" borderId="7"/>
    <xf numFmtId="37" fontId="40" fillId="0" borderId="22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525">
    <xf numFmtId="0" fontId="0" fillId="0" borderId="0" xfId="0"/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165" fontId="4" fillId="0" borderId="0" xfId="1" applyNumberFormat="1" applyFont="1" applyAlignment="1">
      <alignment horizontal="right"/>
    </xf>
    <xf numFmtId="9" fontId="4" fillId="0" borderId="0" xfId="2" applyFont="1" applyAlignment="1">
      <alignment horizontal="right"/>
    </xf>
    <xf numFmtId="43" fontId="4" fillId="0" borderId="0" xfId="1" applyFont="1"/>
    <xf numFmtId="165" fontId="4" fillId="0" borderId="5" xfId="1" applyNumberFormat="1" applyFont="1" applyBorder="1" applyAlignment="1">
      <alignment horizontal="right"/>
    </xf>
    <xf numFmtId="164" fontId="52" fillId="0" borderId="0" xfId="1" quotePrefix="1" applyNumberFormat="1" applyFont="1" applyAlignment="1">
      <alignment horizontal="right"/>
    </xf>
    <xf numFmtId="164" fontId="52" fillId="0" borderId="5" xfId="1" quotePrefix="1" applyNumberFormat="1" applyFont="1" applyBorder="1" applyAlignment="1">
      <alignment horizontal="right"/>
    </xf>
    <xf numFmtId="165" fontId="4" fillId="0" borderId="5" xfId="1" quotePrefix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1" fillId="0" borderId="0" xfId="0" applyFont="1"/>
    <xf numFmtId="9" fontId="4" fillId="0" borderId="5" xfId="2" applyFont="1" applyBorder="1" applyAlignment="1">
      <alignment horizontal="right"/>
    </xf>
    <xf numFmtId="165" fontId="4" fillId="0" borderId="31" xfId="1" applyNumberFormat="1" applyFont="1" applyBorder="1" applyAlignment="1">
      <alignment horizontal="right"/>
    </xf>
    <xf numFmtId="165" fontId="4" fillId="0" borderId="32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left"/>
    </xf>
    <xf numFmtId="165" fontId="4" fillId="0" borderId="2" xfId="1" applyNumberFormat="1" applyFont="1" applyBorder="1" applyAlignment="1">
      <alignment horizontal="right"/>
    </xf>
    <xf numFmtId="164" fontId="52" fillId="0" borderId="2" xfId="1" quotePrefix="1" applyNumberFormat="1" applyFont="1" applyBorder="1" applyAlignment="1">
      <alignment horizontal="right"/>
    </xf>
    <xf numFmtId="9" fontId="51" fillId="0" borderId="2" xfId="2" quotePrefix="1" applyFont="1" applyBorder="1" applyAlignment="1">
      <alignment horizontal="right"/>
    </xf>
    <xf numFmtId="164" fontId="50" fillId="3" borderId="0" xfId="1" quotePrefix="1" applyNumberFormat="1" applyFont="1" applyFill="1" applyAlignment="1">
      <alignment horizontal="right"/>
    </xf>
    <xf numFmtId="164" fontId="54" fillId="2" borderId="2" xfId="1" quotePrefix="1" applyNumberFormat="1" applyFont="1" applyFill="1" applyBorder="1" applyAlignment="1">
      <alignment horizontal="right"/>
    </xf>
    <xf numFmtId="164" fontId="55" fillId="2" borderId="0" xfId="1" quotePrefix="1" applyNumberFormat="1" applyFont="1" applyFill="1" applyAlignment="1">
      <alignment horizontal="right"/>
    </xf>
    <xf numFmtId="164" fontId="2" fillId="3" borderId="2" xfId="1" quotePrefix="1" applyNumberFormat="1" applyFont="1" applyFill="1" applyBorder="1" applyAlignment="1">
      <alignment horizontal="right"/>
    </xf>
    <xf numFmtId="165" fontId="58" fillId="0" borderId="0" xfId="1" applyNumberFormat="1" applyFont="1" applyAlignment="1">
      <alignment horizontal="right"/>
    </xf>
    <xf numFmtId="165" fontId="58" fillId="0" borderId="5" xfId="1" applyNumberFormat="1" applyFont="1" applyBorder="1" applyAlignment="1">
      <alignment horizontal="right"/>
    </xf>
    <xf numFmtId="0" fontId="4" fillId="0" borderId="4" xfId="0" applyFont="1" applyBorder="1"/>
    <xf numFmtId="165" fontId="60" fillId="0" borderId="0" xfId="1" applyNumberFormat="1" applyFont="1" applyAlignment="1">
      <alignment horizontal="right"/>
    </xf>
    <xf numFmtId="165" fontId="60" fillId="0" borderId="5" xfId="1" applyNumberFormat="1" applyFont="1" applyBorder="1" applyAlignment="1">
      <alignment horizontal="right"/>
    </xf>
    <xf numFmtId="0" fontId="59" fillId="0" borderId="4" xfId="0" applyFont="1" applyBorder="1"/>
    <xf numFmtId="0" fontId="59" fillId="0" borderId="0" xfId="0" applyFont="1"/>
    <xf numFmtId="165" fontId="59" fillId="0" borderId="0" xfId="1" applyNumberFormat="1" applyFont="1" applyAlignment="1">
      <alignment horizontal="right"/>
    </xf>
    <xf numFmtId="165" fontId="59" fillId="0" borderId="5" xfId="1" applyNumberFormat="1" applyFont="1" applyBorder="1" applyAlignment="1">
      <alignment horizontal="right"/>
    </xf>
    <xf numFmtId="0" fontId="58" fillId="0" borderId="0" xfId="0" applyFont="1"/>
    <xf numFmtId="43" fontId="58" fillId="0" borderId="0" xfId="1" applyFont="1" applyAlignment="1">
      <alignment horizontal="right"/>
    </xf>
    <xf numFmtId="0" fontId="58" fillId="0" borderId="3" xfId="0" applyFont="1" applyBorder="1" applyAlignment="1">
      <alignment horizontal="left" indent="1"/>
    </xf>
    <xf numFmtId="0" fontId="58" fillId="10" borderId="4" xfId="0" applyFont="1" applyFill="1" applyBorder="1" applyAlignment="1">
      <alignment horizontal="left"/>
    </xf>
    <xf numFmtId="165" fontId="58" fillId="0" borderId="0" xfId="1" quotePrefix="1" applyNumberFormat="1" applyFont="1" applyAlignment="1">
      <alignment horizontal="right"/>
    </xf>
    <xf numFmtId="165" fontId="59" fillId="0" borderId="7" xfId="1" applyNumberFormat="1" applyFont="1" applyBorder="1" applyAlignment="1">
      <alignment horizontal="right"/>
    </xf>
    <xf numFmtId="166" fontId="58" fillId="0" borderId="0" xfId="2" quotePrefix="1" applyNumberFormat="1" applyFont="1" applyAlignment="1">
      <alignment horizontal="right"/>
    </xf>
    <xf numFmtId="165" fontId="58" fillId="0" borderId="5" xfId="1" quotePrefix="1" applyNumberFormat="1" applyFont="1" applyBorder="1" applyAlignment="1">
      <alignment horizontal="right"/>
    </xf>
    <xf numFmtId="0" fontId="58" fillId="10" borderId="3" xfId="0" applyFont="1" applyFill="1" applyBorder="1" applyAlignment="1">
      <alignment horizontal="left"/>
    </xf>
    <xf numFmtId="9" fontId="58" fillId="0" borderId="0" xfId="2" quotePrefix="1" applyFont="1" applyAlignment="1">
      <alignment horizontal="right"/>
    </xf>
    <xf numFmtId="165" fontId="62" fillId="0" borderId="0" xfId="2" applyNumberFormat="1" applyFont="1" applyAlignment="1">
      <alignment horizontal="right"/>
    </xf>
    <xf numFmtId="166" fontId="58" fillId="0" borderId="0" xfId="2" applyNumberFormat="1" applyFont="1" applyAlignment="1">
      <alignment horizontal="right"/>
    </xf>
    <xf numFmtId="166" fontId="58" fillId="0" borderId="5" xfId="2" applyNumberFormat="1" applyFont="1" applyBorder="1" applyAlignment="1">
      <alignment horizontal="right"/>
    </xf>
    <xf numFmtId="9" fontId="58" fillId="0" borderId="0" xfId="2" applyFont="1" applyAlignment="1">
      <alignment horizontal="right"/>
    </xf>
    <xf numFmtId="0" fontId="58" fillId="0" borderId="3" xfId="0" applyFont="1" applyBorder="1"/>
    <xf numFmtId="164" fontId="58" fillId="0" borderId="0" xfId="1" quotePrefix="1" applyNumberFormat="1" applyFont="1" applyAlignment="1">
      <alignment horizontal="right"/>
    </xf>
    <xf numFmtId="164" fontId="58" fillId="0" borderId="5" xfId="1" quotePrefix="1" applyNumberFormat="1" applyFont="1" applyBorder="1" applyAlignment="1">
      <alignment horizontal="right"/>
    </xf>
    <xf numFmtId="165" fontId="60" fillId="9" borderId="0" xfId="1" applyNumberFormat="1" applyFont="1" applyFill="1" applyAlignment="1">
      <alignment horizontal="right"/>
    </xf>
    <xf numFmtId="9" fontId="58" fillId="0" borderId="5" xfId="2" quotePrefix="1" applyFont="1" applyBorder="1" applyAlignment="1">
      <alignment horizontal="right"/>
    </xf>
    <xf numFmtId="0" fontId="61" fillId="0" borderId="25" xfId="0" applyFont="1" applyBorder="1" applyAlignment="1">
      <alignment horizontal="left"/>
    </xf>
    <xf numFmtId="7" fontId="58" fillId="0" borderId="0" xfId="1" applyNumberFormat="1" applyFont="1" applyAlignment="1">
      <alignment horizontal="right"/>
    </xf>
    <xf numFmtId="7" fontId="4" fillId="0" borderId="5" xfId="1" applyNumberFormat="1" applyFont="1" applyBorder="1" applyAlignment="1">
      <alignment horizontal="right"/>
    </xf>
    <xf numFmtId="43" fontId="58" fillId="0" borderId="7" xfId="1" applyFont="1" applyBorder="1" applyAlignment="1">
      <alignment horizontal="right"/>
    </xf>
    <xf numFmtId="43" fontId="58" fillId="0" borderId="8" xfId="1" applyFont="1" applyBorder="1" applyAlignment="1">
      <alignment horizontal="right"/>
    </xf>
    <xf numFmtId="165" fontId="58" fillId="0" borderId="8" xfId="1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58" fillId="0" borderId="3" xfId="0" applyFont="1" applyBorder="1" applyAlignment="1">
      <alignment horizontal="left"/>
    </xf>
    <xf numFmtId="0" fontId="58" fillId="0" borderId="4" xfId="0" applyFont="1" applyBorder="1" applyAlignment="1">
      <alignment horizontal="left"/>
    </xf>
    <xf numFmtId="0" fontId="59" fillId="0" borderId="3" xfId="0" applyFont="1" applyBorder="1" applyAlignment="1">
      <alignment horizontal="left" indent="1"/>
    </xf>
    <xf numFmtId="0" fontId="59" fillId="0" borderId="4" xfId="0" applyFont="1" applyBorder="1" applyAlignment="1">
      <alignment horizontal="left" indent="1"/>
    </xf>
    <xf numFmtId="0" fontId="57" fillId="2" borderId="3" xfId="0" applyFont="1" applyFill="1" applyBorder="1" applyAlignment="1">
      <alignment horizontal="left"/>
    </xf>
    <xf numFmtId="0" fontId="61" fillId="10" borderId="4" xfId="0" applyFont="1" applyFill="1" applyBorder="1" applyAlignment="1">
      <alignment horizontal="left"/>
    </xf>
    <xf numFmtId="0" fontId="58" fillId="0" borderId="25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59" fillId="0" borderId="4" xfId="0" applyFont="1" applyBorder="1" applyAlignment="1">
      <alignment horizontal="left"/>
    </xf>
    <xf numFmtId="0" fontId="58" fillId="0" borderId="3" xfId="0" applyFont="1" applyBorder="1" applyAlignment="1">
      <alignment horizontal="left" indent="2"/>
    </xf>
    <xf numFmtId="0" fontId="58" fillId="0" borderId="6" xfId="0" applyFont="1" applyBorder="1" applyAlignment="1">
      <alignment horizontal="left"/>
    </xf>
    <xf numFmtId="0" fontId="59" fillId="0" borderId="3" xfId="0" applyFont="1" applyBorder="1" applyAlignment="1">
      <alignment horizontal="left" indent="2"/>
    </xf>
    <xf numFmtId="165" fontId="59" fillId="10" borderId="0" xfId="1" applyNumberFormat="1" applyFont="1" applyFill="1" applyAlignment="1">
      <alignment horizontal="right"/>
    </xf>
    <xf numFmtId="165" fontId="58" fillId="10" borderId="0" xfId="1" applyNumberFormat="1" applyFont="1" applyFill="1" applyAlignment="1">
      <alignment horizontal="right"/>
    </xf>
    <xf numFmtId="165" fontId="58" fillId="10" borderId="5" xfId="1" applyNumberFormat="1" applyFont="1" applyFill="1" applyBorder="1" applyAlignment="1">
      <alignment horizontal="right"/>
    </xf>
    <xf numFmtId="165" fontId="58" fillId="10" borderId="30" xfId="1" applyNumberFormat="1" applyFont="1" applyFill="1" applyBorder="1" applyAlignment="1">
      <alignment horizontal="right"/>
    </xf>
    <xf numFmtId="165" fontId="58" fillId="10" borderId="29" xfId="1" applyNumberFormat="1" applyFont="1" applyFill="1" applyBorder="1" applyAlignment="1">
      <alignment horizontal="right"/>
    </xf>
    <xf numFmtId="164" fontId="54" fillId="2" borderId="33" xfId="1" quotePrefix="1" applyNumberFormat="1" applyFont="1" applyFill="1" applyBorder="1" applyAlignment="1">
      <alignment horizontal="right"/>
    </xf>
    <xf numFmtId="164" fontId="55" fillId="2" borderId="5" xfId="1" quotePrefix="1" applyNumberFormat="1" applyFont="1" applyFill="1" applyBorder="1" applyAlignment="1">
      <alignment horizontal="right"/>
    </xf>
    <xf numFmtId="164" fontId="2" fillId="3" borderId="33" xfId="1" quotePrefix="1" applyNumberFormat="1" applyFont="1" applyFill="1" applyBorder="1" applyAlignment="1">
      <alignment horizontal="right"/>
    </xf>
    <xf numFmtId="164" fontId="50" fillId="3" borderId="5" xfId="1" quotePrefix="1" applyNumberFormat="1" applyFont="1" applyFill="1" applyBorder="1" applyAlignment="1">
      <alignment horizontal="right"/>
    </xf>
    <xf numFmtId="0" fontId="57" fillId="2" borderId="4" xfId="0" applyFont="1" applyFill="1" applyBorder="1" applyAlignment="1">
      <alignment horizontal="left"/>
    </xf>
    <xf numFmtId="166" fontId="4" fillId="0" borderId="0" xfId="2" applyNumberFormat="1" applyFont="1" applyAlignment="1">
      <alignment horizontal="right"/>
    </xf>
    <xf numFmtId="167" fontId="58" fillId="0" borderId="0" xfId="1" applyNumberFormat="1" applyFont="1" applyAlignment="1">
      <alignment horizontal="right"/>
    </xf>
    <xf numFmtId="166" fontId="58" fillId="0" borderId="0" xfId="1" applyNumberFormat="1" applyFont="1" applyAlignment="1">
      <alignment horizontal="right"/>
    </xf>
    <xf numFmtId="165" fontId="58" fillId="0" borderId="0" xfId="1" applyNumberFormat="1" applyFont="1" applyAlignment="1">
      <alignment horizontal="left"/>
    </xf>
    <xf numFmtId="43" fontId="58" fillId="0" borderId="0" xfId="1" applyFont="1" applyAlignment="1">
      <alignment horizontal="left"/>
    </xf>
    <xf numFmtId="166" fontId="58" fillId="0" borderId="0" xfId="2" applyNumberFormat="1" applyFont="1" applyAlignment="1">
      <alignment horizontal="left"/>
    </xf>
    <xf numFmtId="9" fontId="58" fillId="0" borderId="0" xfId="1" applyNumberFormat="1" applyFont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4" xfId="0" applyFont="1" applyBorder="1"/>
    <xf numFmtId="0" fontId="58" fillId="0" borderId="12" xfId="0" applyFont="1" applyBorder="1"/>
    <xf numFmtId="0" fontId="58" fillId="0" borderId="13" xfId="0" applyFont="1" applyBorder="1"/>
    <xf numFmtId="0" fontId="58" fillId="10" borderId="0" xfId="0" applyFont="1" applyFill="1" applyAlignment="1">
      <alignment horizontal="left"/>
    </xf>
    <xf numFmtId="9" fontId="4" fillId="0" borderId="0" xfId="1" applyNumberFormat="1" applyFont="1"/>
    <xf numFmtId="0" fontId="58" fillId="0" borderId="3" xfId="3" applyFont="1" applyBorder="1" applyAlignment="1">
      <alignment horizontal="left" vertical="top"/>
    </xf>
    <xf numFmtId="0" fontId="58" fillId="0" borderId="4" xfId="3" applyFont="1" applyBorder="1" applyAlignment="1">
      <alignment horizontal="left" vertical="top"/>
    </xf>
    <xf numFmtId="17" fontId="58" fillId="0" borderId="0" xfId="1" applyNumberFormat="1" applyFont="1" applyAlignment="1">
      <alignment horizontal="right" wrapText="1"/>
    </xf>
    <xf numFmtId="0" fontId="58" fillId="0" borderId="4" xfId="0" applyFont="1" applyBorder="1" applyAlignment="1">
      <alignment horizontal="left" indent="1"/>
    </xf>
    <xf numFmtId="0" fontId="58" fillId="0" borderId="3" xfId="0" applyFont="1" applyBorder="1" applyAlignment="1">
      <alignment horizontal="left" indent="3"/>
    </xf>
    <xf numFmtId="0" fontId="59" fillId="0" borderId="3" xfId="0" applyFont="1" applyBorder="1" applyAlignment="1">
      <alignment horizontal="left" indent="4"/>
    </xf>
    <xf numFmtId="0" fontId="58" fillId="0" borderId="3" xfId="0" applyFont="1" applyBorder="1" applyAlignment="1">
      <alignment horizontal="left" indent="5"/>
    </xf>
    <xf numFmtId="164" fontId="58" fillId="0" borderId="0" xfId="1" applyNumberFormat="1" applyFont="1" applyAlignment="1">
      <alignment horizontal="right"/>
    </xf>
    <xf numFmtId="164" fontId="58" fillId="0" borderId="5" xfId="1" applyNumberFormat="1" applyFont="1" applyBorder="1" applyAlignment="1">
      <alignment horizontal="right"/>
    </xf>
    <xf numFmtId="164" fontId="59" fillId="0" borderId="0" xfId="1" applyNumberFormat="1" applyFont="1" applyAlignment="1">
      <alignment horizontal="right"/>
    </xf>
    <xf numFmtId="164" fontId="59" fillId="0" borderId="5" xfId="1" applyNumberFormat="1" applyFont="1" applyBorder="1" applyAlignment="1">
      <alignment horizontal="right"/>
    </xf>
    <xf numFmtId="164" fontId="60" fillId="0" borderId="0" xfId="1" applyNumberFormat="1" applyFont="1" applyAlignment="1">
      <alignment horizontal="right"/>
    </xf>
    <xf numFmtId="165" fontId="51" fillId="0" borderId="5" xfId="1" quotePrefix="1" applyNumberFormat="1" applyFont="1" applyBorder="1" applyAlignment="1">
      <alignment horizontal="right"/>
    </xf>
    <xf numFmtId="165" fontId="4" fillId="0" borderId="29" xfId="1" quotePrefix="1" applyNumberFormat="1" applyFont="1" applyBorder="1" applyAlignment="1">
      <alignment horizontal="right"/>
    </xf>
    <xf numFmtId="164" fontId="51" fillId="0" borderId="5" xfId="1" quotePrefix="1" applyNumberFormat="1" applyFont="1" applyBorder="1" applyAlignment="1">
      <alignment horizontal="right"/>
    </xf>
    <xf numFmtId="0" fontId="65" fillId="0" borderId="0" xfId="0" applyFont="1"/>
    <xf numFmtId="0" fontId="65" fillId="0" borderId="3" xfId="0" applyFont="1" applyBorder="1" applyAlignment="1">
      <alignment horizontal="left"/>
    </xf>
    <xf numFmtId="0" fontId="65" fillId="0" borderId="4" xfId="0" applyFont="1" applyBorder="1" applyAlignment="1">
      <alignment horizontal="left"/>
    </xf>
    <xf numFmtId="165" fontId="65" fillId="0" borderId="0" xfId="1" applyNumberFormat="1" applyFont="1" applyAlignment="1">
      <alignment horizontal="right"/>
    </xf>
    <xf numFmtId="165" fontId="65" fillId="9" borderId="0" xfId="1" applyNumberFormat="1" applyFont="1" applyFill="1" applyAlignment="1">
      <alignment horizontal="right"/>
    </xf>
    <xf numFmtId="165" fontId="65" fillId="0" borderId="5" xfId="1" quotePrefix="1" applyNumberFormat="1" applyFont="1" applyBorder="1" applyAlignment="1">
      <alignment horizontal="right"/>
    </xf>
    <xf numFmtId="167" fontId="65" fillId="9" borderId="0" xfId="1" applyNumberFormat="1" applyFont="1" applyFill="1" applyAlignment="1">
      <alignment horizontal="right"/>
    </xf>
    <xf numFmtId="0" fontId="65" fillId="0" borderId="3" xfId="0" applyFont="1" applyBorder="1" applyAlignment="1">
      <alignment horizontal="left" indent="2"/>
    </xf>
    <xf numFmtId="0" fontId="65" fillId="0" borderId="4" xfId="0" applyFont="1" applyBorder="1" applyAlignment="1">
      <alignment horizontal="left" indent="1"/>
    </xf>
    <xf numFmtId="164" fontId="65" fillId="0" borderId="0" xfId="1" applyNumberFormat="1" applyFont="1" applyAlignment="1">
      <alignment horizontal="right"/>
    </xf>
    <xf numFmtId="164" fontId="65" fillId="0" borderId="5" xfId="1" quotePrefix="1" applyNumberFormat="1" applyFont="1" applyBorder="1" applyAlignment="1">
      <alignment horizontal="right"/>
    </xf>
    <xf numFmtId="167" fontId="65" fillId="0" borderId="0" xfId="1" applyNumberFormat="1" applyFont="1" applyAlignment="1">
      <alignment horizontal="right"/>
    </xf>
    <xf numFmtId="165" fontId="59" fillId="0" borderId="31" xfId="1" applyNumberFormat="1" applyFont="1" applyBorder="1" applyAlignment="1">
      <alignment horizontal="right"/>
    </xf>
    <xf numFmtId="165" fontId="51" fillId="0" borderId="32" xfId="1" quotePrefix="1" applyNumberFormat="1" applyFont="1" applyBorder="1" applyAlignment="1">
      <alignment horizontal="right"/>
    </xf>
    <xf numFmtId="0" fontId="58" fillId="0" borderId="12" xfId="0" applyFont="1" applyBorder="1" applyAlignment="1">
      <alignment horizontal="left" indent="2"/>
    </xf>
    <xf numFmtId="0" fontId="58" fillId="0" borderId="13" xfId="0" applyFont="1" applyBorder="1" applyAlignment="1">
      <alignment horizontal="left" indent="1"/>
    </xf>
    <xf numFmtId="164" fontId="58" fillId="0" borderId="0" xfId="2" applyNumberFormat="1" applyFont="1" applyAlignment="1">
      <alignment horizontal="right"/>
    </xf>
    <xf numFmtId="164" fontId="60" fillId="0" borderId="0" xfId="2" applyNumberFormat="1" applyFont="1" applyAlignment="1">
      <alignment horizontal="right"/>
    </xf>
    <xf numFmtId="43" fontId="65" fillId="0" borderId="0" xfId="1" applyFont="1"/>
    <xf numFmtId="43" fontId="65" fillId="0" borderId="4" xfId="1" applyFont="1" applyBorder="1"/>
    <xf numFmtId="43" fontId="65" fillId="0" borderId="5" xfId="1" quotePrefix="1" applyFont="1" applyBorder="1" applyAlignment="1">
      <alignment horizontal="right"/>
    </xf>
    <xf numFmtId="43" fontId="65" fillId="0" borderId="3" xfId="1" applyFont="1" applyBorder="1" applyAlignment="1">
      <alignment horizontal="left" indent="4"/>
    </xf>
    <xf numFmtId="166" fontId="65" fillId="0" borderId="0" xfId="2" applyNumberFormat="1" applyFont="1" applyAlignment="1">
      <alignment horizontal="right"/>
    </xf>
    <xf numFmtId="164" fontId="58" fillId="0" borderId="32" xfId="1" applyNumberFormat="1" applyFont="1" applyBorder="1" applyAlignment="1">
      <alignment horizontal="right"/>
    </xf>
    <xf numFmtId="164" fontId="60" fillId="0" borderId="5" xfId="2" applyNumberFormat="1" applyFont="1" applyBorder="1" applyAlignment="1">
      <alignment horizontal="right"/>
    </xf>
    <xf numFmtId="0" fontId="67" fillId="0" borderId="0" xfId="0" applyFont="1"/>
    <xf numFmtId="0" fontId="68" fillId="0" borderId="4" xfId="0" applyFont="1" applyBorder="1" applyAlignment="1">
      <alignment horizontal="left"/>
    </xf>
    <xf numFmtId="0" fontId="66" fillId="0" borderId="13" xfId="0" applyFont="1" applyBorder="1"/>
    <xf numFmtId="9" fontId="62" fillId="0" borderId="0" xfId="2" applyFont="1" applyAlignment="1">
      <alignment horizontal="right"/>
    </xf>
    <xf numFmtId="0" fontId="66" fillId="0" borderId="26" xfId="0" applyFont="1" applyBorder="1" applyAlignment="1">
      <alignment horizontal="left"/>
    </xf>
    <xf numFmtId="0" fontId="66" fillId="0" borderId="12" xfId="0" applyFont="1" applyBorder="1" applyAlignment="1">
      <alignment horizontal="left" indent="2"/>
    </xf>
    <xf numFmtId="0" fontId="66" fillId="0" borderId="13" xfId="0" applyFont="1" applyBorder="1" applyAlignment="1">
      <alignment horizontal="left"/>
    </xf>
    <xf numFmtId="0" fontId="65" fillId="0" borderId="25" xfId="0" applyFont="1" applyBorder="1" applyAlignment="1">
      <alignment horizontal="left" indent="1"/>
    </xf>
    <xf numFmtId="0" fontId="65" fillId="0" borderId="26" xfId="0" applyFont="1" applyBorder="1"/>
    <xf numFmtId="0" fontId="66" fillId="0" borderId="35" xfId="0" applyFont="1" applyBorder="1" applyAlignment="1">
      <alignment horizontal="left" indent="2"/>
    </xf>
    <xf numFmtId="0" fontId="58" fillId="10" borderId="4" xfId="0" applyFont="1" applyFill="1" applyBorder="1" applyAlignment="1">
      <alignment horizontal="left" indent="1"/>
    </xf>
    <xf numFmtId="9" fontId="58" fillId="0" borderId="7" xfId="2" applyFont="1" applyBorder="1" applyAlignment="1">
      <alignment horizontal="right"/>
    </xf>
    <xf numFmtId="164" fontId="58" fillId="0" borderId="31" xfId="1" applyNumberFormat="1" applyFont="1" applyBorder="1" applyAlignment="1">
      <alignment horizontal="right"/>
    </xf>
    <xf numFmtId="166" fontId="58" fillId="0" borderId="7" xfId="2" quotePrefix="1" applyNumberFormat="1" applyFont="1" applyBorder="1" applyAlignment="1">
      <alignment horizontal="right"/>
    </xf>
    <xf numFmtId="10" fontId="4" fillId="0" borderId="0" xfId="2" applyNumberFormat="1" applyFont="1" applyAlignment="1">
      <alignment horizontal="right"/>
    </xf>
    <xf numFmtId="0" fontId="4" fillId="0" borderId="10" xfId="0" applyFont="1" applyBorder="1" applyAlignment="1">
      <alignment horizontal="left"/>
    </xf>
    <xf numFmtId="43" fontId="51" fillId="0" borderId="0" xfId="0" applyNumberFormat="1" applyFont="1" applyAlignment="1">
      <alignment horizontal="left"/>
    </xf>
    <xf numFmtId="164" fontId="59" fillId="0" borderId="5" xfId="1" quotePrefix="1" applyNumberFormat="1" applyFont="1" applyBorder="1" applyAlignment="1">
      <alignment horizontal="right"/>
    </xf>
    <xf numFmtId="165" fontId="60" fillId="10" borderId="5" xfId="1" applyNumberFormat="1" applyFont="1" applyFill="1" applyBorder="1" applyAlignment="1">
      <alignment horizontal="right"/>
    </xf>
    <xf numFmtId="165" fontId="59" fillId="10" borderId="5" xfId="1" applyNumberFormat="1" applyFont="1" applyFill="1" applyBorder="1" applyAlignment="1">
      <alignment horizontal="right"/>
    </xf>
    <xf numFmtId="165" fontId="50" fillId="3" borderId="0" xfId="1" quotePrefix="1" applyNumberFormat="1" applyFont="1" applyFill="1" applyAlignment="1">
      <alignment horizontal="right"/>
    </xf>
    <xf numFmtId="165" fontId="50" fillId="3" borderId="5" xfId="1" quotePrefix="1" applyNumberFormat="1" applyFont="1" applyFill="1" applyBorder="1" applyAlignment="1">
      <alignment horizontal="right"/>
    </xf>
    <xf numFmtId="165" fontId="59" fillId="0" borderId="8" xfId="1" applyNumberFormat="1" applyFont="1" applyBorder="1" applyAlignment="1">
      <alignment horizontal="right"/>
    </xf>
    <xf numFmtId="165" fontId="4" fillId="10" borderId="31" xfId="1" applyNumberFormat="1" applyFont="1" applyFill="1" applyBorder="1" applyAlignment="1">
      <alignment horizontal="right"/>
    </xf>
    <xf numFmtId="165" fontId="58" fillId="10" borderId="32" xfId="1" applyNumberFormat="1" applyFont="1" applyFill="1" applyBorder="1" applyAlignment="1">
      <alignment horizontal="right"/>
    </xf>
    <xf numFmtId="165" fontId="60" fillId="10" borderId="0" xfId="1" applyNumberFormat="1" applyFont="1" applyFill="1" applyAlignment="1">
      <alignment horizontal="right"/>
    </xf>
    <xf numFmtId="165" fontId="58" fillId="0" borderId="32" xfId="1" applyNumberFormat="1" applyFont="1" applyBorder="1" applyAlignment="1">
      <alignment horizontal="right"/>
    </xf>
    <xf numFmtId="165" fontId="58" fillId="10" borderId="31" xfId="1" applyNumberFormat="1" applyFont="1" applyFill="1" applyBorder="1" applyAlignment="1">
      <alignment horizontal="right"/>
    </xf>
    <xf numFmtId="165" fontId="59" fillId="10" borderId="32" xfId="1" applyNumberFormat="1" applyFont="1" applyFill="1" applyBorder="1" applyAlignment="1">
      <alignment horizontal="right"/>
    </xf>
    <xf numFmtId="0" fontId="58" fillId="0" borderId="4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71" fillId="0" borderId="0" xfId="0" applyFont="1"/>
    <xf numFmtId="0" fontId="4" fillId="0" borderId="0" xfId="0" applyFont="1" applyFill="1"/>
    <xf numFmtId="0" fontId="66" fillId="0" borderId="37" xfId="0" applyFont="1" applyBorder="1" applyAlignment="1">
      <alignment horizontal="left" indent="1"/>
    </xf>
    <xf numFmtId="165" fontId="58" fillId="0" borderId="0" xfId="1" applyNumberFormat="1" applyFont="1" applyFill="1" applyAlignment="1">
      <alignment horizontal="right"/>
    </xf>
    <xf numFmtId="165" fontId="58" fillId="0" borderId="5" xfId="1" applyNumberFormat="1" applyFont="1" applyFill="1" applyBorder="1" applyAlignment="1">
      <alignment horizontal="right"/>
    </xf>
    <xf numFmtId="43" fontId="58" fillId="0" borderId="0" xfId="1" applyNumberFormat="1" applyFont="1" applyFill="1" applyAlignment="1">
      <alignment horizontal="right"/>
    </xf>
    <xf numFmtId="164" fontId="59" fillId="0" borderId="0" xfId="1" applyNumberFormat="1" applyFont="1" applyFill="1" applyAlignment="1">
      <alignment horizontal="right"/>
    </xf>
    <xf numFmtId="164" fontId="60" fillId="0" borderId="0" xfId="1" applyNumberFormat="1" applyFont="1" applyFill="1" applyAlignment="1">
      <alignment horizontal="right"/>
    </xf>
    <xf numFmtId="164" fontId="58" fillId="0" borderId="0" xfId="1" applyNumberFormat="1" applyFont="1" applyFill="1" applyAlignment="1">
      <alignment horizontal="right"/>
    </xf>
    <xf numFmtId="164" fontId="50" fillId="0" borderId="0" xfId="1" applyNumberFormat="1" applyFont="1" applyFill="1" applyAlignment="1">
      <alignment horizontal="right"/>
    </xf>
    <xf numFmtId="164" fontId="69" fillId="0" borderId="31" xfId="1" applyNumberFormat="1" applyFont="1" applyFill="1" applyBorder="1" applyAlignment="1">
      <alignment horizontal="right"/>
    </xf>
    <xf numFmtId="164" fontId="66" fillId="0" borderId="30" xfId="1" applyNumberFormat="1" applyFont="1" applyFill="1" applyBorder="1" applyAlignment="1">
      <alignment horizontal="right"/>
    </xf>
    <xf numFmtId="164" fontId="70" fillId="0" borderId="31" xfId="1" applyNumberFormat="1" applyFont="1" applyFill="1" applyBorder="1" applyAlignment="1">
      <alignment horizontal="right"/>
    </xf>
    <xf numFmtId="43" fontId="59" fillId="0" borderId="0" xfId="1" applyFont="1" applyFill="1" applyAlignment="1">
      <alignment horizontal="right"/>
    </xf>
    <xf numFmtId="43" fontId="66" fillId="0" borderId="36" xfId="1" applyFont="1" applyFill="1" applyBorder="1" applyAlignment="1">
      <alignment horizontal="right"/>
    </xf>
    <xf numFmtId="43" fontId="58" fillId="0" borderId="7" xfId="1" applyFont="1" applyFill="1" applyBorder="1" applyAlignment="1">
      <alignment horizontal="right"/>
    </xf>
    <xf numFmtId="0" fontId="51" fillId="0" borderId="0" xfId="0" applyFont="1" applyFill="1"/>
    <xf numFmtId="43" fontId="65" fillId="0" borderId="0" xfId="1" applyFont="1" applyFill="1"/>
    <xf numFmtId="165" fontId="60" fillId="0" borderId="0" xfId="1" applyNumberFormat="1" applyFont="1" applyFill="1" applyAlignment="1">
      <alignment horizontal="right"/>
    </xf>
    <xf numFmtId="7" fontId="58" fillId="0" borderId="0" xfId="1" applyNumberFormat="1" applyFont="1" applyFill="1" applyAlignment="1">
      <alignment horizontal="right"/>
    </xf>
    <xf numFmtId="0" fontId="65" fillId="0" borderId="0" xfId="0" applyFont="1" applyFill="1"/>
    <xf numFmtId="164" fontId="58" fillId="0" borderId="5" xfId="1" applyNumberFormat="1" applyFont="1" applyFill="1" applyBorder="1" applyAlignment="1">
      <alignment horizontal="right"/>
    </xf>
    <xf numFmtId="164" fontId="59" fillId="0" borderId="5" xfId="1" applyNumberFormat="1" applyFont="1" applyFill="1" applyBorder="1" applyAlignment="1">
      <alignment horizontal="right"/>
    </xf>
    <xf numFmtId="164" fontId="65" fillId="0" borderId="0" xfId="1" applyNumberFormat="1" applyFont="1" applyFill="1" applyAlignment="1">
      <alignment horizontal="right"/>
    </xf>
    <xf numFmtId="166" fontId="58" fillId="0" borderId="0" xfId="2" applyNumberFormat="1" applyFont="1" applyFill="1" applyAlignment="1">
      <alignment horizontal="left"/>
    </xf>
    <xf numFmtId="165" fontId="58" fillId="0" borderId="0" xfId="1" quotePrefix="1" applyNumberFormat="1" applyFont="1" applyFill="1" applyAlignment="1">
      <alignment horizontal="right"/>
    </xf>
    <xf numFmtId="166" fontId="58" fillId="0" borderId="0" xfId="2" applyNumberFormat="1" applyFont="1" applyFill="1" applyAlignment="1">
      <alignment horizontal="right"/>
    </xf>
    <xf numFmtId="167" fontId="58" fillId="0" borderId="0" xfId="1" applyNumberFormat="1" applyFont="1" applyFill="1" applyAlignment="1">
      <alignment horizontal="right"/>
    </xf>
    <xf numFmtId="164" fontId="59" fillId="0" borderId="30" xfId="1" applyNumberFormat="1" applyFont="1" applyFill="1" applyBorder="1" applyAlignment="1">
      <alignment horizontal="right"/>
    </xf>
    <xf numFmtId="43" fontId="66" fillId="0" borderId="34" xfId="1" applyFont="1" applyFill="1" applyBorder="1" applyAlignment="1">
      <alignment horizontal="right"/>
    </xf>
    <xf numFmtId="43" fontId="66" fillId="0" borderId="36" xfId="1" applyNumberFormat="1" applyFont="1" applyFill="1" applyBorder="1" applyAlignment="1">
      <alignment horizontal="right"/>
    </xf>
    <xf numFmtId="166" fontId="65" fillId="0" borderId="0" xfId="2" applyNumberFormat="1" applyFont="1" applyFill="1" applyAlignment="1">
      <alignment horizontal="right"/>
    </xf>
    <xf numFmtId="164" fontId="60" fillId="0" borderId="5" xfId="1" applyNumberFormat="1" applyFont="1" applyFill="1" applyBorder="1" applyAlignment="1">
      <alignment horizontal="right"/>
    </xf>
    <xf numFmtId="165" fontId="59" fillId="0" borderId="0" xfId="1" applyNumberFormat="1" applyFont="1" applyFill="1" applyAlignment="1">
      <alignment horizontal="right"/>
    </xf>
    <xf numFmtId="165" fontId="59" fillId="0" borderId="31" xfId="1" applyNumberFormat="1" applyFont="1" applyFill="1" applyBorder="1" applyAlignment="1">
      <alignment horizontal="right"/>
    </xf>
    <xf numFmtId="9" fontId="58" fillId="0" borderId="0" xfId="2" applyFont="1" applyFill="1" applyAlignment="1">
      <alignment horizontal="right"/>
    </xf>
    <xf numFmtId="167" fontId="65" fillId="0" borderId="0" xfId="1" applyNumberFormat="1" applyFont="1" applyFill="1" applyAlignment="1">
      <alignment horizontal="right"/>
    </xf>
    <xf numFmtId="164" fontId="58" fillId="0" borderId="0" xfId="2" applyNumberFormat="1" applyFont="1" applyFill="1" applyAlignment="1">
      <alignment horizontal="right"/>
    </xf>
    <xf numFmtId="164" fontId="60" fillId="0" borderId="0" xfId="2" applyNumberFormat="1" applyFont="1" applyFill="1" applyAlignment="1">
      <alignment horizontal="right"/>
    </xf>
    <xf numFmtId="9" fontId="58" fillId="0" borderId="30" xfId="2" applyFont="1" applyFill="1" applyBorder="1" applyAlignment="1">
      <alignment horizontal="right"/>
    </xf>
    <xf numFmtId="165" fontId="65" fillId="0" borderId="0" xfId="1" applyNumberFormat="1" applyFont="1" applyFill="1" applyAlignment="1">
      <alignment horizontal="right"/>
    </xf>
    <xf numFmtId="165" fontId="58" fillId="0" borderId="5" xfId="1" quotePrefix="1" applyNumberFormat="1" applyFont="1" applyFill="1" applyBorder="1" applyAlignment="1">
      <alignment horizontal="right"/>
    </xf>
    <xf numFmtId="10" fontId="62" fillId="0" borderId="0" xfId="2" applyNumberFormat="1" applyFont="1" applyAlignment="1">
      <alignment horizontal="right"/>
    </xf>
    <xf numFmtId="0" fontId="58" fillId="0" borderId="3" xfId="0" applyFont="1" applyBorder="1" applyAlignment="1">
      <alignment horizontal="left"/>
    </xf>
    <xf numFmtId="0" fontId="59" fillId="0" borderId="3" xfId="0" applyFont="1" applyBorder="1" applyAlignment="1">
      <alignment horizontal="left" indent="1"/>
    </xf>
    <xf numFmtId="0" fontId="59" fillId="0" borderId="4" xfId="0" applyFont="1" applyBorder="1" applyAlignment="1">
      <alignment horizontal="left" indent="1"/>
    </xf>
    <xf numFmtId="0" fontId="58" fillId="10" borderId="3" xfId="0" applyFont="1" applyFill="1" applyBorder="1" applyAlignment="1">
      <alignment horizontal="left"/>
    </xf>
    <xf numFmtId="0" fontId="58" fillId="10" borderId="4" xfId="0" applyFont="1" applyFill="1" applyBorder="1" applyAlignment="1">
      <alignment horizontal="left"/>
    </xf>
    <xf numFmtId="0" fontId="59" fillId="0" borderId="3" xfId="0" applyFont="1" applyBorder="1" applyAlignment="1">
      <alignment horizontal="left" indent="3"/>
    </xf>
    <xf numFmtId="0" fontId="58" fillId="0" borderId="3" xfId="0" applyFont="1" applyBorder="1" applyAlignment="1">
      <alignment horizontal="left"/>
    </xf>
    <xf numFmtId="0" fontId="58" fillId="0" borderId="4" xfId="0" applyFont="1" applyBorder="1" applyAlignment="1">
      <alignment horizontal="left"/>
    </xf>
    <xf numFmtId="0" fontId="58" fillId="0" borderId="3" xfId="0" applyFont="1" applyBorder="1" applyAlignment="1">
      <alignment horizontal="left" indent="4"/>
    </xf>
    <xf numFmtId="0" fontId="65" fillId="0" borderId="25" xfId="0" applyFont="1" applyBorder="1" applyAlignment="1">
      <alignment horizontal="left" indent="5"/>
    </xf>
    <xf numFmtId="0" fontId="66" fillId="0" borderId="12" xfId="0" applyFont="1" applyBorder="1" applyAlignment="1">
      <alignment horizontal="left" indent="6"/>
    </xf>
    <xf numFmtId="43" fontId="59" fillId="0" borderId="5" xfId="1" applyFont="1" applyFill="1" applyBorder="1" applyAlignment="1">
      <alignment horizontal="right"/>
    </xf>
    <xf numFmtId="164" fontId="50" fillId="0" borderId="5" xfId="1" applyNumberFormat="1" applyFont="1" applyFill="1" applyBorder="1" applyAlignment="1">
      <alignment horizontal="right"/>
    </xf>
    <xf numFmtId="164" fontId="2" fillId="2" borderId="2" xfId="1" quotePrefix="1" applyNumberFormat="1" applyFont="1" applyFill="1" applyBorder="1" applyAlignment="1">
      <alignment horizontal="right"/>
    </xf>
    <xf numFmtId="164" fontId="2" fillId="2" borderId="33" xfId="1" quotePrefix="1" applyNumberFormat="1" applyFont="1" applyFill="1" applyBorder="1" applyAlignment="1">
      <alignment horizontal="right"/>
    </xf>
    <xf numFmtId="165" fontId="58" fillId="0" borderId="31" xfId="1" applyNumberFormat="1" applyFont="1" applyFill="1" applyBorder="1" applyAlignment="1">
      <alignment horizontal="right"/>
    </xf>
    <xf numFmtId="165" fontId="4" fillId="10" borderId="0" xfId="1" applyNumberFormat="1" applyFont="1" applyFill="1" applyAlignment="1">
      <alignment horizontal="right"/>
    </xf>
    <xf numFmtId="165" fontId="4" fillId="0" borderId="31" xfId="1" applyNumberFormat="1" applyFont="1" applyFill="1" applyBorder="1" applyAlignment="1">
      <alignment horizontal="right"/>
    </xf>
    <xf numFmtId="165" fontId="4" fillId="0" borderId="0" xfId="1" applyNumberFormat="1" applyFont="1" applyAlignment="1">
      <alignment horizontal="left"/>
    </xf>
    <xf numFmtId="9" fontId="58" fillId="0" borderId="8" xfId="2" quotePrefix="1" applyFont="1" applyFill="1" applyBorder="1" applyAlignment="1">
      <alignment horizontal="right"/>
    </xf>
    <xf numFmtId="9" fontId="58" fillId="0" borderId="0" xfId="2" quotePrefix="1" applyFont="1" applyFill="1" applyAlignment="1">
      <alignment horizontal="right"/>
    </xf>
    <xf numFmtId="166" fontId="58" fillId="0" borderId="0" xfId="2" quotePrefix="1" applyNumberFormat="1" applyFont="1" applyFill="1" applyAlignment="1">
      <alignment horizontal="right"/>
    </xf>
    <xf numFmtId="166" fontId="58" fillId="0" borderId="5" xfId="2" quotePrefix="1" applyNumberFormat="1" applyFont="1" applyFill="1" applyBorder="1" applyAlignment="1">
      <alignment horizontal="right"/>
    </xf>
    <xf numFmtId="0" fontId="58" fillId="0" borderId="0" xfId="0" applyFont="1" applyFill="1"/>
    <xf numFmtId="164" fontId="58" fillId="0" borderId="0" xfId="1" quotePrefix="1" applyNumberFormat="1" applyFont="1" applyFill="1" applyAlignment="1">
      <alignment horizontal="right"/>
    </xf>
    <xf numFmtId="164" fontId="58" fillId="0" borderId="5" xfId="1" quotePrefix="1" applyNumberFormat="1" applyFont="1" applyFill="1" applyBorder="1" applyAlignment="1">
      <alignment horizontal="right"/>
    </xf>
    <xf numFmtId="43" fontId="58" fillId="0" borderId="5" xfId="1" quotePrefix="1" applyFont="1" applyFill="1" applyBorder="1" applyAlignment="1">
      <alignment horizontal="right"/>
    </xf>
    <xf numFmtId="9" fontId="58" fillId="0" borderId="5" xfId="2" applyFont="1" applyFill="1" applyBorder="1" applyAlignment="1">
      <alignment horizontal="right"/>
    </xf>
    <xf numFmtId="166" fontId="58" fillId="0" borderId="7" xfId="2" applyNumberFormat="1" applyFont="1" applyFill="1" applyBorder="1" applyAlignment="1">
      <alignment horizontal="right"/>
    </xf>
    <xf numFmtId="166" fontId="58" fillId="0" borderId="8" xfId="2" quotePrefix="1" applyNumberFormat="1" applyFont="1" applyFill="1" applyBorder="1" applyAlignment="1">
      <alignment horizontal="right"/>
    </xf>
    <xf numFmtId="166" fontId="58" fillId="0" borderId="7" xfId="2" quotePrefix="1" applyNumberFormat="1" applyFont="1" applyFill="1" applyBorder="1" applyAlignment="1">
      <alignment horizontal="right"/>
    </xf>
    <xf numFmtId="0" fontId="58" fillId="0" borderId="3" xfId="0" applyFont="1" applyFill="1" applyBorder="1" applyAlignment="1">
      <alignment horizontal="left"/>
    </xf>
    <xf numFmtId="0" fontId="53" fillId="0" borderId="4" xfId="0" applyFont="1" applyFill="1" applyBorder="1" applyAlignment="1">
      <alignment horizontal="left"/>
    </xf>
    <xf numFmtId="43" fontId="62" fillId="0" borderId="0" xfId="1" applyFont="1" applyFill="1" applyAlignment="1">
      <alignment horizontal="right"/>
    </xf>
    <xf numFmtId="9" fontId="62" fillId="0" borderId="0" xfId="2" applyFont="1" applyFill="1" applyAlignment="1">
      <alignment horizontal="right"/>
    </xf>
    <xf numFmtId="9" fontId="4" fillId="0" borderId="0" xfId="2" applyFont="1" applyFill="1" applyAlignment="1">
      <alignment horizontal="right"/>
    </xf>
    <xf numFmtId="165" fontId="62" fillId="0" borderId="0" xfId="2" applyNumberFormat="1" applyFont="1" applyFill="1" applyAlignment="1">
      <alignment horizontal="right"/>
    </xf>
    <xf numFmtId="165" fontId="65" fillId="0" borderId="5" xfId="1" quotePrefix="1" applyNumberFormat="1" applyFont="1" applyFill="1" applyBorder="1" applyAlignment="1">
      <alignment horizontal="right"/>
    </xf>
    <xf numFmtId="165" fontId="63" fillId="0" borderId="5" xfId="1" quotePrefix="1" applyNumberFormat="1" applyFont="1" applyFill="1" applyBorder="1" applyAlignment="1">
      <alignment horizontal="right"/>
    </xf>
    <xf numFmtId="164" fontId="59" fillId="0" borderId="29" xfId="1" quotePrefix="1" applyNumberFormat="1" applyFont="1" applyFill="1" applyBorder="1" applyAlignment="1">
      <alignment horizontal="right"/>
    </xf>
    <xf numFmtId="164" fontId="58" fillId="0" borderId="32" xfId="1" applyNumberFormat="1" applyFont="1" applyFill="1" applyBorder="1" applyAlignment="1">
      <alignment horizontal="right"/>
    </xf>
    <xf numFmtId="165" fontId="4" fillId="0" borderId="5" xfId="1" quotePrefix="1" applyNumberFormat="1" applyFont="1" applyFill="1" applyBorder="1" applyAlignment="1">
      <alignment horizontal="right"/>
    </xf>
    <xf numFmtId="164" fontId="60" fillId="0" borderId="5" xfId="2" applyNumberFormat="1" applyFont="1" applyFill="1" applyBorder="1" applyAlignment="1">
      <alignment horizontal="right"/>
    </xf>
    <xf numFmtId="164" fontId="59" fillId="0" borderId="5" xfId="1" quotePrefix="1" applyNumberFormat="1" applyFont="1" applyFill="1" applyBorder="1" applyAlignment="1">
      <alignment horizontal="right"/>
    </xf>
    <xf numFmtId="166" fontId="59" fillId="0" borderId="5" xfId="2" quotePrefix="1" applyNumberFormat="1" applyFont="1" applyFill="1" applyBorder="1" applyAlignment="1">
      <alignment horizontal="right"/>
    </xf>
    <xf numFmtId="9" fontId="59" fillId="0" borderId="5" xfId="2" applyFont="1" applyFill="1" applyBorder="1" applyAlignment="1">
      <alignment horizontal="right"/>
    </xf>
    <xf numFmtId="43" fontId="65" fillId="0" borderId="5" xfId="1" quotePrefix="1" applyFont="1" applyFill="1" applyBorder="1" applyAlignment="1">
      <alignment horizontal="right"/>
    </xf>
    <xf numFmtId="0" fontId="58" fillId="0" borderId="3" xfId="0" applyFont="1" applyFill="1" applyBorder="1" applyAlignment="1">
      <alignment horizontal="left" indent="2"/>
    </xf>
    <xf numFmtId="0" fontId="4" fillId="0" borderId="4" xfId="0" applyFont="1" applyFill="1" applyBorder="1"/>
    <xf numFmtId="0" fontId="59" fillId="0" borderId="0" xfId="0" applyFont="1" applyFill="1"/>
    <xf numFmtId="0" fontId="59" fillId="0" borderId="3" xfId="0" applyFont="1" applyFill="1" applyBorder="1" applyAlignment="1">
      <alignment horizontal="left" indent="4"/>
    </xf>
    <xf numFmtId="0" fontId="59" fillId="0" borderId="4" xfId="0" applyFont="1" applyFill="1" applyBorder="1"/>
    <xf numFmtId="0" fontId="59" fillId="0" borderId="3" xfId="0" applyFont="1" applyFill="1" applyBorder="1" applyAlignment="1">
      <alignment horizontal="left" indent="5"/>
    </xf>
    <xf numFmtId="0" fontId="51" fillId="0" borderId="4" xfId="0" applyFont="1" applyFill="1" applyBorder="1"/>
    <xf numFmtId="0" fontId="67" fillId="0" borderId="0" xfId="0" applyFont="1" applyFill="1"/>
    <xf numFmtId="166" fontId="58" fillId="0" borderId="5" xfId="2" applyNumberFormat="1" applyFont="1" applyFill="1" applyBorder="1" applyAlignment="1">
      <alignment horizontal="right"/>
    </xf>
    <xf numFmtId="43" fontId="60" fillId="0" borderId="0" xfId="1" applyNumberFormat="1" applyFont="1" applyFill="1" applyAlignment="1">
      <alignment horizontal="right"/>
    </xf>
    <xf numFmtId="164" fontId="69" fillId="0" borderId="32" xfId="1" applyNumberFormat="1" applyFont="1" applyFill="1" applyBorder="1" applyAlignment="1">
      <alignment horizontal="right"/>
    </xf>
    <xf numFmtId="164" fontId="66" fillId="0" borderId="29" xfId="1" applyNumberFormat="1" applyFont="1" applyFill="1" applyBorder="1" applyAlignment="1">
      <alignment horizontal="right"/>
    </xf>
    <xf numFmtId="164" fontId="70" fillId="0" borderId="32" xfId="1" applyNumberFormat="1" applyFont="1" applyFill="1" applyBorder="1" applyAlignment="1">
      <alignment horizontal="right"/>
    </xf>
    <xf numFmtId="43" fontId="59" fillId="0" borderId="8" xfId="1" applyFont="1" applyFill="1" applyBorder="1" applyAlignment="1">
      <alignment horizontal="right"/>
    </xf>
    <xf numFmtId="166" fontId="62" fillId="0" borderId="0" xfId="2" applyNumberFormat="1" applyFont="1" applyFill="1" applyAlignment="1">
      <alignment horizontal="right"/>
    </xf>
    <xf numFmtId="164" fontId="58" fillId="0" borderId="0" xfId="1" applyNumberFormat="1" applyFont="1" applyBorder="1" applyAlignment="1">
      <alignment horizontal="right"/>
    </xf>
    <xf numFmtId="164" fontId="58" fillId="0" borderId="30" xfId="1" applyNumberFormat="1" applyFont="1" applyBorder="1" applyAlignment="1">
      <alignment horizontal="right"/>
    </xf>
    <xf numFmtId="164" fontId="58" fillId="0" borderId="29" xfId="1" applyNumberFormat="1" applyFont="1" applyBorder="1" applyAlignment="1">
      <alignment horizontal="right"/>
    </xf>
    <xf numFmtId="164" fontId="58" fillId="0" borderId="0" xfId="1" applyNumberFormat="1" applyFont="1" applyFill="1" applyBorder="1" applyAlignment="1">
      <alignment horizontal="right"/>
    </xf>
    <xf numFmtId="7" fontId="58" fillId="0" borderId="25" xfId="1" applyNumberFormat="1" applyFont="1" applyBorder="1" applyAlignment="1">
      <alignment horizontal="right"/>
    </xf>
    <xf numFmtId="7" fontId="58" fillId="0" borderId="31" xfId="1" applyNumberFormat="1" applyFont="1" applyFill="1" applyBorder="1" applyAlignment="1">
      <alignment horizontal="right"/>
    </xf>
    <xf numFmtId="165" fontId="58" fillId="0" borderId="3" xfId="1" applyNumberFormat="1" applyFont="1" applyBorder="1" applyAlignment="1">
      <alignment horizontal="right"/>
    </xf>
    <xf numFmtId="165" fontId="58" fillId="0" borderId="0" xfId="1" applyNumberFormat="1" applyFont="1" applyFill="1" applyBorder="1" applyAlignment="1">
      <alignment horizontal="right"/>
    </xf>
    <xf numFmtId="164" fontId="58" fillId="0" borderId="12" xfId="1" applyNumberFormat="1" applyFont="1" applyBorder="1" applyAlignment="1">
      <alignment horizontal="right"/>
    </xf>
    <xf numFmtId="0" fontId="58" fillId="0" borderId="3" xfId="0" applyFont="1" applyBorder="1" applyAlignment="1">
      <alignment horizontal="left"/>
    </xf>
    <xf numFmtId="0" fontId="58" fillId="0" borderId="4" xfId="0" applyFont="1" applyBorder="1" applyAlignment="1">
      <alignment horizontal="left"/>
    </xf>
    <xf numFmtId="167" fontId="65" fillId="0" borderId="5" xfId="1" quotePrefix="1" applyNumberFormat="1" applyFont="1" applyBorder="1" applyAlignment="1">
      <alignment horizontal="right"/>
    </xf>
    <xf numFmtId="167" fontId="65" fillId="0" borderId="5" xfId="1" quotePrefix="1" applyNumberFormat="1" applyFont="1" applyFill="1" applyBorder="1" applyAlignment="1">
      <alignment horizontal="right"/>
    </xf>
    <xf numFmtId="9" fontId="64" fillId="0" borderId="5" xfId="2" applyFont="1" applyFill="1" applyBorder="1" applyAlignment="1">
      <alignment horizontal="right"/>
    </xf>
    <xf numFmtId="226" fontId="59" fillId="0" borderId="5" xfId="2" applyNumberFormat="1" applyFont="1" applyFill="1" applyBorder="1" applyAlignment="1">
      <alignment horizontal="right"/>
    </xf>
    <xf numFmtId="9" fontId="4" fillId="0" borderId="0" xfId="2" applyFont="1" applyAlignment="1">
      <alignment horizontal="left"/>
    </xf>
    <xf numFmtId="0" fontId="58" fillId="10" borderId="3" xfId="0" applyFont="1" applyFill="1" applyBorder="1" applyAlignment="1">
      <alignment horizontal="left"/>
    </xf>
    <xf numFmtId="0" fontId="58" fillId="10" borderId="4" xfId="0" applyFont="1" applyFill="1" applyBorder="1" applyAlignment="1">
      <alignment horizontal="left"/>
    </xf>
    <xf numFmtId="0" fontId="58" fillId="0" borderId="6" xfId="0" applyFont="1" applyFill="1" applyBorder="1" applyAlignment="1">
      <alignment horizontal="left" indent="2"/>
    </xf>
    <xf numFmtId="0" fontId="58" fillId="0" borderId="10" xfId="0" applyFont="1" applyFill="1" applyBorder="1" applyAlignment="1">
      <alignment horizontal="left" indent="1"/>
    </xf>
    <xf numFmtId="165" fontId="4" fillId="10" borderId="31" xfId="1" applyNumberFormat="1" applyFont="1" applyFill="1" applyBorder="1" applyAlignment="1">
      <alignment horizontal="left"/>
    </xf>
    <xf numFmtId="165" fontId="58" fillId="0" borderId="31" xfId="1" applyNumberFormat="1" applyFont="1" applyBorder="1" applyAlignment="1">
      <alignment horizontal="right"/>
    </xf>
    <xf numFmtId="166" fontId="4" fillId="0" borderId="0" xfId="1" applyNumberFormat="1" applyFont="1"/>
    <xf numFmtId="165" fontId="60" fillId="0" borderId="5" xfId="1" applyNumberFormat="1" applyFont="1" applyFill="1" applyBorder="1" applyAlignment="1">
      <alignment horizontal="right"/>
    </xf>
    <xf numFmtId="165" fontId="59" fillId="0" borderId="5" xfId="1" applyNumberFormat="1" applyFont="1" applyFill="1" applyBorder="1" applyAlignment="1">
      <alignment horizontal="right"/>
    </xf>
    <xf numFmtId="165" fontId="51" fillId="0" borderId="9" xfId="1" applyNumberFormat="1" applyFont="1" applyFill="1" applyBorder="1" applyAlignment="1">
      <alignment horizontal="right"/>
    </xf>
    <xf numFmtId="9" fontId="64" fillId="0" borderId="0" xfId="2" applyFont="1" applyFill="1" applyAlignment="1">
      <alignment horizontal="right"/>
    </xf>
    <xf numFmtId="9" fontId="59" fillId="0" borderId="0" xfId="2" applyFont="1" applyFill="1" applyAlignment="1">
      <alignment horizontal="right"/>
    </xf>
    <xf numFmtId="9" fontId="59" fillId="0" borderId="0" xfId="2" applyNumberFormat="1" applyFont="1" applyFill="1" applyAlignment="1">
      <alignment horizontal="right"/>
    </xf>
    <xf numFmtId="164" fontId="51" fillId="0" borderId="29" xfId="1" quotePrefix="1" applyNumberFormat="1" applyFont="1" applyFill="1" applyBorder="1" applyAlignment="1">
      <alignment horizontal="right"/>
    </xf>
    <xf numFmtId="165" fontId="51" fillId="0" borderId="5" xfId="1" quotePrefix="1" applyNumberFormat="1" applyFont="1" applyFill="1" applyBorder="1" applyAlignment="1">
      <alignment horizontal="right"/>
    </xf>
    <xf numFmtId="165" fontId="4" fillId="0" borderId="29" xfId="1" quotePrefix="1" applyNumberFormat="1" applyFont="1" applyFill="1" applyBorder="1" applyAlignment="1">
      <alignment horizontal="right"/>
    </xf>
    <xf numFmtId="164" fontId="59" fillId="0" borderId="0" xfId="2" applyNumberFormat="1" applyFont="1" applyFill="1" applyAlignment="1">
      <alignment horizontal="right"/>
    </xf>
    <xf numFmtId="166" fontId="59" fillId="0" borderId="0" xfId="2" applyNumberFormat="1" applyFont="1" applyFill="1" applyAlignment="1">
      <alignment horizontal="right"/>
    </xf>
    <xf numFmtId="225" fontId="4" fillId="0" borderId="5" xfId="1" quotePrefix="1" applyNumberFormat="1" applyFont="1" applyFill="1" applyBorder="1" applyAlignment="1">
      <alignment horizontal="right"/>
    </xf>
    <xf numFmtId="43" fontId="58" fillId="0" borderId="5" xfId="1" applyNumberFormat="1" applyFont="1" applyFill="1" applyBorder="1" applyAlignment="1">
      <alignment horizontal="right"/>
    </xf>
    <xf numFmtId="43" fontId="60" fillId="0" borderId="5" xfId="1" applyNumberFormat="1" applyFont="1" applyFill="1" applyBorder="1" applyAlignment="1">
      <alignment horizontal="right"/>
    </xf>
    <xf numFmtId="0" fontId="58" fillId="10" borderId="0" xfId="0" applyFont="1" applyFill="1" applyBorder="1" applyAlignment="1">
      <alignment horizontal="left"/>
    </xf>
    <xf numFmtId="5" fontId="59" fillId="0" borderId="11" xfId="1" applyNumberFormat="1" applyFont="1" applyFill="1" applyBorder="1" applyAlignment="1">
      <alignment horizontal="right"/>
    </xf>
    <xf numFmtId="5" fontId="61" fillId="0" borderId="4" xfId="1" applyNumberFormat="1" applyFont="1" applyFill="1" applyBorder="1" applyAlignment="1">
      <alignment horizontal="right"/>
    </xf>
    <xf numFmtId="5" fontId="59" fillId="0" borderId="4" xfId="1" applyNumberFormat="1" applyFont="1" applyFill="1" applyBorder="1" applyAlignment="1">
      <alignment horizontal="right"/>
    </xf>
    <xf numFmtId="0" fontId="59" fillId="0" borderId="23" xfId="0" applyFont="1" applyFill="1" applyBorder="1" applyAlignment="1">
      <alignment horizontal="left"/>
    </xf>
    <xf numFmtId="5" fontId="59" fillId="0" borderId="24" xfId="1" applyNumberFormat="1" applyFont="1" applyFill="1" applyBorder="1" applyAlignment="1">
      <alignment horizontal="right"/>
    </xf>
    <xf numFmtId="164" fontId="51" fillId="0" borderId="5" xfId="1" quotePrefix="1" applyNumberFormat="1" applyFont="1" applyFill="1" applyBorder="1" applyAlignment="1">
      <alignment horizontal="right"/>
    </xf>
    <xf numFmtId="164" fontId="65" fillId="0" borderId="5" xfId="1" quotePrefix="1" applyNumberFormat="1" applyFont="1" applyFill="1" applyBorder="1" applyAlignment="1">
      <alignment horizontal="right"/>
    </xf>
    <xf numFmtId="165" fontId="51" fillId="0" borderId="32" xfId="1" quotePrefix="1" applyNumberFormat="1" applyFont="1" applyFill="1" applyBorder="1" applyAlignment="1">
      <alignment horizontal="right"/>
    </xf>
    <xf numFmtId="164" fontId="4" fillId="0" borderId="5" xfId="1" quotePrefix="1" applyNumberFormat="1" applyFont="1" applyFill="1" applyBorder="1" applyAlignment="1">
      <alignment horizontal="right"/>
    </xf>
    <xf numFmtId="9" fontId="4" fillId="0" borderId="5" xfId="2" quotePrefix="1" applyFont="1" applyFill="1" applyBorder="1" applyAlignment="1">
      <alignment horizontal="right"/>
    </xf>
    <xf numFmtId="9" fontId="4" fillId="0" borderId="5" xfId="2" applyFont="1" applyFill="1" applyBorder="1" applyAlignment="1">
      <alignment horizontal="right"/>
    </xf>
    <xf numFmtId="7" fontId="4" fillId="0" borderId="5" xfId="1" applyNumberFormat="1" applyFont="1" applyFill="1" applyBorder="1" applyAlignment="1">
      <alignment horizontal="right"/>
    </xf>
    <xf numFmtId="164" fontId="58" fillId="0" borderId="31" xfId="1" applyNumberFormat="1" applyFont="1" applyFill="1" applyBorder="1" applyAlignment="1">
      <alignment horizontal="right"/>
    </xf>
    <xf numFmtId="164" fontId="58" fillId="0" borderId="30" xfId="1" applyNumberFormat="1" applyFont="1" applyFill="1" applyBorder="1" applyAlignment="1">
      <alignment horizontal="right"/>
    </xf>
    <xf numFmtId="164" fontId="58" fillId="0" borderId="29" xfId="1" applyNumberFormat="1" applyFont="1" applyFill="1" applyBorder="1" applyAlignment="1">
      <alignment horizontal="right"/>
    </xf>
    <xf numFmtId="165" fontId="58" fillId="0" borderId="8" xfId="1" applyNumberFormat="1" applyFont="1" applyFill="1" applyBorder="1" applyAlignment="1">
      <alignment horizontal="right"/>
    </xf>
    <xf numFmtId="165" fontId="59" fillId="0" borderId="7" xfId="1" applyNumberFormat="1" applyFont="1" applyFill="1" applyBorder="1" applyAlignment="1">
      <alignment horizontal="right"/>
    </xf>
    <xf numFmtId="165" fontId="59" fillId="0" borderId="8" xfId="1" applyNumberFormat="1" applyFont="1" applyFill="1" applyBorder="1" applyAlignment="1">
      <alignment horizontal="right"/>
    </xf>
    <xf numFmtId="166" fontId="4" fillId="0" borderId="8" xfId="2" quotePrefix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5" fontId="58" fillId="0" borderId="32" xfId="1" applyNumberFormat="1" applyFont="1" applyFill="1" applyBorder="1" applyAlignment="1">
      <alignment horizontal="right"/>
    </xf>
    <xf numFmtId="164" fontId="52" fillId="0" borderId="0" xfId="1" quotePrefix="1" applyNumberFormat="1" applyFont="1" applyFill="1" applyAlignment="1">
      <alignment horizontal="right"/>
    </xf>
    <xf numFmtId="164" fontId="52" fillId="0" borderId="5" xfId="1" quotePrefix="1" applyNumberFormat="1" applyFont="1" applyFill="1" applyBorder="1" applyAlignment="1">
      <alignment horizontal="right"/>
    </xf>
    <xf numFmtId="9" fontId="58" fillId="0" borderId="5" xfId="2" quotePrefix="1" applyFont="1" applyFill="1" applyBorder="1" applyAlignment="1">
      <alignment horizontal="right"/>
    </xf>
    <xf numFmtId="9" fontId="51" fillId="0" borderId="2" xfId="2" quotePrefix="1" applyFont="1" applyFill="1" applyBorder="1" applyAlignment="1">
      <alignment horizontal="right"/>
    </xf>
    <xf numFmtId="164" fontId="52" fillId="0" borderId="2" xfId="1" quotePrefix="1" applyNumberFormat="1" applyFont="1" applyFill="1" applyBorder="1" applyAlignment="1">
      <alignment horizontal="right"/>
    </xf>
    <xf numFmtId="165" fontId="58" fillId="9" borderId="0" xfId="1" applyNumberFormat="1" applyFont="1" applyFill="1" applyAlignment="1">
      <alignment horizontal="right"/>
    </xf>
    <xf numFmtId="166" fontId="59" fillId="9" borderId="0" xfId="2" applyNumberFormat="1" applyFont="1" applyFill="1" applyAlignment="1">
      <alignment horizontal="right"/>
    </xf>
    <xf numFmtId="9" fontId="59" fillId="9" borderId="0" xfId="2" applyFont="1" applyFill="1" applyAlignment="1">
      <alignment horizontal="right"/>
    </xf>
    <xf numFmtId="0" fontId="58" fillId="0" borderId="3" xfId="0" applyFont="1" applyFill="1" applyBorder="1" applyAlignment="1">
      <alignment horizontal="left"/>
    </xf>
    <xf numFmtId="167" fontId="58" fillId="9" borderId="0" xfId="1" applyNumberFormat="1" applyFont="1" applyFill="1" applyAlignment="1">
      <alignment horizontal="right"/>
    </xf>
    <xf numFmtId="9" fontId="58" fillId="9" borderId="30" xfId="2" applyFont="1" applyFill="1" applyBorder="1" applyAlignment="1">
      <alignment horizontal="right"/>
    </xf>
    <xf numFmtId="9" fontId="58" fillId="9" borderId="0" xfId="2" applyFont="1" applyFill="1" applyBorder="1" applyAlignment="1">
      <alignment horizontal="right"/>
    </xf>
    <xf numFmtId="9" fontId="58" fillId="9" borderId="4" xfId="2" applyFont="1" applyFill="1" applyBorder="1" applyAlignment="1">
      <alignment horizontal="right"/>
    </xf>
    <xf numFmtId="165" fontId="4" fillId="0" borderId="13" xfId="1" quotePrefix="1" applyNumberFormat="1" applyFont="1" applyFill="1" applyBorder="1" applyAlignment="1">
      <alignment horizontal="right"/>
    </xf>
    <xf numFmtId="165" fontId="4" fillId="0" borderId="3" xfId="1" quotePrefix="1" applyNumberFormat="1" applyFont="1" applyFill="1" applyBorder="1" applyAlignment="1">
      <alignment horizontal="right"/>
    </xf>
    <xf numFmtId="166" fontId="65" fillId="9" borderId="0" xfId="2" applyNumberFormat="1" applyFont="1" applyFill="1" applyAlignment="1">
      <alignment horizontal="right"/>
    </xf>
    <xf numFmtId="164" fontId="59" fillId="0" borderId="5" xfId="2" applyNumberFormat="1" applyFont="1" applyFill="1" applyBorder="1" applyAlignment="1">
      <alignment horizontal="right"/>
    </xf>
    <xf numFmtId="166" fontId="59" fillId="0" borderId="5" xfId="2" applyNumberFormat="1" applyFont="1" applyFill="1" applyBorder="1" applyAlignment="1">
      <alignment horizontal="right"/>
    </xf>
    <xf numFmtId="165" fontId="65" fillId="0" borderId="5" xfId="1" applyNumberFormat="1" applyFont="1" applyFill="1" applyBorder="1" applyAlignment="1">
      <alignment horizontal="right"/>
    </xf>
    <xf numFmtId="165" fontId="65" fillId="0" borderId="5" xfId="1" applyNumberFormat="1" applyFont="1" applyBorder="1" applyAlignment="1">
      <alignment horizontal="right"/>
    </xf>
    <xf numFmtId="166" fontId="65" fillId="0" borderId="5" xfId="2" applyNumberFormat="1" applyFont="1" applyFill="1" applyBorder="1" applyAlignment="1">
      <alignment horizontal="right"/>
    </xf>
    <xf numFmtId="164" fontId="58" fillId="9" borderId="0" xfId="1" applyNumberFormat="1" applyFont="1" applyFill="1" applyAlignment="1">
      <alignment horizontal="right"/>
    </xf>
    <xf numFmtId="164" fontId="60" fillId="9" borderId="0" xfId="2" applyNumberFormat="1" applyFont="1" applyFill="1" applyAlignment="1">
      <alignment horizontal="right"/>
    </xf>
    <xf numFmtId="9" fontId="58" fillId="9" borderId="3" xfId="2" applyFont="1" applyFill="1" applyBorder="1" applyAlignment="1">
      <alignment horizontal="right"/>
    </xf>
    <xf numFmtId="164" fontId="59" fillId="0" borderId="29" xfId="1" applyNumberFormat="1" applyFont="1" applyFill="1" applyBorder="1" applyAlignment="1">
      <alignment horizontal="right"/>
    </xf>
    <xf numFmtId="9" fontId="58" fillId="9" borderId="0" xfId="2" applyFont="1" applyFill="1" applyAlignment="1">
      <alignment horizontal="right"/>
    </xf>
    <xf numFmtId="166" fontId="58" fillId="9" borderId="0" xfId="2" applyNumberFormat="1" applyFont="1" applyFill="1" applyAlignment="1">
      <alignment horizontal="right"/>
    </xf>
    <xf numFmtId="7" fontId="58" fillId="9" borderId="0" xfId="1" applyNumberFormat="1" applyFont="1" applyFill="1" applyAlignment="1">
      <alignment horizontal="right"/>
    </xf>
    <xf numFmtId="43" fontId="59" fillId="0" borderId="29" xfId="1" applyFont="1" applyFill="1" applyBorder="1" applyAlignment="1">
      <alignment horizontal="right"/>
    </xf>
    <xf numFmtId="43" fontId="58" fillId="9" borderId="7" xfId="1" applyFont="1" applyFill="1" applyBorder="1" applyAlignment="1">
      <alignment horizontal="right"/>
    </xf>
    <xf numFmtId="9" fontId="58" fillId="9" borderId="7" xfId="2" applyFont="1" applyFill="1" applyBorder="1" applyAlignment="1">
      <alignment horizontal="right"/>
    </xf>
    <xf numFmtId="164" fontId="58" fillId="9" borderId="0" xfId="1" quotePrefix="1" applyNumberFormat="1" applyFont="1" applyFill="1" applyAlignment="1">
      <alignment horizontal="right"/>
    </xf>
    <xf numFmtId="165" fontId="60" fillId="9" borderId="0" xfId="0" applyNumberFormat="1" applyFont="1" applyFill="1" applyAlignment="1">
      <alignment horizontal="right"/>
    </xf>
    <xf numFmtId="165" fontId="59" fillId="0" borderId="0" xfId="0" applyNumberFormat="1" applyFont="1" applyAlignment="1">
      <alignment horizontal="right"/>
    </xf>
    <xf numFmtId="166" fontId="58" fillId="9" borderId="7" xfId="2" applyNumberFormat="1" applyFont="1" applyFill="1" applyBorder="1" applyAlignment="1">
      <alignment horizontal="right"/>
    </xf>
    <xf numFmtId="9" fontId="58" fillId="9" borderId="0" xfId="2" quotePrefix="1" applyFont="1" applyFill="1" applyAlignment="1">
      <alignment horizontal="right"/>
    </xf>
    <xf numFmtId="0" fontId="58" fillId="0" borderId="0" xfId="1" applyNumberFormat="1" applyFont="1" applyFill="1" applyAlignment="1">
      <alignment horizontal="right"/>
    </xf>
    <xf numFmtId="166" fontId="58" fillId="9" borderId="0" xfId="2" quotePrefix="1" applyNumberFormat="1" applyFont="1" applyFill="1" applyAlignment="1">
      <alignment horizontal="right"/>
    </xf>
    <xf numFmtId="43" fontId="58" fillId="10" borderId="0" xfId="1" applyNumberFormat="1" applyFont="1" applyFill="1" applyAlignment="1">
      <alignment horizontal="right"/>
    </xf>
    <xf numFmtId="165" fontId="58" fillId="9" borderId="31" xfId="1" applyNumberFormat="1" applyFont="1" applyFill="1" applyBorder="1" applyAlignment="1">
      <alignment horizontal="right"/>
    </xf>
    <xf numFmtId="165" fontId="58" fillId="0" borderId="0" xfId="0" applyNumberFormat="1" applyFont="1" applyFill="1" applyAlignment="1">
      <alignment horizontal="right"/>
    </xf>
    <xf numFmtId="9" fontId="58" fillId="0" borderId="0" xfId="2" applyNumberFormat="1" applyFont="1" applyFill="1" applyAlignment="1">
      <alignment horizontal="right"/>
    </xf>
    <xf numFmtId="166" fontId="58" fillId="0" borderId="3" xfId="2" applyNumberFormat="1" applyFont="1" applyFill="1" applyBorder="1" applyAlignment="1">
      <alignment horizontal="right"/>
    </xf>
    <xf numFmtId="166" fontId="58" fillId="0" borderId="4" xfId="2" applyNumberFormat="1" applyFont="1" applyFill="1" applyBorder="1" applyAlignment="1">
      <alignment horizontal="right"/>
    </xf>
    <xf numFmtId="166" fontId="58" fillId="0" borderId="0" xfId="2" applyNumberFormat="1" applyFont="1" applyFill="1" applyBorder="1" applyAlignment="1">
      <alignment horizontal="right"/>
    </xf>
    <xf numFmtId="165" fontId="58" fillId="0" borderId="4" xfId="1" applyNumberFormat="1" applyFont="1" applyBorder="1" applyAlignment="1">
      <alignment horizontal="right"/>
    </xf>
    <xf numFmtId="165" fontId="58" fillId="0" borderId="0" xfId="1" applyNumberFormat="1" applyFont="1" applyBorder="1" applyAlignment="1">
      <alignment horizontal="right"/>
    </xf>
    <xf numFmtId="165" fontId="59" fillId="0" borderId="5" xfId="1" quotePrefix="1" applyNumberFormat="1" applyFont="1" applyFill="1" applyBorder="1" applyAlignment="1">
      <alignment horizontal="right"/>
    </xf>
    <xf numFmtId="0" fontId="58" fillId="0" borderId="3" xfId="0" applyFont="1" applyBorder="1" applyAlignment="1">
      <alignment horizontal="left" indent="1"/>
    </xf>
    <xf numFmtId="0" fontId="59" fillId="0" borderId="3" xfId="0" applyFont="1" applyBorder="1" applyAlignment="1">
      <alignment horizontal="left"/>
    </xf>
    <xf numFmtId="227" fontId="58" fillId="0" borderId="4" xfId="2" applyNumberFormat="1" applyFont="1" applyFill="1" applyBorder="1" applyAlignment="1">
      <alignment horizontal="right"/>
    </xf>
    <xf numFmtId="227" fontId="58" fillId="0" borderId="4" xfId="1" applyNumberFormat="1" applyFont="1" applyFill="1" applyBorder="1" applyAlignment="1">
      <alignment horizontal="right"/>
    </xf>
    <xf numFmtId="227" fontId="58" fillId="9" borderId="4" xfId="1" applyNumberFormat="1" applyFont="1" applyFill="1" applyBorder="1" applyAlignment="1">
      <alignment horizontal="right"/>
    </xf>
    <xf numFmtId="43" fontId="60" fillId="0" borderId="4" xfId="1" quotePrefix="1" applyFont="1" applyBorder="1" applyAlignment="1">
      <alignment horizontal="right"/>
    </xf>
    <xf numFmtId="0" fontId="59" fillId="0" borderId="6" xfId="0" applyFont="1" applyBorder="1"/>
    <xf numFmtId="228" fontId="59" fillId="0" borderId="10" xfId="1" applyNumberFormat="1" applyFont="1" applyBorder="1" applyAlignment="1">
      <alignment horizontal="right"/>
    </xf>
    <xf numFmtId="0" fontId="74" fillId="0" borderId="0" xfId="0" applyFont="1" applyAlignment="1">
      <alignment horizontal="right"/>
    </xf>
    <xf numFmtId="165" fontId="75" fillId="0" borderId="0" xfId="1" applyNumberFormat="1" applyFont="1" applyAlignment="1">
      <alignment horizontal="right"/>
    </xf>
    <xf numFmtId="0" fontId="76" fillId="0" borderId="3" xfId="0" applyFont="1" applyBorder="1"/>
    <xf numFmtId="164" fontId="4" fillId="0" borderId="4" xfId="1" applyNumberFormat="1" applyFont="1" applyBorder="1" applyAlignment="1">
      <alignment horizontal="right"/>
    </xf>
    <xf numFmtId="0" fontId="77" fillId="0" borderId="3" xfId="0" applyFont="1" applyBorder="1"/>
    <xf numFmtId="5" fontId="77" fillId="0" borderId="4" xfId="1" applyNumberFormat="1" applyFont="1" applyBorder="1" applyAlignment="1">
      <alignment horizontal="right"/>
    </xf>
    <xf numFmtId="165" fontId="78" fillId="0" borderId="4" xfId="1" applyNumberFormat="1" applyFont="1" applyBorder="1" applyAlignment="1">
      <alignment horizontal="right"/>
    </xf>
    <xf numFmtId="0" fontId="79" fillId="0" borderId="12" xfId="0" applyFont="1" applyBorder="1" applyAlignment="1">
      <alignment horizontal="left" indent="1"/>
    </xf>
    <xf numFmtId="165" fontId="79" fillId="0" borderId="13" xfId="1" applyNumberFormat="1" applyFont="1" applyBorder="1" applyAlignment="1">
      <alignment horizontal="right"/>
    </xf>
    <xf numFmtId="43" fontId="77" fillId="9" borderId="4" xfId="1" applyFont="1" applyFill="1" applyBorder="1" applyAlignment="1">
      <alignment horizontal="right"/>
    </xf>
    <xf numFmtId="43" fontId="77" fillId="0" borderId="4" xfId="1" applyFont="1" applyBorder="1" applyAlignment="1">
      <alignment horizontal="right"/>
    </xf>
    <xf numFmtId="166" fontId="77" fillId="9" borderId="4" xfId="1" applyNumberFormat="1" applyFont="1" applyFill="1" applyBorder="1" applyAlignment="1">
      <alignment horizontal="right"/>
    </xf>
    <xf numFmtId="0" fontId="79" fillId="0" borderId="3" xfId="0" applyFont="1" applyBorder="1" applyAlignment="1">
      <alignment horizontal="left" indent="1"/>
    </xf>
    <xf numFmtId="166" fontId="79" fillId="0" borderId="4" xfId="2" applyNumberFormat="1" applyFont="1" applyBorder="1" applyAlignment="1">
      <alignment horizontal="right"/>
    </xf>
    <xf numFmtId="10" fontId="77" fillId="9" borderId="4" xfId="2" applyNumberFormat="1" applyFont="1" applyFill="1" applyBorder="1" applyAlignment="1">
      <alignment horizontal="right"/>
    </xf>
    <xf numFmtId="166" fontId="79" fillId="0" borderId="13" xfId="2" applyNumberFormat="1" applyFont="1" applyBorder="1" applyAlignment="1">
      <alignment horizontal="right"/>
    </xf>
    <xf numFmtId="166" fontId="58" fillId="0" borderId="4" xfId="2" applyNumberFormat="1" applyFont="1" applyBorder="1" applyAlignment="1">
      <alignment horizontal="right"/>
    </xf>
    <xf numFmtId="0" fontId="59" fillId="0" borderId="12" xfId="0" applyFont="1" applyBorder="1" applyAlignment="1">
      <alignment horizontal="left" indent="1"/>
    </xf>
    <xf numFmtId="166" fontId="59" fillId="0" borderId="13" xfId="2" applyNumberFormat="1" applyFont="1" applyBorder="1" applyAlignment="1">
      <alignment horizontal="right"/>
    </xf>
    <xf numFmtId="166" fontId="58" fillId="9" borderId="4" xfId="2" applyNumberFormat="1" applyFont="1" applyFill="1" applyBorder="1" applyAlignment="1">
      <alignment horizontal="right"/>
    </xf>
    <xf numFmtId="0" fontId="61" fillId="0" borderId="3" xfId="0" applyFont="1" applyBorder="1"/>
    <xf numFmtId="43" fontId="60" fillId="0" borderId="4" xfId="1" applyFont="1" applyBorder="1" applyAlignment="1">
      <alignment horizontal="right"/>
    </xf>
    <xf numFmtId="7" fontId="59" fillId="0" borderId="10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58" fillId="0" borderId="1" xfId="0" applyFont="1" applyBorder="1"/>
    <xf numFmtId="10" fontId="58" fillId="9" borderId="11" xfId="1" applyNumberFormat="1" applyFont="1" applyFill="1" applyBorder="1" applyAlignment="1">
      <alignment horizontal="right"/>
    </xf>
    <xf numFmtId="10" fontId="58" fillId="9" borderId="4" xfId="2" applyNumberFormat="1" applyFont="1" applyFill="1" applyBorder="1" applyAlignment="1">
      <alignment horizontal="right"/>
    </xf>
    <xf numFmtId="5" fontId="58" fillId="0" borderId="4" xfId="1" applyNumberFormat="1" applyFont="1" applyBorder="1" applyAlignment="1">
      <alignment horizontal="right"/>
    </xf>
    <xf numFmtId="0" fontId="58" fillId="0" borderId="6" xfId="0" applyFont="1" applyBorder="1"/>
    <xf numFmtId="6" fontId="58" fillId="0" borderId="10" xfId="0" applyNumberFormat="1" applyFont="1" applyBorder="1"/>
    <xf numFmtId="0" fontId="56" fillId="2" borderId="1" xfId="0" applyFont="1" applyFill="1" applyBorder="1" applyAlignment="1">
      <alignment horizontal="left"/>
    </xf>
    <xf numFmtId="0" fontId="56" fillId="2" borderId="2" xfId="0" applyFont="1" applyFill="1" applyBorder="1" applyAlignment="1">
      <alignment horizontal="left"/>
    </xf>
    <xf numFmtId="0" fontId="61" fillId="0" borderId="25" xfId="0" applyFont="1" applyBorder="1" applyAlignment="1">
      <alignment horizontal="left"/>
    </xf>
    <xf numFmtId="0" fontId="61" fillId="0" borderId="26" xfId="0" applyFont="1" applyBorder="1" applyAlignment="1">
      <alignment horizontal="left"/>
    </xf>
    <xf numFmtId="0" fontId="58" fillId="0" borderId="3" xfId="0" applyFont="1" applyBorder="1" applyAlignment="1">
      <alignment horizontal="left"/>
    </xf>
    <xf numFmtId="0" fontId="58" fillId="0" borderId="4" xfId="0" applyFont="1" applyBorder="1" applyAlignment="1">
      <alignment horizontal="left"/>
    </xf>
    <xf numFmtId="0" fontId="57" fillId="0" borderId="4" xfId="0" applyFont="1" applyBorder="1" applyAlignment="1">
      <alignment horizontal="center" wrapText="1"/>
    </xf>
    <xf numFmtId="0" fontId="56" fillId="2" borderId="3" xfId="0" applyFont="1" applyFill="1" applyBorder="1" applyAlignment="1">
      <alignment horizontal="left"/>
    </xf>
    <xf numFmtId="0" fontId="56" fillId="2" borderId="4" xfId="0" applyFont="1" applyFill="1" applyBorder="1" applyAlignment="1">
      <alignment horizontal="left"/>
    </xf>
    <xf numFmtId="0" fontId="61" fillId="10" borderId="25" xfId="0" applyFont="1" applyFill="1" applyBorder="1" applyAlignment="1">
      <alignment horizontal="left"/>
    </xf>
    <xf numFmtId="0" fontId="61" fillId="10" borderId="26" xfId="0" applyFont="1" applyFill="1" applyBorder="1" applyAlignment="1">
      <alignment horizontal="left"/>
    </xf>
    <xf numFmtId="0" fontId="59" fillId="0" borderId="3" xfId="0" applyFont="1" applyBorder="1" applyAlignment="1">
      <alignment horizontal="left" indent="1"/>
    </xf>
    <xf numFmtId="0" fontId="59" fillId="0" borderId="4" xfId="0" applyFont="1" applyBorder="1" applyAlignment="1">
      <alignment horizontal="left" indent="1"/>
    </xf>
    <xf numFmtId="0" fontId="61" fillId="0" borderId="3" xfId="0" applyFont="1" applyBorder="1" applyAlignment="1">
      <alignment horizontal="left"/>
    </xf>
    <xf numFmtId="0" fontId="61" fillId="0" borderId="4" xfId="0" applyFont="1" applyBorder="1" applyAlignment="1">
      <alignment horizontal="left"/>
    </xf>
    <xf numFmtId="0" fontId="57" fillId="2" borderId="3" xfId="0" applyFont="1" applyFill="1" applyBorder="1" applyAlignment="1">
      <alignment horizontal="left"/>
    </xf>
    <xf numFmtId="0" fontId="57" fillId="2" borderId="4" xfId="0" applyFont="1" applyFill="1" applyBorder="1" applyAlignment="1">
      <alignment horizontal="left"/>
    </xf>
    <xf numFmtId="0" fontId="59" fillId="0" borderId="6" xfId="0" applyFont="1" applyBorder="1" applyAlignment="1">
      <alignment horizontal="left" indent="2"/>
    </xf>
    <xf numFmtId="0" fontId="59" fillId="0" borderId="10" xfId="0" applyFont="1" applyBorder="1" applyAlignment="1">
      <alignment horizontal="left" indent="2"/>
    </xf>
    <xf numFmtId="0" fontId="56" fillId="2" borderId="11" xfId="0" applyFont="1" applyFill="1" applyBorder="1" applyAlignment="1">
      <alignment horizontal="left"/>
    </xf>
    <xf numFmtId="0" fontId="58" fillId="10" borderId="3" xfId="0" applyFont="1" applyFill="1" applyBorder="1" applyAlignment="1">
      <alignment horizontal="left"/>
    </xf>
    <xf numFmtId="0" fontId="58" fillId="10" borderId="4" xfId="0" applyFont="1" applyFill="1" applyBorder="1" applyAlignment="1">
      <alignment horizontal="left"/>
    </xf>
    <xf numFmtId="0" fontId="59" fillId="0" borderId="3" xfId="0" applyFont="1" applyBorder="1" applyAlignment="1">
      <alignment horizontal="left" indent="2"/>
    </xf>
    <xf numFmtId="0" fontId="59" fillId="0" borderId="4" xfId="0" applyFont="1" applyBorder="1" applyAlignment="1">
      <alignment horizontal="left" indent="2"/>
    </xf>
    <xf numFmtId="0" fontId="58" fillId="0" borderId="27" xfId="0" applyFont="1" applyFill="1" applyBorder="1" applyAlignment="1">
      <alignment horizontal="left" vertical="top" wrapText="1"/>
    </xf>
    <xf numFmtId="0" fontId="58" fillId="0" borderId="28" xfId="0" applyFont="1" applyFill="1" applyBorder="1" applyAlignment="1">
      <alignment horizontal="left" vertical="top" wrapText="1"/>
    </xf>
    <xf numFmtId="0" fontId="59" fillId="10" borderId="3" xfId="0" applyFont="1" applyFill="1" applyBorder="1" applyAlignment="1">
      <alignment horizontal="left" indent="1"/>
    </xf>
    <xf numFmtId="0" fontId="59" fillId="10" borderId="4" xfId="0" applyFont="1" applyFill="1" applyBorder="1" applyAlignment="1">
      <alignment horizontal="left" indent="1"/>
    </xf>
    <xf numFmtId="0" fontId="4" fillId="0" borderId="2" xfId="0" applyFont="1" applyBorder="1" applyAlignment="1">
      <alignment horizontal="left"/>
    </xf>
    <xf numFmtId="0" fontId="58" fillId="10" borderId="12" xfId="0" applyFont="1" applyFill="1" applyBorder="1" applyAlignment="1">
      <alignment horizontal="left"/>
    </xf>
    <xf numFmtId="0" fontId="58" fillId="10" borderId="13" xfId="0" applyFont="1" applyFill="1" applyBorder="1" applyAlignment="1">
      <alignment horizontal="left"/>
    </xf>
    <xf numFmtId="0" fontId="58" fillId="10" borderId="25" xfId="0" applyFont="1" applyFill="1" applyBorder="1" applyAlignment="1">
      <alignment horizontal="left"/>
    </xf>
    <xf numFmtId="0" fontId="58" fillId="10" borderId="26" xfId="0" applyFont="1" applyFill="1" applyBorder="1" applyAlignment="1">
      <alignment horizontal="left"/>
    </xf>
    <xf numFmtId="0" fontId="58" fillId="0" borderId="6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9" fillId="0" borderId="3" xfId="0" applyFont="1" applyBorder="1" applyAlignment="1">
      <alignment horizontal="left"/>
    </xf>
    <xf numFmtId="0" fontId="59" fillId="0" borderId="4" xfId="0" applyFont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58" fillId="0" borderId="3" xfId="0" applyFont="1" applyFill="1" applyBorder="1" applyAlignment="1">
      <alignment horizontal="left"/>
    </xf>
    <xf numFmtId="0" fontId="58" fillId="0" borderId="4" xfId="0" applyFont="1" applyFill="1" applyBorder="1" applyAlignment="1">
      <alignment horizontal="left"/>
    </xf>
    <xf numFmtId="0" fontId="58" fillId="0" borderId="6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9" fillId="0" borderId="3" xfId="0" applyFont="1" applyBorder="1" applyAlignment="1">
      <alignment horizontal="left" indent="3"/>
    </xf>
    <xf numFmtId="0" fontId="59" fillId="0" borderId="4" xfId="0" applyFont="1" applyBorder="1" applyAlignment="1">
      <alignment horizontal="left" indent="3"/>
    </xf>
    <xf numFmtId="0" fontId="59" fillId="0" borderId="3" xfId="0" applyFont="1" applyFill="1" applyBorder="1" applyAlignment="1">
      <alignment horizontal="left" indent="1"/>
    </xf>
    <xf numFmtId="0" fontId="59" fillId="0" borderId="4" xfId="0" applyFont="1" applyFill="1" applyBorder="1" applyAlignment="1">
      <alignment horizontal="left" indent="1"/>
    </xf>
    <xf numFmtId="0" fontId="58" fillId="0" borderId="3" xfId="0" applyFont="1" applyBorder="1" applyAlignment="1">
      <alignment horizontal="left" indent="4"/>
    </xf>
    <xf numFmtId="0" fontId="58" fillId="0" borderId="4" xfId="0" applyFont="1" applyBorder="1" applyAlignment="1">
      <alignment horizontal="left" indent="4"/>
    </xf>
    <xf numFmtId="0" fontId="58" fillId="0" borderId="3" xfId="0" applyFont="1" applyFill="1" applyBorder="1" applyAlignment="1">
      <alignment horizontal="left" indent="2"/>
    </xf>
    <xf numFmtId="0" fontId="58" fillId="0" borderId="4" xfId="0" applyFont="1" applyFill="1" applyBorder="1" applyAlignment="1">
      <alignment horizontal="left" indent="2"/>
    </xf>
    <xf numFmtId="0" fontId="58" fillId="0" borderId="3" xfId="0" applyFont="1" applyFill="1" applyBorder="1" applyAlignment="1">
      <alignment horizontal="left" indent="5"/>
    </xf>
    <xf numFmtId="0" fontId="58" fillId="0" borderId="4" xfId="0" applyFont="1" applyFill="1" applyBorder="1" applyAlignment="1">
      <alignment horizontal="left" indent="5"/>
    </xf>
    <xf numFmtId="0" fontId="58" fillId="0" borderId="3" xfId="0" applyFont="1" applyBorder="1" applyAlignment="1">
      <alignment horizontal="left" indent="1"/>
    </xf>
    <xf numFmtId="0" fontId="58" fillId="0" borderId="4" xfId="0" applyFont="1" applyBorder="1" applyAlignment="1">
      <alignment horizontal="left" indent="1"/>
    </xf>
    <xf numFmtId="0" fontId="58" fillId="0" borderId="3" xfId="3" applyFont="1" applyFill="1" applyBorder="1" applyAlignment="1">
      <alignment horizontal="left" vertical="top"/>
    </xf>
    <xf numFmtId="0" fontId="58" fillId="0" borderId="4" xfId="3" applyFont="1" applyFill="1" applyBorder="1" applyAlignment="1">
      <alignment horizontal="left" vertical="top"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2" xfId="0" applyFont="1" applyBorder="1" applyAlignment="1">
      <alignment horizontal="left" indent="2"/>
    </xf>
    <xf numFmtId="0" fontId="59" fillId="0" borderId="13" xfId="0" applyFont="1" applyBorder="1" applyAlignment="1">
      <alignment horizontal="left" indent="2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59" fillId="10" borderId="3" xfId="0" applyFont="1" applyFill="1" applyBorder="1" applyAlignment="1">
      <alignment horizontal="left" indent="2"/>
    </xf>
    <xf numFmtId="0" fontId="59" fillId="10" borderId="4" xfId="0" applyFont="1" applyFill="1" applyBorder="1" applyAlignment="1">
      <alignment horizontal="left" indent="2"/>
    </xf>
    <xf numFmtId="164" fontId="80" fillId="2" borderId="38" xfId="1" quotePrefix="1" applyNumberFormat="1" applyFont="1" applyFill="1" applyBorder="1" applyAlignment="1">
      <alignment horizontal="center" vertical="center" wrapText="1"/>
    </xf>
    <xf numFmtId="14" fontId="0" fillId="0" borderId="3" xfId="0" applyNumberFormat="1" applyBorder="1"/>
    <xf numFmtId="43" fontId="0" fillId="0" borderId="0" xfId="1" applyFont="1" applyFill="1" applyBorder="1"/>
    <xf numFmtId="165" fontId="0" fillId="0" borderId="39" xfId="1" applyNumberFormat="1" applyFont="1" applyBorder="1"/>
    <xf numFmtId="10" fontId="0" fillId="0" borderId="39" xfId="2" applyNumberFormat="1" applyFont="1" applyBorder="1"/>
    <xf numFmtId="10" fontId="0" fillId="0" borderId="39" xfId="0" applyNumberFormat="1" applyBorder="1"/>
    <xf numFmtId="0" fontId="0" fillId="0" borderId="40" xfId="0" applyBorder="1"/>
    <xf numFmtId="166" fontId="0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229" fontId="0" fillId="0" borderId="41" xfId="0" applyNumberFormat="1" applyBorder="1"/>
    <xf numFmtId="43" fontId="0" fillId="0" borderId="0" xfId="1" applyFont="1" applyBorder="1"/>
    <xf numFmtId="14" fontId="0" fillId="0" borderId="6" xfId="0" applyNumberFormat="1" applyBorder="1"/>
    <xf numFmtId="43" fontId="0" fillId="0" borderId="7" xfId="1" applyFont="1" applyBorder="1"/>
    <xf numFmtId="0" fontId="0" fillId="0" borderId="44" xfId="0" applyBorder="1"/>
    <xf numFmtId="0" fontId="2" fillId="0" borderId="0" xfId="0" applyFont="1" applyFill="1" applyAlignment="1">
      <alignment horizontal="right"/>
    </xf>
    <xf numFmtId="10" fontId="2" fillId="0" borderId="0" xfId="0" applyNumberFormat="1" applyFont="1" applyFill="1"/>
    <xf numFmtId="0" fontId="0" fillId="0" borderId="41" xfId="0" applyBorder="1"/>
    <xf numFmtId="0" fontId="2" fillId="0" borderId="0" xfId="0" applyFont="1" applyAlignment="1">
      <alignment horizontal="right"/>
    </xf>
    <xf numFmtId="229" fontId="2" fillId="0" borderId="41" xfId="0" applyNumberFormat="1" applyFont="1" applyBorder="1"/>
    <xf numFmtId="0" fontId="2" fillId="0" borderId="41" xfId="0" applyFont="1" applyBorder="1"/>
    <xf numFmtId="0" fontId="0" fillId="11" borderId="0" xfId="0" applyFill="1"/>
    <xf numFmtId="0" fontId="2" fillId="11" borderId="0" xfId="0" applyFont="1" applyFill="1" applyAlignment="1">
      <alignment horizontal="right"/>
    </xf>
    <xf numFmtId="10" fontId="2" fillId="11" borderId="41" xfId="2" applyNumberFormat="1" applyFont="1" applyFill="1" applyBorder="1"/>
    <xf numFmtId="0" fontId="81" fillId="0" borderId="0" xfId="0" applyFont="1" applyAlignment="1">
      <alignment horizontal="right"/>
    </xf>
    <xf numFmtId="10" fontId="81" fillId="0" borderId="41" xfId="1" applyNumberFormat="1" applyFont="1" applyBorder="1"/>
    <xf numFmtId="0" fontId="0" fillId="0" borderId="45" xfId="0" applyBorder="1"/>
    <xf numFmtId="0" fontId="0" fillId="0" borderId="42" xfId="0" applyBorder="1"/>
    <xf numFmtId="0" fontId="2" fillId="0" borderId="42" xfId="0" applyFont="1" applyBorder="1" applyAlignment="1">
      <alignment horizontal="right"/>
    </xf>
    <xf numFmtId="10" fontId="2" fillId="11" borderId="43" xfId="2" applyNumberFormat="1" applyFont="1" applyFill="1" applyBorder="1"/>
    <xf numFmtId="166" fontId="0" fillId="0" borderId="0" xfId="2" applyNumberFormat="1" applyFont="1" applyBorder="1"/>
    <xf numFmtId="10" fontId="0" fillId="0" borderId="0" xfId="2" applyNumberFormat="1" applyFont="1" applyBorder="1"/>
    <xf numFmtId="10" fontId="0" fillId="0" borderId="0" xfId="0" applyNumberFormat="1" applyBorder="1"/>
    <xf numFmtId="229" fontId="0" fillId="0" borderId="4" xfId="0" applyNumberFormat="1" applyBorder="1"/>
    <xf numFmtId="166" fontId="0" fillId="0" borderId="7" xfId="2" applyNumberFormat="1" applyFont="1" applyBorder="1"/>
    <xf numFmtId="10" fontId="0" fillId="0" borderId="7" xfId="2" applyNumberFormat="1" applyFont="1" applyBorder="1"/>
    <xf numFmtId="10" fontId="0" fillId="0" borderId="7" xfId="0" applyNumberFormat="1" applyBorder="1"/>
    <xf numFmtId="229" fontId="0" fillId="0" borderId="10" xfId="0" applyNumberFormat="1" applyBorder="1"/>
    <xf numFmtId="0" fontId="59" fillId="0" borderId="1" xfId="0" applyFont="1" applyBorder="1" applyAlignment="1">
      <alignment horizontal="left"/>
    </xf>
  </cellXfs>
  <cellStyles count="343">
    <cellStyle name="_%(SignOnly)" xfId="6"/>
    <cellStyle name="_%(SignSpaceOnly)" xfId="7"/>
    <cellStyle name="_Comma" xfId="8"/>
    <cellStyle name="_Currency" xfId="9"/>
    <cellStyle name="_CurrencySpace" xfId="10"/>
    <cellStyle name="_Euro" xfId="11"/>
    <cellStyle name="_Heading" xfId="12"/>
    <cellStyle name="_Heading_prestemp" xfId="13"/>
    <cellStyle name="_Heading_prestemp_1st Qtr PL FY07" xfId="14"/>
    <cellStyle name="_Heading_prestemp_Financial Statements" xfId="15"/>
    <cellStyle name="_Heading_prestemp_Financial Statementsvs1" xfId="16"/>
    <cellStyle name="_Highlight" xfId="17"/>
    <cellStyle name="_Multiple" xfId="18"/>
    <cellStyle name="_MultipleSpace" xfId="19"/>
    <cellStyle name="_SubHeading" xfId="20"/>
    <cellStyle name="_SubHeading_prestemp" xfId="21"/>
    <cellStyle name="_SubHeading_prestemp_1st Qtr PL FY07" xfId="22"/>
    <cellStyle name="_SubHeading_prestemp_Financial Statements" xfId="23"/>
    <cellStyle name="_SubHeading_prestemp_Financial Statementsvs1" xfId="24"/>
    <cellStyle name="_Table" xfId="25"/>
    <cellStyle name="_TableHead" xfId="26"/>
    <cellStyle name="_TableRowHead" xfId="27"/>
    <cellStyle name="_TableSuperHead" xfId="28"/>
    <cellStyle name="=C:\WINNT\SYSTEM32\COMMAND.COM" xfId="29"/>
    <cellStyle name="=C:\WINNT\SYSTEM32\COMMAND.COM 2" xfId="30"/>
    <cellStyle name="6-0" xfId="31"/>
    <cellStyle name="Bold12" xfId="32"/>
    <cellStyle name="BoldItal12" xfId="33"/>
    <cellStyle name="Border" xfId="34"/>
    <cellStyle name="Border 10" xfId="35"/>
    <cellStyle name="Border 11" xfId="36"/>
    <cellStyle name="Border 12" xfId="37"/>
    <cellStyle name="Border 13" xfId="38"/>
    <cellStyle name="Border 14" xfId="39"/>
    <cellStyle name="Border 15" xfId="40"/>
    <cellStyle name="Border 16" xfId="41"/>
    <cellStyle name="Border 17" xfId="42"/>
    <cellStyle name="Border 18" xfId="43"/>
    <cellStyle name="Border 19" xfId="44"/>
    <cellStyle name="Border 2" xfId="45"/>
    <cellStyle name="Border 20" xfId="46"/>
    <cellStyle name="Border 21" xfId="47"/>
    <cellStyle name="Border 22" xfId="48"/>
    <cellStyle name="Border 23" xfId="49"/>
    <cellStyle name="Border 24" xfId="50"/>
    <cellStyle name="Border 25" xfId="51"/>
    <cellStyle name="Border 26" xfId="52"/>
    <cellStyle name="Border 27" xfId="53"/>
    <cellStyle name="Border 28" xfId="54"/>
    <cellStyle name="Border 29" xfId="55"/>
    <cellStyle name="Border 3" xfId="56"/>
    <cellStyle name="Border 30" xfId="57"/>
    <cellStyle name="Border 31" xfId="58"/>
    <cellStyle name="Border 32" xfId="59"/>
    <cellStyle name="Border 33" xfId="60"/>
    <cellStyle name="Border 34" xfId="61"/>
    <cellStyle name="Border 35" xfId="62"/>
    <cellStyle name="Border 36" xfId="63"/>
    <cellStyle name="Border 37" xfId="64"/>
    <cellStyle name="Border 38" xfId="65"/>
    <cellStyle name="Border 39" xfId="66"/>
    <cellStyle name="Border 4" xfId="67"/>
    <cellStyle name="Border 40" xfId="68"/>
    <cellStyle name="Border 41" xfId="69"/>
    <cellStyle name="Border 42" xfId="70"/>
    <cellStyle name="Border 5" xfId="71"/>
    <cellStyle name="Border 6" xfId="72"/>
    <cellStyle name="Border 7" xfId="73"/>
    <cellStyle name="Border 8" xfId="74"/>
    <cellStyle name="Border 9" xfId="75"/>
    <cellStyle name="Calc Currency (0)" xfId="76"/>
    <cellStyle name="Calc Currency (0) 2" xfId="77"/>
    <cellStyle name="Calc Currency (2)" xfId="78"/>
    <cellStyle name="Calc Currency (2) 2" xfId="79"/>
    <cellStyle name="Calc Percent (0)" xfId="80"/>
    <cellStyle name="Calc Percent (0) 2" xfId="81"/>
    <cellStyle name="Calc Percent (1)" xfId="82"/>
    <cellStyle name="Calc Percent (1) 2" xfId="83"/>
    <cellStyle name="Calc Percent (2)" xfId="84"/>
    <cellStyle name="Calc Percent (2) 2" xfId="85"/>
    <cellStyle name="Calc Units (0)" xfId="86"/>
    <cellStyle name="Calc Units (0) 2" xfId="87"/>
    <cellStyle name="Calc Units (1)" xfId="88"/>
    <cellStyle name="Calc Units (1) 2" xfId="89"/>
    <cellStyle name="Calc Units (2)" xfId="90"/>
    <cellStyle name="Calc Units (2) 2" xfId="91"/>
    <cellStyle name="Centered Heading" xfId="92"/>
    <cellStyle name="columns" xfId="93"/>
    <cellStyle name="Comma" xfId="1" builtinId="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(0)" xfId="102"/>
    <cellStyle name="comma (0) 2" xfId="103"/>
    <cellStyle name="comma (0) 2 2" xfId="104"/>
    <cellStyle name="comma (0) 3" xfId="105"/>
    <cellStyle name="Comma [00]" xfId="106"/>
    <cellStyle name="Comma [00] 2" xfId="107"/>
    <cellStyle name="Comma 2" xfId="5"/>
    <cellStyle name="Comma 2 2" xfId="108"/>
    <cellStyle name="Comma 2 2 2" xfId="109"/>
    <cellStyle name="Comma 2 3" xfId="110"/>
    <cellStyle name="Comma 2 4" xfId="111"/>
    <cellStyle name="Comma 2 5" xfId="112"/>
    <cellStyle name="Comma 2 6" xfId="113"/>
    <cellStyle name="Comma 3" xfId="114"/>
    <cellStyle name="Comma 3 2" xfId="115"/>
    <cellStyle name="Comma 4" xfId="116"/>
    <cellStyle name="Comma 4 2" xfId="117"/>
    <cellStyle name="Comma 5" xfId="118"/>
    <cellStyle name="Comma 5 2" xfId="119"/>
    <cellStyle name="Comma Acctg" xfId="120"/>
    <cellStyle name="Comma Acctg 2" xfId="121"/>
    <cellStyle name="Comma0" xfId="122"/>
    <cellStyle name="Company Name" xfId="123"/>
    <cellStyle name="Contracts" xfId="124"/>
    <cellStyle name="CR Comma" xfId="125"/>
    <cellStyle name="CR Currency" xfId="126"/>
    <cellStyle name="curr" xfId="127"/>
    <cellStyle name="Currency [00]" xfId="128"/>
    <cellStyle name="Currency [00] 2" xfId="129"/>
    <cellStyle name="Currency 2" xfId="130"/>
    <cellStyle name="Currency Acctg" xfId="131"/>
    <cellStyle name="Currency0" xfId="132"/>
    <cellStyle name="Data" xfId="133"/>
    <cellStyle name="Date" xfId="134"/>
    <cellStyle name="Date Short" xfId="135"/>
    <cellStyle name="DateJoel" xfId="136"/>
    <cellStyle name="debbie" xfId="137"/>
    <cellStyle name="Dezimal [0]_laroux" xfId="138"/>
    <cellStyle name="Dezimal_laroux" xfId="139"/>
    <cellStyle name="Enter Currency (0)" xfId="140"/>
    <cellStyle name="Enter Currency (0) 2" xfId="141"/>
    <cellStyle name="Enter Currency (2)" xfId="142"/>
    <cellStyle name="Enter Currency (2) 2" xfId="143"/>
    <cellStyle name="Enter Units (0)" xfId="144"/>
    <cellStyle name="Enter Units (0) 2" xfId="145"/>
    <cellStyle name="Enter Units (1)" xfId="146"/>
    <cellStyle name="Enter Units (1) 2" xfId="147"/>
    <cellStyle name="Enter Units (2)" xfId="148"/>
    <cellStyle name="Enter Units (2) 2" xfId="149"/>
    <cellStyle name="eps" xfId="150"/>
    <cellStyle name="Euro" xfId="15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Grey" xfId="152"/>
    <cellStyle name="Header1" xfId="153"/>
    <cellStyle name="Header2" xfId="154"/>
    <cellStyle name="Header2 10" xfId="155"/>
    <cellStyle name="Header2 11" xfId="156"/>
    <cellStyle name="Header2 12" xfId="157"/>
    <cellStyle name="Header2 13" xfId="158"/>
    <cellStyle name="Header2 14" xfId="159"/>
    <cellStyle name="Header2 15" xfId="160"/>
    <cellStyle name="Header2 16" xfId="161"/>
    <cellStyle name="Header2 17" xfId="162"/>
    <cellStyle name="Header2 18" xfId="163"/>
    <cellStyle name="Header2 19" xfId="164"/>
    <cellStyle name="Header2 2" xfId="165"/>
    <cellStyle name="Header2 20" xfId="166"/>
    <cellStyle name="Header2 21" xfId="167"/>
    <cellStyle name="Header2 22" xfId="168"/>
    <cellStyle name="Header2 23" xfId="169"/>
    <cellStyle name="Header2 24" xfId="170"/>
    <cellStyle name="Header2 25" xfId="171"/>
    <cellStyle name="Header2 26" xfId="172"/>
    <cellStyle name="Header2 27" xfId="173"/>
    <cellStyle name="Header2 28" xfId="174"/>
    <cellStyle name="Header2 29" xfId="175"/>
    <cellStyle name="Header2 3" xfId="176"/>
    <cellStyle name="Header2 30" xfId="177"/>
    <cellStyle name="Header2 31" xfId="178"/>
    <cellStyle name="Header2 32" xfId="179"/>
    <cellStyle name="Header2 33" xfId="180"/>
    <cellStyle name="Header2 34" xfId="181"/>
    <cellStyle name="Header2 35" xfId="182"/>
    <cellStyle name="Header2 36" xfId="183"/>
    <cellStyle name="Header2 37" xfId="184"/>
    <cellStyle name="Header2 38" xfId="185"/>
    <cellStyle name="Header2 39" xfId="186"/>
    <cellStyle name="Header2 4" xfId="187"/>
    <cellStyle name="Header2 40" xfId="188"/>
    <cellStyle name="Header2 41" xfId="189"/>
    <cellStyle name="Header2 42" xfId="190"/>
    <cellStyle name="Header2 5" xfId="191"/>
    <cellStyle name="Header2 6" xfId="192"/>
    <cellStyle name="Header2 7" xfId="193"/>
    <cellStyle name="Header2 8" xfId="194"/>
    <cellStyle name="Header2 9" xfId="195"/>
    <cellStyle name="Heading" xfId="196"/>
    <cellStyle name="Heading 1 2" xfId="197"/>
    <cellStyle name="Heading 1 3" xfId="198"/>
    <cellStyle name="Heading 1 4" xfId="199"/>
    <cellStyle name="Heading 2 2" xfId="200"/>
    <cellStyle name="Heading 2 3" xfId="201"/>
    <cellStyle name="Heading 2 4" xfId="202"/>
    <cellStyle name="Heading No Underline" xfId="203"/>
    <cellStyle name="Heading With Underline" xfId="204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 2" xfId="205"/>
    <cellStyle name="Hyperlink 2 2" xfId="206"/>
    <cellStyle name="Hyperlink 2 2 2" xfId="207"/>
    <cellStyle name="Hyperlink 3" xfId="208"/>
    <cellStyle name="Hyperlink 4" xfId="209"/>
    <cellStyle name="Input [yellow]" xfId="210"/>
    <cellStyle name="Link Currency (0)" xfId="211"/>
    <cellStyle name="Link Currency (0) 2" xfId="212"/>
    <cellStyle name="Link Currency (2)" xfId="213"/>
    <cellStyle name="Link Currency (2) 2" xfId="214"/>
    <cellStyle name="Link Units (0)" xfId="215"/>
    <cellStyle name="Link Units (0) 2" xfId="216"/>
    <cellStyle name="Link Units (1)" xfId="217"/>
    <cellStyle name="Link Units (1) 2" xfId="218"/>
    <cellStyle name="Link Units (2)" xfId="219"/>
    <cellStyle name="Link Units (2) 2" xfId="220"/>
    <cellStyle name="Millares [0]_pldt" xfId="221"/>
    <cellStyle name="Millares_pldt" xfId="222"/>
    <cellStyle name="Milliers [0]_AR1194" xfId="223"/>
    <cellStyle name="Milliers_AR1194" xfId="224"/>
    <cellStyle name="Moneda [0]_pldt" xfId="225"/>
    <cellStyle name="Moneda_pldt" xfId="226"/>
    <cellStyle name="Monétaire [0]_AR1194" xfId="227"/>
    <cellStyle name="Monétaire_AR1194" xfId="228"/>
    <cellStyle name="negativ" xfId="229"/>
    <cellStyle name="no dec" xfId="230"/>
    <cellStyle name="nodollars" xfId="231"/>
    <cellStyle name="nodollars 2" xfId="232"/>
    <cellStyle name="Normal" xfId="0" builtinId="0"/>
    <cellStyle name="Normal - Style1" xfId="233"/>
    <cellStyle name="Normal - Style1 2" xfId="234"/>
    <cellStyle name="Normal - Style2" xfId="235"/>
    <cellStyle name="Normal - Style3" xfId="236"/>
    <cellStyle name="Normal - Style4" xfId="237"/>
    <cellStyle name="Normal - Style5" xfId="238"/>
    <cellStyle name="Normal 10" xfId="239"/>
    <cellStyle name="Normal 11" xfId="330"/>
    <cellStyle name="Normal 141" xfId="329"/>
    <cellStyle name="Normal 2" xfId="3"/>
    <cellStyle name="Normal 2 2" xfId="240"/>
    <cellStyle name="Normal 2 2 2" xfId="241"/>
    <cellStyle name="Normal 2 3" xfId="242"/>
    <cellStyle name="Normal 2 3 2" xfId="243"/>
    <cellStyle name="Normal 2 4" xfId="244"/>
    <cellStyle name="Normal 2 5" xfId="245"/>
    <cellStyle name="Normal 2 6" xfId="246"/>
    <cellStyle name="Normal 2 7" xfId="247"/>
    <cellStyle name="Normal 2 8" xfId="248"/>
    <cellStyle name="Normal 3" xfId="4"/>
    <cellStyle name="Normal 3 2" xfId="249"/>
    <cellStyle name="Normal 3 3" xfId="250"/>
    <cellStyle name="Normal 3 4" xfId="251"/>
    <cellStyle name="Normal 4" xfId="252"/>
    <cellStyle name="Normal 5" xfId="253"/>
    <cellStyle name="Normal 5 2" xfId="254"/>
    <cellStyle name="Normal 6" xfId="255"/>
    <cellStyle name="Normal 6 2" xfId="256"/>
    <cellStyle name="Normal 6 3" xfId="257"/>
    <cellStyle name="Normal 7" xfId="258"/>
    <cellStyle name="Normal 7 2" xfId="259"/>
    <cellStyle name="Normal 8" xfId="260"/>
    <cellStyle name="Normal 8 2" xfId="261"/>
    <cellStyle name="Normal 8 3" xfId="262"/>
    <cellStyle name="Normal 9" xfId="263"/>
    <cellStyle name="Number0DecimalStyle" xfId="264"/>
    <cellStyle name="Number0DecimalStyle 2" xfId="265"/>
    <cellStyle name="Number10DecimalStyle" xfId="266"/>
    <cellStyle name="Number1DecimalStyle" xfId="267"/>
    <cellStyle name="Number2DecimalStyle" xfId="268"/>
    <cellStyle name="Number2DecimalStyle 2" xfId="269"/>
    <cellStyle name="Number3DecimalStyle" xfId="270"/>
    <cellStyle name="Number4DecimalStyle" xfId="271"/>
    <cellStyle name="Number5DecimalStyle" xfId="272"/>
    <cellStyle name="Number6DecimalStyle" xfId="273"/>
    <cellStyle name="Number7DecimalStyle" xfId="274"/>
    <cellStyle name="Number8DecimalStyle" xfId="275"/>
    <cellStyle name="Number9DecimalStyle" xfId="276"/>
    <cellStyle name="over" xfId="277"/>
    <cellStyle name="Percent" xfId="2" builtinId="5"/>
    <cellStyle name="percent (0)" xfId="278"/>
    <cellStyle name="Percent [0]" xfId="279"/>
    <cellStyle name="Percent [0] 2" xfId="280"/>
    <cellStyle name="Percent [00]" xfId="281"/>
    <cellStyle name="Percent [00] 2" xfId="282"/>
    <cellStyle name="Percent [2]" xfId="283"/>
    <cellStyle name="Percent 10" xfId="284"/>
    <cellStyle name="Percent 2" xfId="285"/>
    <cellStyle name="Percent 2 2" xfId="286"/>
    <cellStyle name="Percent 2 3" xfId="287"/>
    <cellStyle name="Percent 2 4" xfId="288"/>
    <cellStyle name="Percent 3" xfId="289"/>
    <cellStyle name="Percent 3 2" xfId="290"/>
    <cellStyle name="Percent 4" xfId="291"/>
    <cellStyle name="Percent 6" xfId="292"/>
    <cellStyle name="PERCENTAGE" xfId="293"/>
    <cellStyle name="posit" xfId="294"/>
    <cellStyle name="Powerpoint Style" xfId="295"/>
    <cellStyle name="PrePop Currency (0)" xfId="296"/>
    <cellStyle name="PrePop Currency (0) 2" xfId="297"/>
    <cellStyle name="PrePop Currency (2)" xfId="298"/>
    <cellStyle name="PrePop Currency (2) 2" xfId="299"/>
    <cellStyle name="PrePop Units (0)" xfId="300"/>
    <cellStyle name="PrePop Units (0) 2" xfId="301"/>
    <cellStyle name="PrePop Units (1)" xfId="302"/>
    <cellStyle name="PrePop Units (1) 2" xfId="303"/>
    <cellStyle name="PrePop Units (2)" xfId="304"/>
    <cellStyle name="PrePop Units (2) 2" xfId="305"/>
    <cellStyle name="SingleTopDoubleBott" xfId="306"/>
    <cellStyle name="Standard_A" xfId="307"/>
    <cellStyle name="Style 1" xfId="308"/>
    <cellStyle name="Style 2" xfId="309"/>
    <cellStyle name="Style 3" xfId="310"/>
    <cellStyle name="Style 4" xfId="311"/>
    <cellStyle name="Text Indent A" xfId="312"/>
    <cellStyle name="Text Indent B" xfId="313"/>
    <cellStyle name="Text Indent B 2" xfId="314"/>
    <cellStyle name="Text Indent C" xfId="315"/>
    <cellStyle name="Text Indent C 2" xfId="316"/>
    <cellStyle name="TextStyle" xfId="317"/>
    <cellStyle name="Tickmark" xfId="318"/>
    <cellStyle name="TimStyle" xfId="319"/>
    <cellStyle name="Total 2" xfId="320"/>
    <cellStyle name="Total 3" xfId="321"/>
    <cellStyle name="Total 4" xfId="322"/>
    <cellStyle name="Underline" xfId="323"/>
    <cellStyle name="UnderlineDouble" xfId="324"/>
    <cellStyle name="Währung [0]_RESULTS" xfId="325"/>
    <cellStyle name="Währung_RESULTS" xfId="326"/>
    <cellStyle name="표준_BINV" xfId="327"/>
    <cellStyle name="標準_99B-05PE_IC2" xfId="328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B1-40DA-AF65-A59B5A4F6F80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152"/>
        <c:axId val="337178928"/>
      </c:lineChart>
      <c:catAx>
        <c:axId val="337177152"/>
        <c:scaling>
          <c:orientation val="minMax"/>
          <c:min val="41746.0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37178928"/>
        <c:crosses val="autoZero"/>
        <c:auto val="1"/>
        <c:lblAlgn val="ctr"/>
        <c:lblOffset val="100"/>
        <c:tickLblSkip val="7"/>
        <c:noMultiLvlLbl val="1"/>
      </c:catAx>
      <c:valAx>
        <c:axId val="337178928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337177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A1-432C-9629-C0B8399F17B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917344"/>
        <c:axId val="743653376"/>
      </c:lineChart>
      <c:catAx>
        <c:axId val="594917344"/>
        <c:scaling>
          <c:orientation val="minMax"/>
          <c:min val="41746.0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3653376"/>
        <c:crosses val="autoZero"/>
        <c:auto val="1"/>
        <c:lblAlgn val="ctr"/>
        <c:lblOffset val="100"/>
        <c:tickLblSkip val="7"/>
        <c:noMultiLvlLbl val="1"/>
      </c:catAx>
      <c:valAx>
        <c:axId val="743653376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594917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B3-4E7E-8C1B-5EC41782F9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02128"/>
        <c:axId val="337404448"/>
      </c:lineChart>
      <c:catAx>
        <c:axId val="337402128"/>
        <c:scaling>
          <c:orientation val="minMax"/>
          <c:min val="41746.0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37404448"/>
        <c:crosses val="autoZero"/>
        <c:auto val="1"/>
        <c:lblAlgn val="ctr"/>
        <c:lblOffset val="100"/>
        <c:tickLblSkip val="7"/>
        <c:noMultiLvlLbl val="1"/>
      </c:catAx>
      <c:valAx>
        <c:axId val="337404448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33740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6E-4F65-ABFE-CF3C792E3A0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421840"/>
        <c:axId val="740098976"/>
      </c:lineChart>
      <c:catAx>
        <c:axId val="738421840"/>
        <c:scaling>
          <c:orientation val="minMax"/>
          <c:min val="41746.0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0098976"/>
        <c:crosses val="autoZero"/>
        <c:auto val="1"/>
        <c:lblAlgn val="ctr"/>
        <c:lblOffset val="100"/>
        <c:tickLblSkip val="7"/>
        <c:noMultiLvlLbl val="1"/>
      </c:catAx>
      <c:valAx>
        <c:axId val="740098976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738421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8D-4E3E-9B28-09F3A256DAA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407472"/>
        <c:axId val="744709792"/>
      </c:lineChart>
      <c:catAx>
        <c:axId val="742407472"/>
        <c:scaling>
          <c:orientation val="minMax"/>
          <c:min val="41746.0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4709792"/>
        <c:crosses val="autoZero"/>
        <c:auto val="1"/>
        <c:lblAlgn val="ctr"/>
        <c:lblOffset val="100"/>
        <c:tickLblSkip val="7"/>
        <c:noMultiLvlLbl val="1"/>
      </c:catAx>
      <c:valAx>
        <c:axId val="744709792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742407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236802</xdr:colOff>
      <xdr:row>181</xdr:row>
      <xdr:rowOff>0</xdr:rowOff>
    </xdr:from>
    <xdr:to>
      <xdr:col>3</xdr:col>
      <xdr:colOff>0</xdr:colOff>
      <xdr:row>181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236802</xdr:colOff>
      <xdr:row>238</xdr:row>
      <xdr:rowOff>0</xdr:rowOff>
    </xdr:from>
    <xdr:to>
      <xdr:col>3</xdr:col>
      <xdr:colOff>0</xdr:colOff>
      <xdr:row>238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236802</xdr:colOff>
      <xdr:row>285</xdr:row>
      <xdr:rowOff>0</xdr:rowOff>
    </xdr:from>
    <xdr:to>
      <xdr:col>3</xdr:col>
      <xdr:colOff>0</xdr:colOff>
      <xdr:row>285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236802</xdr:colOff>
      <xdr:row>45</xdr:row>
      <xdr:rowOff>0</xdr:rowOff>
    </xdr:from>
    <xdr:to>
      <xdr:col>3</xdr:col>
      <xdr:colOff>0</xdr:colOff>
      <xdr:row>45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236802</xdr:colOff>
      <xdr:row>222</xdr:row>
      <xdr:rowOff>0</xdr:rowOff>
    </xdr:from>
    <xdr:to>
      <xdr:col>3</xdr:col>
      <xdr:colOff>0</xdr:colOff>
      <xdr:row>222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aashish/Desktop/MSF/Equities/Financial%20Modeling%20Program/file_4_-_sbux_model__base-case__10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arnings Model"/>
      <sheetName val="Recon of ASRs"/>
      <sheetName val="Charts"/>
      <sheetName val="Std Dev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D334"/>
  <sheetViews>
    <sheetView showGridLines="0" tabSelected="1" workbookViewId="0">
      <selection activeCell="D19" sqref="D19"/>
    </sheetView>
  </sheetViews>
  <sheetFormatPr baseColWidth="10" defaultColWidth="8.83203125" defaultRowHeight="15" outlineLevelRow="1" outlineLevelCol="1" x14ac:dyDescent="0.2"/>
  <cols>
    <col min="1" max="1" width="2.1640625" style="2" customWidth="1"/>
    <col min="2" max="2" width="31.33203125" style="2" customWidth="1"/>
    <col min="3" max="3" width="25.33203125" style="2" customWidth="1"/>
    <col min="4" max="5" width="11.5" style="1" customWidth="1" outlineLevel="1"/>
    <col min="6" max="7" width="11.5" style="3" customWidth="1" outlineLevel="1"/>
    <col min="8" max="8" width="11.5" style="3" customWidth="1"/>
    <col min="9" max="10" width="11.5" style="1" customWidth="1" outlineLevel="1"/>
    <col min="11" max="12" width="11.5" style="3" customWidth="1" outlineLevel="1"/>
    <col min="13" max="13" width="12.83203125" style="3" customWidth="1"/>
    <col min="14" max="15" width="11.5" style="1" customWidth="1" outlineLevel="1"/>
    <col min="16" max="17" width="11.5" style="3" customWidth="1" outlineLevel="1"/>
    <col min="18" max="18" width="11.5" style="3" customWidth="1"/>
    <col min="19" max="20" width="11.5" style="1" customWidth="1" outlineLevel="1"/>
    <col min="21" max="22" width="11.5" style="3" customWidth="1" outlineLevel="1"/>
    <col min="23" max="23" width="11.5" style="3" customWidth="1"/>
    <col min="24" max="25" width="11.5" style="1" customWidth="1" outlineLevel="1"/>
    <col min="26" max="27" width="11.5" style="3" customWidth="1" outlineLevel="1"/>
    <col min="28" max="28" width="11.5" style="3" customWidth="1"/>
    <col min="29" max="30" width="11.5" style="1" customWidth="1" outlineLevel="1"/>
    <col min="31" max="32" width="11.5" style="3" customWidth="1" outlineLevel="1"/>
    <col min="33" max="33" width="11.5" style="3" customWidth="1"/>
    <col min="34" max="35" width="11.5" style="1" customWidth="1" outlineLevel="1"/>
    <col min="36" max="37" width="11.5" style="3" customWidth="1" outlineLevel="1"/>
    <col min="38" max="38" width="11.5" style="3" customWidth="1"/>
    <col min="39" max="16384" width="8.83203125" style="2"/>
  </cols>
  <sheetData>
    <row r="1" spans="1:56" ht="9" customHeight="1" x14ac:dyDescent="0.2">
      <c r="B1" s="166" t="s">
        <v>37</v>
      </c>
    </row>
    <row r="2" spans="1:56" ht="45" customHeight="1" x14ac:dyDescent="0.2">
      <c r="B2" s="441"/>
      <c r="C2" s="442"/>
    </row>
    <row r="3" spans="1:56" x14ac:dyDescent="0.2">
      <c r="B3" s="454"/>
      <c r="C3" s="455"/>
    </row>
    <row r="4" spans="1:56" x14ac:dyDescent="0.2">
      <c r="B4" s="460"/>
      <c r="C4" s="461"/>
      <c r="BD4" s="166" t="s">
        <v>37</v>
      </c>
    </row>
    <row r="5" spans="1:56" x14ac:dyDescent="0.2">
      <c r="B5" s="462"/>
      <c r="C5" s="46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56" ht="14.5" customHeight="1" x14ac:dyDescent="0.2">
      <c r="B6" s="524" t="s">
        <v>295</v>
      </c>
      <c r="C6" s="309">
        <f>C300</f>
        <v>108.79759999999999</v>
      </c>
      <c r="D6" s="4"/>
      <c r="E6" s="86"/>
      <c r="F6" s="85"/>
      <c r="G6" s="4"/>
      <c r="H6" s="8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56" ht="14.5" customHeight="1" x14ac:dyDescent="0.2">
      <c r="B7" s="380" t="s">
        <v>321</v>
      </c>
      <c r="C7" s="310">
        <f>C327</f>
        <v>103.01979496589495</v>
      </c>
      <c r="D7" s="35"/>
      <c r="E7" s="86"/>
      <c r="F7" s="85"/>
      <c r="G7" s="35"/>
      <c r="H7" s="8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45"/>
      <c r="AC7" s="35"/>
      <c r="AD7" s="35"/>
      <c r="AE7" s="35"/>
      <c r="AF7" s="35"/>
      <c r="AG7" s="45"/>
      <c r="AH7" s="35"/>
      <c r="AI7" s="35"/>
      <c r="AJ7" s="35"/>
      <c r="AK7" s="35"/>
      <c r="AL7" s="45"/>
    </row>
    <row r="8" spans="1:56" ht="14.5" customHeight="1" x14ac:dyDescent="0.2">
      <c r="B8" s="380" t="s">
        <v>342</v>
      </c>
      <c r="C8" s="311">
        <f>(0.5*C6)+(0.5*C7)</f>
        <v>105.90869748294747</v>
      </c>
      <c r="D8" s="25"/>
      <c r="E8" s="86"/>
      <c r="F8" s="87"/>
      <c r="G8" s="87"/>
      <c r="H8" s="25"/>
      <c r="I8" s="87"/>
      <c r="J8" s="87"/>
      <c r="K8" s="45"/>
      <c r="L8" s="25"/>
      <c r="M8" s="25"/>
      <c r="N8" s="25"/>
      <c r="O8" s="25"/>
      <c r="P8" s="25"/>
      <c r="Q8" s="45"/>
      <c r="R8" s="25"/>
      <c r="S8" s="25"/>
      <c r="T8" s="25"/>
      <c r="U8" s="25"/>
      <c r="V8" s="25"/>
      <c r="W8" s="25"/>
      <c r="X8" s="25"/>
      <c r="Y8" s="25"/>
      <c r="Z8" s="25"/>
      <c r="AA8" s="25"/>
      <c r="AB8" s="84"/>
      <c r="AC8" s="25"/>
      <c r="AD8" s="25"/>
      <c r="AE8" s="25"/>
      <c r="AF8" s="25"/>
      <c r="AG8" s="84"/>
      <c r="AH8" s="25"/>
      <c r="AI8" s="25"/>
      <c r="AJ8" s="25"/>
      <c r="AK8" s="25"/>
      <c r="AL8" s="84"/>
    </row>
    <row r="9" spans="1:56" ht="14.5" customHeight="1" x14ac:dyDescent="0.2">
      <c r="B9" s="312" t="s">
        <v>343</v>
      </c>
      <c r="C9" s="313" t="str">
        <f>TEXT(C334,"$0")&amp;" to "&amp;TEXT(C333,"$0")</f>
        <v>$87 to $124</v>
      </c>
      <c r="D9" s="97"/>
      <c r="E9" s="191"/>
      <c r="F9" s="88"/>
      <c r="G9" s="88"/>
      <c r="H9" s="35"/>
      <c r="I9" s="88"/>
      <c r="J9" s="88"/>
      <c r="K9" s="35"/>
      <c r="L9" s="88"/>
      <c r="M9" s="45"/>
      <c r="N9" s="45"/>
      <c r="O9" s="45"/>
      <c r="P9" s="45"/>
      <c r="Q9" s="88"/>
      <c r="R9" s="190"/>
      <c r="S9" s="45"/>
      <c r="T9" s="45"/>
      <c r="U9" s="45"/>
      <c r="V9" s="88"/>
      <c r="W9" s="45"/>
      <c r="X9" s="45"/>
      <c r="Y9" s="45"/>
      <c r="Z9" s="45"/>
      <c r="AA9" s="45"/>
      <c r="AB9" s="192"/>
      <c r="AC9" s="45"/>
      <c r="AD9" s="45"/>
      <c r="AE9" s="45"/>
      <c r="AF9" s="45"/>
      <c r="AG9" s="192"/>
      <c r="AH9" s="45"/>
      <c r="AI9" s="45"/>
      <c r="AJ9" s="45"/>
      <c r="AK9" s="45"/>
      <c r="AL9" s="192"/>
    </row>
    <row r="10" spans="1:56" ht="15" customHeight="1" x14ac:dyDescent="0.2">
      <c r="B10" s="166" t="s">
        <v>37</v>
      </c>
      <c r="D10" s="94"/>
      <c r="E10" s="293"/>
      <c r="F10" s="293"/>
      <c r="G10" s="7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</row>
    <row r="11" spans="1:56" ht="16" x14ac:dyDescent="0.2">
      <c r="A11" s="423"/>
      <c r="B11" s="417" t="s">
        <v>69</v>
      </c>
      <c r="C11" s="436"/>
      <c r="D11" s="22" t="s">
        <v>59</v>
      </c>
      <c r="E11" s="22" t="s">
        <v>213</v>
      </c>
      <c r="F11" s="22" t="s">
        <v>215</v>
      </c>
      <c r="G11" s="22" t="s">
        <v>73</v>
      </c>
      <c r="H11" s="77" t="s">
        <v>73</v>
      </c>
      <c r="I11" s="22" t="s">
        <v>74</v>
      </c>
      <c r="J11" s="22" t="s">
        <v>75</v>
      </c>
      <c r="K11" s="22" t="s">
        <v>76</v>
      </c>
      <c r="L11" s="24" t="s">
        <v>77</v>
      </c>
      <c r="M11" s="79" t="s">
        <v>77</v>
      </c>
      <c r="N11" s="24" t="s">
        <v>78</v>
      </c>
      <c r="O11" s="24" t="s">
        <v>79</v>
      </c>
      <c r="P11" s="24" t="s">
        <v>80</v>
      </c>
      <c r="Q11" s="24" t="s">
        <v>81</v>
      </c>
      <c r="R11" s="79" t="s">
        <v>81</v>
      </c>
      <c r="S11" s="24" t="s">
        <v>82</v>
      </c>
      <c r="T11" s="24" t="s">
        <v>83</v>
      </c>
      <c r="U11" s="24" t="s">
        <v>84</v>
      </c>
      <c r="V11" s="24" t="s">
        <v>85</v>
      </c>
      <c r="W11" s="79" t="s">
        <v>85</v>
      </c>
      <c r="X11" s="24" t="s">
        <v>86</v>
      </c>
      <c r="Y11" s="24" t="s">
        <v>87</v>
      </c>
      <c r="Z11" s="24" t="s">
        <v>88</v>
      </c>
      <c r="AA11" s="24" t="s">
        <v>89</v>
      </c>
      <c r="AB11" s="79" t="s">
        <v>89</v>
      </c>
      <c r="AC11" s="24" t="s">
        <v>217</v>
      </c>
      <c r="AD11" s="24" t="s">
        <v>218</v>
      </c>
      <c r="AE11" s="24" t="s">
        <v>219</v>
      </c>
      <c r="AF11" s="24" t="s">
        <v>220</v>
      </c>
      <c r="AG11" s="79" t="s">
        <v>220</v>
      </c>
      <c r="AH11" s="24" t="s">
        <v>250</v>
      </c>
      <c r="AI11" s="24" t="s">
        <v>251</v>
      </c>
      <c r="AJ11" s="24" t="s">
        <v>252</v>
      </c>
      <c r="AK11" s="24" t="s">
        <v>253</v>
      </c>
      <c r="AL11" s="79" t="s">
        <v>253</v>
      </c>
    </row>
    <row r="12" spans="1:56" ht="17.5" customHeight="1" x14ac:dyDescent="0.35">
      <c r="A12" s="423"/>
      <c r="B12" s="432" t="s">
        <v>3</v>
      </c>
      <c r="C12" s="433"/>
      <c r="D12" s="23" t="s">
        <v>72</v>
      </c>
      <c r="E12" s="23" t="s">
        <v>212</v>
      </c>
      <c r="F12" s="23" t="s">
        <v>216</v>
      </c>
      <c r="G12" s="23" t="s">
        <v>226</v>
      </c>
      <c r="H12" s="78" t="s">
        <v>227</v>
      </c>
      <c r="I12" s="23" t="s">
        <v>228</v>
      </c>
      <c r="J12" s="23" t="s">
        <v>229</v>
      </c>
      <c r="K12" s="23" t="s">
        <v>230</v>
      </c>
      <c r="L12" s="21" t="s">
        <v>90</v>
      </c>
      <c r="M12" s="80" t="s">
        <v>91</v>
      </c>
      <c r="N12" s="21" t="s">
        <v>92</v>
      </c>
      <c r="O12" s="21" t="s">
        <v>93</v>
      </c>
      <c r="P12" s="21" t="s">
        <v>94</v>
      </c>
      <c r="Q12" s="21" t="s">
        <v>95</v>
      </c>
      <c r="R12" s="80" t="s">
        <v>96</v>
      </c>
      <c r="S12" s="21" t="s">
        <v>97</v>
      </c>
      <c r="T12" s="21" t="s">
        <v>98</v>
      </c>
      <c r="U12" s="21" t="s">
        <v>99</v>
      </c>
      <c r="V12" s="21" t="s">
        <v>100</v>
      </c>
      <c r="W12" s="80" t="s">
        <v>101</v>
      </c>
      <c r="X12" s="21" t="s">
        <v>102</v>
      </c>
      <c r="Y12" s="21" t="s">
        <v>103</v>
      </c>
      <c r="Z12" s="21" t="s">
        <v>104</v>
      </c>
      <c r="AA12" s="21" t="s">
        <v>105</v>
      </c>
      <c r="AB12" s="80" t="s">
        <v>106</v>
      </c>
      <c r="AC12" s="21" t="s">
        <v>221</v>
      </c>
      <c r="AD12" s="21" t="s">
        <v>222</v>
      </c>
      <c r="AE12" s="21" t="s">
        <v>223</v>
      </c>
      <c r="AF12" s="21" t="s">
        <v>224</v>
      </c>
      <c r="AG12" s="80" t="s">
        <v>225</v>
      </c>
      <c r="AH12" s="21" t="s">
        <v>254</v>
      </c>
      <c r="AI12" s="21" t="s">
        <v>255</v>
      </c>
      <c r="AJ12" s="21" t="s">
        <v>256</v>
      </c>
      <c r="AK12" s="21" t="s">
        <v>257</v>
      </c>
      <c r="AL12" s="80" t="s">
        <v>258</v>
      </c>
    </row>
    <row r="13" spans="1:56" outlineLevel="1" x14ac:dyDescent="0.2">
      <c r="A13" s="167"/>
      <c r="B13" s="460" t="s">
        <v>232</v>
      </c>
      <c r="C13" s="461"/>
      <c r="D13" s="174">
        <v>5370.3</v>
      </c>
      <c r="E13" s="174">
        <v>5159</v>
      </c>
      <c r="F13" s="174">
        <v>5535</v>
      </c>
      <c r="G13" s="174">
        <f>H13-F13-E13-D13</f>
        <v>5480.1000000000013</v>
      </c>
      <c r="H13" s="187">
        <v>21544.400000000001</v>
      </c>
      <c r="I13" s="174">
        <v>5780.7</v>
      </c>
      <c r="J13" s="174">
        <v>4766</v>
      </c>
      <c r="K13" s="174">
        <v>3444.4</v>
      </c>
      <c r="L13" s="174">
        <f>L56+L89</f>
        <v>4904.9824866813233</v>
      </c>
      <c r="M13" s="187">
        <f>SUM(I13:L13)</f>
        <v>18896.082486681324</v>
      </c>
      <c r="N13" s="174">
        <f t="shared" ref="N13:Q13" si="0">N56+N89</f>
        <v>5565.6326631234188</v>
      </c>
      <c r="O13" s="174">
        <f t="shared" si="0"/>
        <v>4726.0600909359209</v>
      </c>
      <c r="P13" s="174">
        <f t="shared" si="0"/>
        <v>5562.9807602277397</v>
      </c>
      <c r="Q13" s="174">
        <f t="shared" si="0"/>
        <v>5866.0985394846339</v>
      </c>
      <c r="R13" s="187">
        <f>SUM(N13:Q13)</f>
        <v>21720.77205377171</v>
      </c>
      <c r="S13" s="174">
        <f t="shared" ref="S13:V13" si="1">S56+S89</f>
        <v>5847.7302998482992</v>
      </c>
      <c r="T13" s="174">
        <f t="shared" si="1"/>
        <v>4944.4747075326086</v>
      </c>
      <c r="U13" s="174">
        <f t="shared" si="1"/>
        <v>5848.5311467027268</v>
      </c>
      <c r="V13" s="174">
        <f t="shared" si="1"/>
        <v>6144.0332188715875</v>
      </c>
      <c r="W13" s="187">
        <f>SUM(S13:V13)</f>
        <v>22784.769372955223</v>
      </c>
      <c r="X13" s="174">
        <f t="shared" ref="X13:AA13" si="2">X56+X89</f>
        <v>6131.3331644741284</v>
      </c>
      <c r="Y13" s="174">
        <f t="shared" si="2"/>
        <v>5170.8636860624702</v>
      </c>
      <c r="Z13" s="174">
        <f>Z56+Z89</f>
        <v>6125.2712792088423</v>
      </c>
      <c r="AA13" s="174">
        <f t="shared" si="2"/>
        <v>6433.5732571002691</v>
      </c>
      <c r="AB13" s="187">
        <f>SUM(X13:AA13)</f>
        <v>23861.041386845711</v>
      </c>
      <c r="AC13" s="174">
        <f t="shared" ref="AC13:AF13" si="3">AC56+AC89</f>
        <v>6428.5861636176433</v>
      </c>
      <c r="AD13" s="174">
        <f t="shared" si="3"/>
        <v>5407.9977714461593</v>
      </c>
      <c r="AE13" s="174">
        <f t="shared" si="3"/>
        <v>6411.9278226056076</v>
      </c>
      <c r="AF13" s="174">
        <f t="shared" si="3"/>
        <v>6735.5550520272845</v>
      </c>
      <c r="AG13" s="187">
        <f>SUM(AC13:AF13)</f>
        <v>24984.066809696695</v>
      </c>
      <c r="AH13" s="174">
        <f t="shared" ref="AH13:AK13" si="4">AH56+AH89</f>
        <v>6785.1573264995959</v>
      </c>
      <c r="AI13" s="174">
        <f t="shared" si="4"/>
        <v>5695.8038060643921</v>
      </c>
      <c r="AJ13" s="174">
        <f t="shared" si="4"/>
        <v>6758.4400126398214</v>
      </c>
      <c r="AK13" s="174">
        <f t="shared" si="4"/>
        <v>7100.6880666935012</v>
      </c>
      <c r="AL13" s="187">
        <f>SUM(AH13:AK13)</f>
        <v>26340.089211897313</v>
      </c>
    </row>
    <row r="14" spans="1:56" outlineLevel="1" x14ac:dyDescent="0.2">
      <c r="A14" s="167"/>
      <c r="B14" s="460" t="s">
        <v>233</v>
      </c>
      <c r="C14" s="461"/>
      <c r="D14" s="174">
        <v>737.1</v>
      </c>
      <c r="E14" s="174">
        <v>678.2</v>
      </c>
      <c r="F14" s="174">
        <v>725</v>
      </c>
      <c r="G14" s="174">
        <f t="shared" ref="G14:G24" si="5">H14-F14-E14-D14</f>
        <v>734.69999999999993</v>
      </c>
      <c r="H14" s="187">
        <v>2875</v>
      </c>
      <c r="I14" s="174">
        <v>792</v>
      </c>
      <c r="J14" s="174">
        <v>689.8</v>
      </c>
      <c r="K14" s="174">
        <v>300.5</v>
      </c>
      <c r="L14" s="174">
        <f>+L63+L96</f>
        <v>647.19000000000005</v>
      </c>
      <c r="M14" s="187">
        <f>SUM(I14:L14)</f>
        <v>2429.4899999999998</v>
      </c>
      <c r="N14" s="174">
        <f t="shared" ref="N14:Q14" si="6">+N63+N96</f>
        <v>790.25637500000005</v>
      </c>
      <c r="O14" s="174">
        <f t="shared" si="6"/>
        <v>762.09112499999992</v>
      </c>
      <c r="P14" s="174">
        <f t="shared" si="6"/>
        <v>818.1920859375</v>
      </c>
      <c r="Q14" s="174">
        <f t="shared" si="6"/>
        <v>790.89394531250002</v>
      </c>
      <c r="R14" s="187">
        <f>SUM(N14:Q14)</f>
        <v>3161.4335312499998</v>
      </c>
      <c r="S14" s="174">
        <f>+S63+S96</f>
        <v>832.77974507812496</v>
      </c>
      <c r="T14" s="174">
        <f t="shared" ref="T14:AK14" si="7">+T63+T96</f>
        <v>805.73892152343751</v>
      </c>
      <c r="U14" s="174">
        <f t="shared" si="7"/>
        <v>865.49975120361319</v>
      </c>
      <c r="V14" s="174">
        <f t="shared" si="7"/>
        <v>837.6096469116211</v>
      </c>
      <c r="W14" s="187">
        <f>SUM(S14:V14)</f>
        <v>3341.6280647167969</v>
      </c>
      <c r="X14" s="174">
        <f t="shared" si="7"/>
        <v>881.7584759400147</v>
      </c>
      <c r="Y14" s="174">
        <f t="shared" si="7"/>
        <v>853.53734710722665</v>
      </c>
      <c r="Z14" s="174">
        <f t="shared" si="7"/>
        <v>916.69540626760272</v>
      </c>
      <c r="AA14" s="174">
        <f t="shared" si="7"/>
        <v>888.66986290328987</v>
      </c>
      <c r="AB14" s="187">
        <f>SUM(X14:AA14)</f>
        <v>3540.6610922181339</v>
      </c>
      <c r="AC14" s="174">
        <f t="shared" si="7"/>
        <v>935.41283848769672</v>
      </c>
      <c r="AD14" s="174">
        <f t="shared" si="7"/>
        <v>905.54888005614271</v>
      </c>
      <c r="AE14" s="174">
        <f t="shared" si="7"/>
        <v>973.19855082479944</v>
      </c>
      <c r="AF14" s="174">
        <f t="shared" si="7"/>
        <v>943.24663926528592</v>
      </c>
      <c r="AG14" s="187">
        <f>SUM(AC14:AF14)</f>
        <v>3757.406908633925</v>
      </c>
      <c r="AH14" s="174">
        <f t="shared" si="7"/>
        <v>991.50719495846511</v>
      </c>
      <c r="AI14" s="174">
        <f t="shared" si="7"/>
        <v>959.92307430286735</v>
      </c>
      <c r="AJ14" s="174">
        <f t="shared" si="7"/>
        <v>1031.3058787166565</v>
      </c>
      <c r="AK14" s="174">
        <f t="shared" si="7"/>
        <v>999.39051056086396</v>
      </c>
      <c r="AL14" s="187">
        <f>SUM(AH14:AK14)</f>
        <v>3982.126658538853</v>
      </c>
    </row>
    <row r="15" spans="1:56" ht="18" outlineLevel="1" x14ac:dyDescent="0.35">
      <c r="A15" s="167"/>
      <c r="B15" s="460" t="s">
        <v>234</v>
      </c>
      <c r="C15" s="461"/>
      <c r="D15" s="173">
        <v>525.29999999999995</v>
      </c>
      <c r="E15" s="173">
        <v>468.7</v>
      </c>
      <c r="F15" s="173">
        <v>563</v>
      </c>
      <c r="G15" s="173">
        <f t="shared" si="5"/>
        <v>532.19999999999982</v>
      </c>
      <c r="H15" s="198">
        <v>2089.1999999999998</v>
      </c>
      <c r="I15" s="173">
        <v>524.4</v>
      </c>
      <c r="J15" s="173">
        <v>539.9</v>
      </c>
      <c r="K15" s="173">
        <v>477.2</v>
      </c>
      <c r="L15" s="173">
        <f>L64+L97+L115+L129</f>
        <v>561.82000000000005</v>
      </c>
      <c r="M15" s="198">
        <f>SUM(I15:L15)</f>
        <v>2103.3200000000002</v>
      </c>
      <c r="N15" s="173">
        <f t="shared" ref="N15:Q15" si="8">N64+N97+N115+N129</f>
        <v>554.67000000000007</v>
      </c>
      <c r="O15" s="173">
        <f t="shared" si="8"/>
        <v>572.21500000000003</v>
      </c>
      <c r="P15" s="173">
        <f t="shared" si="8"/>
        <v>517.14600000000007</v>
      </c>
      <c r="Q15" s="173">
        <f t="shared" si="8"/>
        <v>607.43235000000004</v>
      </c>
      <c r="R15" s="198">
        <f>SUM(N15:Q15)</f>
        <v>2251.4633500000004</v>
      </c>
      <c r="S15" s="173">
        <f>S64+S97+S115+S129</f>
        <v>596.04510000000005</v>
      </c>
      <c r="T15" s="173">
        <f t="shared" ref="T15:V15" si="9">T64+T97+T115+T129</f>
        <v>614.80685000000005</v>
      </c>
      <c r="U15" s="173">
        <f t="shared" si="9"/>
        <v>556.14552000000003</v>
      </c>
      <c r="V15" s="173">
        <f t="shared" si="9"/>
        <v>653.78847450000012</v>
      </c>
      <c r="W15" s="173">
        <f>SUM(S15:V15)</f>
        <v>2420.7859445000004</v>
      </c>
      <c r="X15" s="173">
        <f>X64+X97+X115+X129</f>
        <v>637.97820450000006</v>
      </c>
      <c r="Y15" s="173">
        <f t="shared" ref="Y15:AA15" si="10">Y64+Y97+Y115+Y129</f>
        <v>658.17386950000014</v>
      </c>
      <c r="Z15" s="173">
        <f t="shared" si="10"/>
        <v>595.31069640000021</v>
      </c>
      <c r="AA15" s="173">
        <f t="shared" si="10"/>
        <v>700.12143946500009</v>
      </c>
      <c r="AB15" s="173">
        <f>SUM(X15:AA15)</f>
        <v>2591.5842098650005</v>
      </c>
      <c r="AC15" s="173">
        <f>AC64+AC97+AC115+AC129</f>
        <v>682.88763931500011</v>
      </c>
      <c r="AD15" s="173">
        <f t="shared" ref="AD15:AF15" si="11">AD64+AD97+AD115+AD129</f>
        <v>704.62198236500012</v>
      </c>
      <c r="AE15" s="173">
        <f t="shared" si="11"/>
        <v>637.26265339800011</v>
      </c>
      <c r="AF15" s="173">
        <f t="shared" si="11"/>
        <v>749.76892087755016</v>
      </c>
      <c r="AG15" s="173">
        <f>SUM(AC15:AF15)</f>
        <v>2774.5411959555504</v>
      </c>
      <c r="AH15" s="173">
        <f>AH64+AH97+AH115+AH129</f>
        <v>730.9868497795502</v>
      </c>
      <c r="AI15" s="173">
        <f t="shared" ref="AI15:AK15" si="12">AI64+AI97+AI115+AI129</f>
        <v>754.37202273055027</v>
      </c>
      <c r="AJ15" s="173">
        <f t="shared" si="12"/>
        <v>682.20207342336016</v>
      </c>
      <c r="AK15" s="173">
        <f t="shared" si="12"/>
        <v>802.97077736522874</v>
      </c>
      <c r="AL15" s="173">
        <f>SUM(AH15:AK15)</f>
        <v>2970.531723298689</v>
      </c>
    </row>
    <row r="16" spans="1:56" s="13" customFormat="1" x14ac:dyDescent="0.2">
      <c r="A16" s="182"/>
      <c r="B16" s="466" t="s">
        <v>235</v>
      </c>
      <c r="C16" s="467"/>
      <c r="D16" s="172">
        <f t="shared" ref="D16:H16" si="13">SUM(D13:D15)</f>
        <v>6632.7000000000007</v>
      </c>
      <c r="E16" s="172">
        <f t="shared" si="13"/>
        <v>6305.9</v>
      </c>
      <c r="F16" s="172">
        <f t="shared" si="13"/>
        <v>6823</v>
      </c>
      <c r="G16" s="172">
        <f t="shared" si="13"/>
        <v>6747.0000000000009</v>
      </c>
      <c r="H16" s="188">
        <f t="shared" si="13"/>
        <v>26508.600000000002</v>
      </c>
      <c r="I16" s="172">
        <f>SUM(I13:I15)</f>
        <v>7097.0999999999995</v>
      </c>
      <c r="J16" s="172">
        <f>SUM(J13:J15)</f>
        <v>5995.7</v>
      </c>
      <c r="K16" s="172">
        <f>SUM(K13:K15)</f>
        <v>4222.1000000000004</v>
      </c>
      <c r="L16" s="172">
        <f t="shared" ref="L16:AL16" si="14">SUM(L13:L15)</f>
        <v>6113.9924866813235</v>
      </c>
      <c r="M16" s="188">
        <f t="shared" si="14"/>
        <v>23428.892486681325</v>
      </c>
      <c r="N16" s="172">
        <f t="shared" si="14"/>
        <v>6910.5590381234188</v>
      </c>
      <c r="O16" s="172">
        <f t="shared" si="14"/>
        <v>6060.366215935921</v>
      </c>
      <c r="P16" s="172">
        <f t="shared" si="14"/>
        <v>6898.3188461652398</v>
      </c>
      <c r="Q16" s="172">
        <f t="shared" si="14"/>
        <v>7264.4248347971343</v>
      </c>
      <c r="R16" s="188">
        <f t="shared" si="14"/>
        <v>27133.668935021713</v>
      </c>
      <c r="S16" s="172">
        <f t="shared" si="14"/>
        <v>7276.5551449264249</v>
      </c>
      <c r="T16" s="172">
        <f t="shared" si="14"/>
        <v>6365.0204790560465</v>
      </c>
      <c r="U16" s="172">
        <f t="shared" si="14"/>
        <v>7270.1764179063402</v>
      </c>
      <c r="V16" s="172">
        <f t="shared" si="14"/>
        <v>7635.4313402832086</v>
      </c>
      <c r="W16" s="172">
        <f t="shared" si="14"/>
        <v>28547.183382172021</v>
      </c>
      <c r="X16" s="172">
        <f t="shared" si="14"/>
        <v>7651.0698449141428</v>
      </c>
      <c r="Y16" s="172">
        <f t="shared" si="14"/>
        <v>6682.5749026696976</v>
      </c>
      <c r="Z16" s="172">
        <f t="shared" si="14"/>
        <v>7637.2773818764454</v>
      </c>
      <c r="AA16" s="172">
        <f t="shared" si="14"/>
        <v>8022.3645594685586</v>
      </c>
      <c r="AB16" s="172">
        <f t="shared" si="14"/>
        <v>29993.286688928845</v>
      </c>
      <c r="AC16" s="172">
        <f t="shared" si="14"/>
        <v>8046.8866414203403</v>
      </c>
      <c r="AD16" s="172">
        <f t="shared" si="14"/>
        <v>7018.1686338673017</v>
      </c>
      <c r="AE16" s="172">
        <f t="shared" si="14"/>
        <v>8022.3890268284067</v>
      </c>
      <c r="AF16" s="172">
        <f t="shared" si="14"/>
        <v>8428.5706121701205</v>
      </c>
      <c r="AG16" s="172">
        <f t="shared" si="14"/>
        <v>31516.01491428617</v>
      </c>
      <c r="AH16" s="172">
        <f t="shared" si="14"/>
        <v>8507.6513712376109</v>
      </c>
      <c r="AI16" s="172">
        <f t="shared" si="14"/>
        <v>7410.0989030978099</v>
      </c>
      <c r="AJ16" s="172">
        <f t="shared" si="14"/>
        <v>8471.947964779838</v>
      </c>
      <c r="AK16" s="172">
        <f t="shared" si="14"/>
        <v>8903.0493546195939</v>
      </c>
      <c r="AL16" s="172">
        <f t="shared" si="14"/>
        <v>33292.74759373485</v>
      </c>
    </row>
    <row r="17" spans="1:38" outlineLevel="1" x14ac:dyDescent="0.2">
      <c r="A17" s="167"/>
      <c r="B17" s="470" t="s">
        <v>231</v>
      </c>
      <c r="C17" s="471"/>
      <c r="D17" s="174">
        <v>2175.8000000000002</v>
      </c>
      <c r="E17" s="174">
        <v>2012</v>
      </c>
      <c r="F17" s="174">
        <v>2199.6</v>
      </c>
      <c r="G17" s="174">
        <f t="shared" si="5"/>
        <v>2139.4999999999991</v>
      </c>
      <c r="H17" s="187">
        <v>8526.9</v>
      </c>
      <c r="I17" s="174">
        <v>2236.4</v>
      </c>
      <c r="J17" s="174">
        <v>1997.7</v>
      </c>
      <c r="K17" s="174">
        <v>1484</v>
      </c>
      <c r="L17" s="174">
        <f>L69+L102+L117+L131</f>
        <v>1736.5072429318925</v>
      </c>
      <c r="M17" s="187">
        <f t="shared" ref="M17:M27" si="15">SUM(I17:L17)</f>
        <v>7454.6072429318929</v>
      </c>
      <c r="N17" s="174">
        <f t="shared" ref="N17:Q17" si="16">N69+N102+N117+N131</f>
        <v>1789.2377624820699</v>
      </c>
      <c r="O17" s="174">
        <f t="shared" si="16"/>
        <v>1593.4943381696521</v>
      </c>
      <c r="P17" s="174">
        <f t="shared" si="16"/>
        <v>1750.2851187386707</v>
      </c>
      <c r="Q17" s="174">
        <f t="shared" si="16"/>
        <v>1852.1905983719946</v>
      </c>
      <c r="R17" s="187">
        <f t="shared" ref="R17:R22" si="17">SUM(N17:Q17)</f>
        <v>6985.2078177623871</v>
      </c>
      <c r="S17" s="174">
        <f t="shared" ref="S17:V17" si="18">S69+S102+S117+S131</f>
        <v>1891.9280290861673</v>
      </c>
      <c r="T17" s="174">
        <f t="shared" si="18"/>
        <v>1681.2594895845868</v>
      </c>
      <c r="U17" s="174">
        <f t="shared" si="18"/>
        <v>1850.6833399788723</v>
      </c>
      <c r="V17" s="174">
        <f t="shared" si="18"/>
        <v>1954.1161511702203</v>
      </c>
      <c r="W17" s="187">
        <f t="shared" ref="W17:W22" si="19">SUM(S17:V17)</f>
        <v>7377.9870098198462</v>
      </c>
      <c r="X17" s="174">
        <f t="shared" ref="X17:AA17" si="20">X69+X102+X117+X131</f>
        <v>1996.6790657341758</v>
      </c>
      <c r="Y17" s="174">
        <f t="shared" si="20"/>
        <v>1771.5281114939169</v>
      </c>
      <c r="Z17" s="174">
        <f t="shared" si="20"/>
        <v>1950.9484247250693</v>
      </c>
      <c r="AA17" s="174">
        <f t="shared" si="20"/>
        <v>2060.6853002430466</v>
      </c>
      <c r="AB17" s="187">
        <f t="shared" ref="AB17:AB22" si="21">SUM(X17:AA17)</f>
        <v>7779.8409021962088</v>
      </c>
      <c r="AC17" s="174">
        <f t="shared" ref="AC17:AF17" si="22">AC69+AC102+AC117+AC131</f>
        <v>2107.4548748004736</v>
      </c>
      <c r="AD17" s="174">
        <f t="shared" si="22"/>
        <v>1867.038163164139</v>
      </c>
      <c r="AE17" s="174">
        <f t="shared" si="22"/>
        <v>2056.5378006066599</v>
      </c>
      <c r="AF17" s="174">
        <f t="shared" si="22"/>
        <v>2172.8967581341767</v>
      </c>
      <c r="AG17" s="187">
        <f t="shared" ref="AG17:AG22" si="23">SUM(AC17:AF17)</f>
        <v>8203.9275967054491</v>
      </c>
      <c r="AH17" s="174">
        <f t="shared" ref="AH17:AK17" si="24">AH69+AH102+AH117+AH131</f>
        <v>2233.3256446951632</v>
      </c>
      <c r="AI17" s="174">
        <f t="shared" si="24"/>
        <v>1975.8236733793826</v>
      </c>
      <c r="AJ17" s="174">
        <f t="shared" si="24"/>
        <v>2176.8177122458819</v>
      </c>
      <c r="AK17" s="174">
        <f t="shared" si="24"/>
        <v>2300.7008110529137</v>
      </c>
      <c r="AL17" s="187">
        <f t="shared" ref="AL17:AL22" si="25">SUM(AH17:AK17)</f>
        <v>8686.6678413733407</v>
      </c>
    </row>
    <row r="18" spans="1:38" outlineLevel="1" x14ac:dyDescent="0.2">
      <c r="A18" s="167"/>
      <c r="B18" s="256" t="s">
        <v>107</v>
      </c>
      <c r="C18" s="257"/>
      <c r="D18" s="174">
        <v>2586.8000000000002</v>
      </c>
      <c r="E18" s="174">
        <v>2554.1</v>
      </c>
      <c r="F18" s="174">
        <v>2643.2</v>
      </c>
      <c r="G18" s="174">
        <f t="shared" si="5"/>
        <v>2709.5000000000009</v>
      </c>
      <c r="H18" s="187">
        <v>10493.6</v>
      </c>
      <c r="I18" s="174">
        <v>2821.5</v>
      </c>
      <c r="J18" s="174">
        <v>2721.4</v>
      </c>
      <c r="K18" s="174">
        <v>2537.8000000000002</v>
      </c>
      <c r="L18" s="174">
        <f>L70+L103</f>
        <v>3032.4971674469098</v>
      </c>
      <c r="M18" s="187">
        <f t="shared" si="15"/>
        <v>11113.19716744691</v>
      </c>
      <c r="N18" s="174">
        <f t="shared" ref="N18:Q18" si="26">N70+N103</f>
        <v>3154.3236263266222</v>
      </c>
      <c r="O18" s="174">
        <f t="shared" si="26"/>
        <v>2739.321295858108</v>
      </c>
      <c r="P18" s="174">
        <f t="shared" si="26"/>
        <v>3137.9574583620738</v>
      </c>
      <c r="Q18" s="174">
        <f t="shared" si="26"/>
        <v>3235.8036044199698</v>
      </c>
      <c r="R18" s="187">
        <f t="shared" si="17"/>
        <v>12267.405984966776</v>
      </c>
      <c r="S18" s="174">
        <f t="shared" ref="S18:V18" si="27">S70+S103</f>
        <v>3310.6782827908646</v>
      </c>
      <c r="T18" s="174">
        <f t="shared" si="27"/>
        <v>2866.5768845567313</v>
      </c>
      <c r="U18" s="174">
        <f t="shared" si="27"/>
        <v>3298.8944246591327</v>
      </c>
      <c r="V18" s="174">
        <f t="shared" si="27"/>
        <v>3391.0193706331611</v>
      </c>
      <c r="W18" s="187">
        <f t="shared" si="19"/>
        <v>12867.168962639889</v>
      </c>
      <c r="X18" s="174">
        <f t="shared" ref="X18:AA18" si="28">X70+X103</f>
        <v>3471.174575787285</v>
      </c>
      <c r="Y18" s="174">
        <f t="shared" si="28"/>
        <v>3000.0662118626701</v>
      </c>
      <c r="Z18" s="174">
        <f t="shared" si="28"/>
        <v>3456.8524719945844</v>
      </c>
      <c r="AA18" s="174">
        <f t="shared" si="28"/>
        <v>3552.5609786911868</v>
      </c>
      <c r="AB18" s="187">
        <f t="shared" si="21"/>
        <v>13480.654238335725</v>
      </c>
      <c r="AC18" s="174">
        <f t="shared" ref="AC18:AF18" si="29">AC70+AC103</f>
        <v>3640.6775707884194</v>
      </c>
      <c r="AD18" s="174">
        <f t="shared" si="29"/>
        <v>3140.9113231112801</v>
      </c>
      <c r="AE18" s="174">
        <f t="shared" si="29"/>
        <v>3622.1851539816898</v>
      </c>
      <c r="AF18" s="174">
        <f t="shared" si="29"/>
        <v>3721.7474952342704</v>
      </c>
      <c r="AG18" s="187">
        <f t="shared" si="23"/>
        <v>14125.521543115661</v>
      </c>
      <c r="AH18" s="174">
        <f t="shared" ref="AH18:AK18" si="30">AH70+AH103</f>
        <v>3841.7966084403192</v>
      </c>
      <c r="AI18" s="174">
        <f t="shared" si="30"/>
        <v>3309.1484899133734</v>
      </c>
      <c r="AJ18" s="174">
        <f t="shared" si="30"/>
        <v>3818.5961612784922</v>
      </c>
      <c r="AK18" s="174">
        <f t="shared" si="30"/>
        <v>3923.4596164058544</v>
      </c>
      <c r="AL18" s="187">
        <f t="shared" si="25"/>
        <v>14893.000876038039</v>
      </c>
    </row>
    <row r="19" spans="1:38" outlineLevel="1" x14ac:dyDescent="0.2">
      <c r="A19" s="167"/>
      <c r="B19" s="256" t="s">
        <v>108</v>
      </c>
      <c r="C19" s="257"/>
      <c r="D19" s="174">
        <v>97.6</v>
      </c>
      <c r="E19" s="174">
        <v>87.1</v>
      </c>
      <c r="F19" s="174">
        <v>94.4</v>
      </c>
      <c r="G19" s="174">
        <f t="shared" si="5"/>
        <v>91.900000000000034</v>
      </c>
      <c r="H19" s="187">
        <v>371</v>
      </c>
      <c r="I19" s="174">
        <v>101.8</v>
      </c>
      <c r="J19" s="174">
        <v>95</v>
      </c>
      <c r="K19" s="174">
        <v>133.6</v>
      </c>
      <c r="L19" s="174">
        <f>L71+L104+L118+L132</f>
        <v>154.54619651414632</v>
      </c>
      <c r="M19" s="187">
        <f t="shared" si="15"/>
        <v>484.94619651414632</v>
      </c>
      <c r="N19" s="174">
        <f t="shared" ref="N19:Q19" si="31">N71+N104+N118+N132</f>
        <v>157.93301107447016</v>
      </c>
      <c r="O19" s="174">
        <f t="shared" si="31"/>
        <v>143.43918249782098</v>
      </c>
      <c r="P19" s="174">
        <f t="shared" si="31"/>
        <v>152.09700569049778</v>
      </c>
      <c r="Q19" s="174">
        <f t="shared" si="31"/>
        <v>164.47009581109211</v>
      </c>
      <c r="R19" s="187">
        <f t="shared" si="17"/>
        <v>617.93929507388111</v>
      </c>
      <c r="S19" s="174">
        <f t="shared" ref="S19:V19" si="32">S71+S104+S118+S132</f>
        <v>168.3739069930096</v>
      </c>
      <c r="T19" s="174">
        <f t="shared" si="32"/>
        <v>152.28436653861064</v>
      </c>
      <c r="U19" s="174">
        <f t="shared" si="32"/>
        <v>161.78386734321921</v>
      </c>
      <c r="V19" s="174">
        <f t="shared" si="32"/>
        <v>174.5507241009704</v>
      </c>
      <c r="W19" s="187">
        <f t="shared" si="19"/>
        <v>656.99286497580988</v>
      </c>
      <c r="X19" s="174">
        <f t="shared" ref="X19:AA19" si="33">X71+X104+X118+X132</f>
        <v>178.77621827320326</v>
      </c>
      <c r="Y19" s="174">
        <f t="shared" si="33"/>
        <v>161.34674400928952</v>
      </c>
      <c r="Z19" s="174">
        <f t="shared" si="33"/>
        <v>171.50832339435158</v>
      </c>
      <c r="AA19" s="174">
        <f t="shared" si="33"/>
        <v>185.13206074769315</v>
      </c>
      <c r="AB19" s="187">
        <f t="shared" si="21"/>
        <v>696.76334642453753</v>
      </c>
      <c r="AC19" s="174">
        <f t="shared" ref="AC19:AF19" si="34">AC71+AC104+AC118+AC132</f>
        <v>189.76225763211767</v>
      </c>
      <c r="AD19" s="174">
        <f t="shared" si="34"/>
        <v>170.96766494182629</v>
      </c>
      <c r="AE19" s="174">
        <f t="shared" si="34"/>
        <v>181.78308708157965</v>
      </c>
      <c r="AF19" s="174">
        <f t="shared" si="34"/>
        <v>196.31217293157937</v>
      </c>
      <c r="AG19" s="187">
        <f t="shared" si="23"/>
        <v>738.82518258710297</v>
      </c>
      <c r="AH19" s="174">
        <f t="shared" ref="AH19:AK19" si="35">AH71+AH104+AH118+AH132</f>
        <v>201.83074997934673</v>
      </c>
      <c r="AI19" s="174">
        <f t="shared" si="35"/>
        <v>181.55814415383088</v>
      </c>
      <c r="AJ19" s="174">
        <f t="shared" si="35"/>
        <v>193.09594136962968</v>
      </c>
      <c r="AK19" s="174">
        <f t="shared" si="35"/>
        <v>208.61483986284054</v>
      </c>
      <c r="AL19" s="187">
        <f t="shared" si="25"/>
        <v>785.09967536564784</v>
      </c>
    </row>
    <row r="20" spans="1:38" outlineLevel="1" x14ac:dyDescent="0.2">
      <c r="A20" s="167"/>
      <c r="B20" s="256" t="s">
        <v>109</v>
      </c>
      <c r="C20" s="257"/>
      <c r="D20" s="174">
        <v>333.4</v>
      </c>
      <c r="E20" s="174">
        <v>356.2</v>
      </c>
      <c r="F20" s="174">
        <v>343.1</v>
      </c>
      <c r="G20" s="174">
        <f t="shared" si="5"/>
        <v>344.5999999999998</v>
      </c>
      <c r="H20" s="187">
        <v>1377.3</v>
      </c>
      <c r="I20" s="174">
        <v>351</v>
      </c>
      <c r="J20" s="174">
        <v>356.3</v>
      </c>
      <c r="K20" s="174">
        <v>361</v>
      </c>
      <c r="L20" s="174">
        <f>L72+L105+L119+L133</f>
        <v>374.38234431425735</v>
      </c>
      <c r="M20" s="187">
        <f t="shared" si="15"/>
        <v>1442.6823443142573</v>
      </c>
      <c r="N20" s="174">
        <f t="shared" ref="N20:Q20" si="36">N72+N105+N119+N133</f>
        <v>373.92304633611354</v>
      </c>
      <c r="O20" s="174">
        <f t="shared" si="36"/>
        <v>373.9337860185002</v>
      </c>
      <c r="P20" s="174">
        <f t="shared" si="36"/>
        <v>376.35215704137318</v>
      </c>
      <c r="Q20" s="174">
        <f t="shared" si="36"/>
        <v>375.74088260170043</v>
      </c>
      <c r="R20" s="187">
        <f t="shared" si="17"/>
        <v>1499.9498719976873</v>
      </c>
      <c r="S20" s="174">
        <f t="shared" ref="S20:V20" si="37">S72+S105+S119+S133</f>
        <v>381.54488994993551</v>
      </c>
      <c r="T20" s="174">
        <f t="shared" si="37"/>
        <v>381.54902925605398</v>
      </c>
      <c r="U20" s="174">
        <f t="shared" si="37"/>
        <v>384.81979336692882</v>
      </c>
      <c r="V20" s="174">
        <f t="shared" si="37"/>
        <v>384.84331124896204</v>
      </c>
      <c r="W20" s="187">
        <f t="shared" si="19"/>
        <v>1532.7570238218805</v>
      </c>
      <c r="X20" s="174">
        <f t="shared" ref="X20:AA20" si="38">X72+X105+X119+X133</f>
        <v>392.25134850241005</v>
      </c>
      <c r="Y20" s="174">
        <f t="shared" si="38"/>
        <v>392.25714212200518</v>
      </c>
      <c r="Z20" s="174">
        <f t="shared" si="38"/>
        <v>396.22694275813586</v>
      </c>
      <c r="AA20" s="174">
        <f t="shared" si="38"/>
        <v>396.7471889966352</v>
      </c>
      <c r="AB20" s="187">
        <f t="shared" si="21"/>
        <v>1577.4826223791863</v>
      </c>
      <c r="AC20" s="174">
        <f t="shared" ref="AC20:AF20" si="39">AC72+AC105+AC119+AC133</f>
        <v>405.45818082670428</v>
      </c>
      <c r="AD20" s="174">
        <f t="shared" si="39"/>
        <v>405.46517030393755</v>
      </c>
      <c r="AE20" s="174">
        <f t="shared" si="39"/>
        <v>410.06145043200144</v>
      </c>
      <c r="AF20" s="174">
        <f t="shared" si="39"/>
        <v>410.99402686816467</v>
      </c>
      <c r="AG20" s="187">
        <f t="shared" si="23"/>
        <v>1631.9788284308079</v>
      </c>
      <c r="AH20" s="174">
        <f t="shared" ref="AH20:AK20" si="40">AH72+AH105+AH119+AH133</f>
        <v>420.85761727035094</v>
      </c>
      <c r="AI20" s="174">
        <f t="shared" si="40"/>
        <v>420.86551586915289</v>
      </c>
      <c r="AJ20" s="174">
        <f t="shared" si="40"/>
        <v>426.1896109969752</v>
      </c>
      <c r="AK20" s="174">
        <f t="shared" si="40"/>
        <v>427.60518709089268</v>
      </c>
      <c r="AL20" s="187">
        <f t="shared" si="25"/>
        <v>1695.5179312273717</v>
      </c>
    </row>
    <row r="21" spans="1:38" ht="17.25" customHeight="1" outlineLevel="1" x14ac:dyDescent="0.2">
      <c r="A21" s="167"/>
      <c r="B21" s="256" t="s">
        <v>214</v>
      </c>
      <c r="C21" s="257"/>
      <c r="D21" s="174">
        <v>448</v>
      </c>
      <c r="E21" s="174">
        <v>458.1</v>
      </c>
      <c r="F21" s="174">
        <v>459.7</v>
      </c>
      <c r="G21" s="174">
        <f t="shared" si="5"/>
        <v>458.29999999999984</v>
      </c>
      <c r="H21" s="187">
        <v>1824.1</v>
      </c>
      <c r="I21" s="174">
        <v>434.2</v>
      </c>
      <c r="J21" s="174">
        <v>406.5</v>
      </c>
      <c r="K21" s="174">
        <v>399.9</v>
      </c>
      <c r="L21" s="174">
        <f>L73+L106+L120+L134</f>
        <v>435.38544688813676</v>
      </c>
      <c r="M21" s="187">
        <f t="shared" si="15"/>
        <v>1675.9854468881367</v>
      </c>
      <c r="N21" s="174">
        <f t="shared" ref="N21:Q21" si="41">N73+N106+N120+N134</f>
        <v>447.94339666992988</v>
      </c>
      <c r="O21" s="174">
        <f t="shared" si="41"/>
        <v>415.26527026284737</v>
      </c>
      <c r="P21" s="174">
        <f t="shared" si="41"/>
        <v>438.68704124448277</v>
      </c>
      <c r="Q21" s="174">
        <f t="shared" si="41"/>
        <v>445.00565320004318</v>
      </c>
      <c r="R21" s="187">
        <f t="shared" si="17"/>
        <v>1746.9013613773031</v>
      </c>
      <c r="S21" s="174">
        <f t="shared" ref="S21:V21" si="42">S73+S106+S120+S134</f>
        <v>456.98445515988755</v>
      </c>
      <c r="T21" s="174">
        <f t="shared" si="42"/>
        <v>424.75107655381248</v>
      </c>
      <c r="U21" s="174">
        <f t="shared" si="42"/>
        <v>450.05413472743862</v>
      </c>
      <c r="V21" s="174">
        <f t="shared" si="42"/>
        <v>454.92441786078325</v>
      </c>
      <c r="W21" s="187">
        <f t="shared" si="19"/>
        <v>1786.714084301922</v>
      </c>
      <c r="X21" s="174">
        <f t="shared" ref="X21:AA21" si="43">X73+X106+X120+X134</f>
        <v>467.78206537331721</v>
      </c>
      <c r="Y21" s="174">
        <f t="shared" si="43"/>
        <v>433.49795112944901</v>
      </c>
      <c r="Z21" s="174">
        <f t="shared" si="43"/>
        <v>460.4333451847898</v>
      </c>
      <c r="AA21" s="174">
        <f t="shared" si="43"/>
        <v>465.42160310106078</v>
      </c>
      <c r="AB21" s="187">
        <f t="shared" si="21"/>
        <v>1827.1349647886168</v>
      </c>
      <c r="AC21" s="174">
        <f t="shared" ref="AC21:AF21" si="44">AC73+AC106+AC120+AC134</f>
        <v>479.42374584397498</v>
      </c>
      <c r="AD21" s="174">
        <f t="shared" si="44"/>
        <v>442.53059294451748</v>
      </c>
      <c r="AE21" s="174">
        <f t="shared" si="44"/>
        <v>471.24245244735289</v>
      </c>
      <c r="AF21" s="174">
        <f t="shared" si="44"/>
        <v>476.48877470397406</v>
      </c>
      <c r="AG21" s="187">
        <f t="shared" si="23"/>
        <v>1869.6855659398195</v>
      </c>
      <c r="AH21" s="174">
        <f t="shared" ref="AH21:AK21" si="45">AH73+AH106+AH120+AH134</f>
        <v>492.36883694497743</v>
      </c>
      <c r="AI21" s="174">
        <f t="shared" si="45"/>
        <v>452.58925783543503</v>
      </c>
      <c r="AJ21" s="174">
        <f t="shared" si="45"/>
        <v>483.27072372144335</v>
      </c>
      <c r="AK21" s="174">
        <f t="shared" si="45"/>
        <v>488.8436433982277</v>
      </c>
      <c r="AL21" s="187">
        <f t="shared" si="25"/>
        <v>1917.0724619000835</v>
      </c>
    </row>
    <row r="22" spans="1:38" ht="17.25" customHeight="1" outlineLevel="1" x14ac:dyDescent="0.35">
      <c r="A22" s="167"/>
      <c r="B22" s="256" t="s">
        <v>118</v>
      </c>
      <c r="C22" s="257"/>
      <c r="D22" s="173">
        <v>43.2</v>
      </c>
      <c r="E22" s="173">
        <v>43</v>
      </c>
      <c r="F22" s="173">
        <v>37.700000000000003</v>
      </c>
      <c r="G22" s="173">
        <f t="shared" si="5"/>
        <v>11.900000000000006</v>
      </c>
      <c r="H22" s="198">
        <v>135.80000000000001</v>
      </c>
      <c r="I22" s="173">
        <v>6.3</v>
      </c>
      <c r="J22" s="173">
        <v>-0.7</v>
      </c>
      <c r="K22" s="173">
        <v>78.099999999999994</v>
      </c>
      <c r="L22" s="173">
        <f>L74+L107+L121+L135</f>
        <v>129.29126307592972</v>
      </c>
      <c r="M22" s="198">
        <f t="shared" si="15"/>
        <v>212.99126307592971</v>
      </c>
      <c r="N22" s="173">
        <f t="shared" ref="N22:Q22" si="46">N74+N107+N121+N135</f>
        <v>133.68123110964473</v>
      </c>
      <c r="O22" s="173">
        <f t="shared" si="46"/>
        <v>121.99824805095786</v>
      </c>
      <c r="P22" s="173">
        <f t="shared" si="46"/>
        <v>139.19160600139116</v>
      </c>
      <c r="Q22" s="173">
        <f t="shared" si="46"/>
        <v>140.52583861404324</v>
      </c>
      <c r="R22" s="198">
        <f t="shared" si="17"/>
        <v>535.39692377603694</v>
      </c>
      <c r="S22" s="173">
        <f t="shared" ref="S22:V22" si="47">S74+S107+S121+S135</f>
        <v>140.16971147802678</v>
      </c>
      <c r="T22" s="173">
        <f t="shared" si="47"/>
        <v>126.65319481023593</v>
      </c>
      <c r="U22" s="173">
        <f t="shared" si="47"/>
        <v>142.99601374467878</v>
      </c>
      <c r="V22" s="173">
        <f t="shared" si="47"/>
        <v>146.6139870521674</v>
      </c>
      <c r="W22" s="173">
        <f t="shared" si="19"/>
        <v>556.43290708510892</v>
      </c>
      <c r="X22" s="173">
        <f t="shared" ref="X22:AA22" si="48">X74+X107+X121+X135</f>
        <v>145.71955687466755</v>
      </c>
      <c r="Y22" s="173">
        <f t="shared" si="48"/>
        <v>131.32794124563299</v>
      </c>
      <c r="Z22" s="173">
        <f t="shared" si="48"/>
        <v>148.29589746532261</v>
      </c>
      <c r="AA22" s="173">
        <f t="shared" si="48"/>
        <v>152.41189894659891</v>
      </c>
      <c r="AB22" s="173">
        <f t="shared" si="21"/>
        <v>577.75529453222202</v>
      </c>
      <c r="AC22" s="173">
        <f t="shared" ref="AC22:AF22" si="49">AC74+AC107+AC121+AC135</f>
        <v>151.37325205993022</v>
      </c>
      <c r="AD22" s="173">
        <f t="shared" si="49"/>
        <v>136.33840758060251</v>
      </c>
      <c r="AE22" s="173">
        <f t="shared" si="49"/>
        <v>154.04695579342959</v>
      </c>
      <c r="AF22" s="173">
        <f t="shared" si="49"/>
        <v>158.35197164062853</v>
      </c>
      <c r="AG22" s="173">
        <f t="shared" si="23"/>
        <v>600.11058707459085</v>
      </c>
      <c r="AH22" s="173">
        <f t="shared" ref="AH22:AK22" si="50">AH74+AH107+AH121+AH135</f>
        <v>158.48310033549399</v>
      </c>
      <c r="AI22" s="173">
        <f t="shared" si="50"/>
        <v>142.68071338308638</v>
      </c>
      <c r="AJ22" s="173">
        <f t="shared" si="50"/>
        <v>161.28657649382006</v>
      </c>
      <c r="AK22" s="173">
        <f t="shared" si="50"/>
        <v>165.80743208091718</v>
      </c>
      <c r="AL22" s="173">
        <f t="shared" si="25"/>
        <v>628.25782229331764</v>
      </c>
    </row>
    <row r="23" spans="1:38" s="31" customFormat="1" ht="17.25" customHeight="1" x14ac:dyDescent="0.35">
      <c r="A23" s="258"/>
      <c r="B23" s="259" t="s">
        <v>34</v>
      </c>
      <c r="C23" s="260"/>
      <c r="D23" s="175">
        <f t="shared" ref="D23:K23" si="51">SUM(D18:D22)+D17</f>
        <v>5684.8</v>
      </c>
      <c r="E23" s="175">
        <f t="shared" si="51"/>
        <v>5510.5</v>
      </c>
      <c r="F23" s="175">
        <f t="shared" si="51"/>
        <v>5777.6999999999989</v>
      </c>
      <c r="G23" s="175">
        <f t="shared" si="51"/>
        <v>5755.7</v>
      </c>
      <c r="H23" s="221">
        <f t="shared" si="51"/>
        <v>22728.699999999997</v>
      </c>
      <c r="I23" s="175">
        <f t="shared" si="51"/>
        <v>5951.2000000000007</v>
      </c>
      <c r="J23" s="175">
        <f t="shared" si="51"/>
        <v>5576.2000000000007</v>
      </c>
      <c r="K23" s="175">
        <f t="shared" si="51"/>
        <v>4994.3999999999996</v>
      </c>
      <c r="L23" s="175">
        <f>SUM(L17:L22)</f>
        <v>5862.6096611712728</v>
      </c>
      <c r="M23" s="221">
        <f t="shared" ref="M23:R23" si="52">SUM(M17:M22)</f>
        <v>22384.409661171267</v>
      </c>
      <c r="N23" s="175">
        <f t="shared" si="52"/>
        <v>6057.0420739988504</v>
      </c>
      <c r="O23" s="175">
        <f t="shared" si="52"/>
        <v>5387.4521208578872</v>
      </c>
      <c r="P23" s="175">
        <f t="shared" si="52"/>
        <v>5994.5703870784901</v>
      </c>
      <c r="Q23" s="175">
        <f t="shared" si="52"/>
        <v>6213.7366730188442</v>
      </c>
      <c r="R23" s="221">
        <f t="shared" si="52"/>
        <v>23652.801254954069</v>
      </c>
      <c r="S23" s="175">
        <f t="shared" ref="S23" si="53">SUM(S17:S22)</f>
        <v>6349.679275457891</v>
      </c>
      <c r="T23" s="175">
        <f t="shared" ref="T23" si="54">SUM(T17:T22)</f>
        <v>5633.0740413000312</v>
      </c>
      <c r="U23" s="175">
        <f t="shared" ref="U23" si="55">SUM(U17:U22)</f>
        <v>6289.2315738202697</v>
      </c>
      <c r="V23" s="175">
        <f t="shared" ref="V23" si="56">SUM(V17:V22)</f>
        <v>6506.067962066264</v>
      </c>
      <c r="W23" s="175">
        <f t="shared" ref="W23" si="57">SUM(W17:W22)</f>
        <v>24778.052852644458</v>
      </c>
      <c r="X23" s="175">
        <f t="shared" ref="X23" si="58">SUM(X17:X22)</f>
        <v>6652.3828305450579</v>
      </c>
      <c r="Y23" s="175">
        <f t="shared" ref="Y23" si="59">SUM(Y17:Y22)</f>
        <v>5890.024101862964</v>
      </c>
      <c r="Z23" s="175">
        <f t="shared" ref="Z23" si="60">SUM(Z17:Z22)</f>
        <v>6584.2654055222538</v>
      </c>
      <c r="AA23" s="175">
        <f t="shared" ref="AA23" si="61">SUM(AA17:AA22)</f>
        <v>6812.9590307262215</v>
      </c>
      <c r="AB23" s="175">
        <f t="shared" ref="AB23" si="62">SUM(AB17:AB22)</f>
        <v>25939.631368656494</v>
      </c>
      <c r="AC23" s="175">
        <f t="shared" ref="AC23" si="63">SUM(AC17:AC22)</f>
        <v>6974.14988195162</v>
      </c>
      <c r="AD23" s="175">
        <f t="shared" ref="AD23" si="64">SUM(AD17:AD22)</f>
        <v>6163.2513220463024</v>
      </c>
      <c r="AE23" s="175">
        <f t="shared" ref="AE23" si="65">SUM(AE17:AE22)</f>
        <v>6895.8569003427119</v>
      </c>
      <c r="AF23" s="175">
        <f t="shared" ref="AF23" si="66">SUM(AF17:AF22)</f>
        <v>7136.7911995127934</v>
      </c>
      <c r="AG23" s="175">
        <f t="shared" ref="AG23" si="67">SUM(AG17:AG22)</f>
        <v>27170.049303853437</v>
      </c>
      <c r="AH23" s="175">
        <f t="shared" ref="AH23" si="68">SUM(AH17:AH22)</f>
        <v>7348.6625576656506</v>
      </c>
      <c r="AI23" s="175">
        <f t="shared" ref="AI23" si="69">SUM(AI17:AI22)</f>
        <v>6482.6657945342604</v>
      </c>
      <c r="AJ23" s="175">
        <f t="shared" ref="AJ23" si="70">SUM(AJ17:AJ22)</f>
        <v>7259.2567261062422</v>
      </c>
      <c r="AK23" s="175">
        <f t="shared" ref="AK23" si="71">SUM(AK17:AK22)</f>
        <v>7515.0315298916457</v>
      </c>
      <c r="AL23" s="175">
        <f t="shared" ref="AL23" si="72">SUM(AL17:AL22)</f>
        <v>28605.616608197801</v>
      </c>
    </row>
    <row r="24" spans="1:38" s="34" customFormat="1" ht="17.25" customHeight="1" x14ac:dyDescent="0.35">
      <c r="A24" s="232"/>
      <c r="B24" s="472" t="s">
        <v>111</v>
      </c>
      <c r="C24" s="473"/>
      <c r="D24" s="173">
        <v>67.8</v>
      </c>
      <c r="E24" s="173">
        <v>62.3</v>
      </c>
      <c r="F24" s="173">
        <v>76</v>
      </c>
      <c r="G24" s="173">
        <f t="shared" si="5"/>
        <v>91.899999999999991</v>
      </c>
      <c r="H24" s="198">
        <v>298</v>
      </c>
      <c r="I24" s="173">
        <v>73.900000000000006</v>
      </c>
      <c r="J24" s="173">
        <v>67.900000000000006</v>
      </c>
      <c r="K24" s="173">
        <v>68.400000000000006</v>
      </c>
      <c r="L24" s="173">
        <f>L109+L123</f>
        <v>75.524999999999991</v>
      </c>
      <c r="M24" s="198">
        <f t="shared" si="15"/>
        <v>285.72500000000002</v>
      </c>
      <c r="N24" s="173">
        <f t="shared" ref="N24:Q24" si="73">N109+N123</f>
        <v>71.431249999999991</v>
      </c>
      <c r="O24" s="173">
        <f t="shared" si="73"/>
        <v>70.814062499999991</v>
      </c>
      <c r="P24" s="173">
        <f t="shared" si="73"/>
        <v>71.542578124999991</v>
      </c>
      <c r="Q24" s="173">
        <f t="shared" si="73"/>
        <v>72.328222656250006</v>
      </c>
      <c r="R24" s="198">
        <f t="shared" ref="R24" si="74">SUM(N24:Q24)</f>
        <v>286.11611328125002</v>
      </c>
      <c r="S24" s="173">
        <f t="shared" ref="S24:V24" si="75">S109+S123</f>
        <v>71.529028320312506</v>
      </c>
      <c r="T24" s="173">
        <f t="shared" si="75"/>
        <v>71.553472900390616</v>
      </c>
      <c r="U24" s="173">
        <f t="shared" si="75"/>
        <v>71.738325500488287</v>
      </c>
      <c r="V24" s="173">
        <f t="shared" si="75"/>
        <v>71.787262344360357</v>
      </c>
      <c r="W24" s="198">
        <f t="shared" ref="W24" si="76">SUM(S24:V24)</f>
        <v>286.60808906555178</v>
      </c>
      <c r="X24" s="173">
        <f t="shared" ref="X24:AA24" si="77">X109+X123</f>
        <v>71.652022266387931</v>
      </c>
      <c r="Y24" s="173">
        <f t="shared" si="77"/>
        <v>71.682770752906805</v>
      </c>
      <c r="Z24" s="173">
        <f t="shared" si="77"/>
        <v>71.715095216035849</v>
      </c>
      <c r="AA24" s="173">
        <f t="shared" si="77"/>
        <v>71.709287644922739</v>
      </c>
      <c r="AB24" s="198">
        <f t="shared" ref="AB24" si="78">SUM(X24:AA24)</f>
        <v>286.75917588025334</v>
      </c>
      <c r="AC24" s="173">
        <f t="shared" ref="AC24:AF24" si="79">AC109+AC123</f>
        <v>71.689793970063334</v>
      </c>
      <c r="AD24" s="173">
        <f t="shared" si="79"/>
        <v>71.699236895982182</v>
      </c>
      <c r="AE24" s="173">
        <f t="shared" si="79"/>
        <v>71.703353431751026</v>
      </c>
      <c r="AF24" s="173">
        <f t="shared" si="79"/>
        <v>71.70041798567982</v>
      </c>
      <c r="AG24" s="198">
        <f t="shared" ref="AG24" si="80">SUM(AC24:AF24)</f>
        <v>286.79280228347636</v>
      </c>
      <c r="AH24" s="173">
        <f t="shared" ref="AH24:AK24" si="81">AH109+AH123</f>
        <v>71.698200570869091</v>
      </c>
      <c r="AI24" s="173">
        <f t="shared" si="81"/>
        <v>71.70030222107053</v>
      </c>
      <c r="AJ24" s="173">
        <f t="shared" si="81"/>
        <v>71.700568552342617</v>
      </c>
      <c r="AK24" s="173">
        <f t="shared" si="81"/>
        <v>71.699872332490514</v>
      </c>
      <c r="AL24" s="198">
        <f t="shared" ref="AL24" si="82">SUM(AH24:AK24)</f>
        <v>286.79894367677275</v>
      </c>
    </row>
    <row r="25" spans="1:38" x14ac:dyDescent="0.2">
      <c r="A25" s="167"/>
      <c r="B25" s="261" t="s">
        <v>43</v>
      </c>
      <c r="C25" s="262"/>
      <c r="D25" s="172">
        <f t="shared" ref="D25:R25" si="83">D16-D23+D24</f>
        <v>1015.7000000000005</v>
      </c>
      <c r="E25" s="172">
        <f t="shared" si="83"/>
        <v>857.69999999999959</v>
      </c>
      <c r="F25" s="172">
        <f t="shared" si="83"/>
        <v>1121.3000000000011</v>
      </c>
      <c r="G25" s="172">
        <f t="shared" si="83"/>
        <v>1083.2000000000012</v>
      </c>
      <c r="H25" s="188">
        <f t="shared" si="83"/>
        <v>4077.9000000000051</v>
      </c>
      <c r="I25" s="172">
        <f t="shared" si="83"/>
        <v>1219.7999999999988</v>
      </c>
      <c r="J25" s="172">
        <f t="shared" si="83"/>
        <v>487.39999999999907</v>
      </c>
      <c r="K25" s="172">
        <f t="shared" si="83"/>
        <v>-703.8999999999993</v>
      </c>
      <c r="L25" s="172">
        <f t="shared" si="83"/>
        <v>326.90782551005066</v>
      </c>
      <c r="M25" s="355">
        <f t="shared" si="83"/>
        <v>1330.2078255100582</v>
      </c>
      <c r="N25" s="172">
        <f t="shared" si="83"/>
        <v>924.94821412456838</v>
      </c>
      <c r="O25" s="172">
        <f t="shared" si="83"/>
        <v>743.7281575780338</v>
      </c>
      <c r="P25" s="172">
        <f t="shared" si="83"/>
        <v>975.29103721174977</v>
      </c>
      <c r="Q25" s="172">
        <f t="shared" si="83"/>
        <v>1123.0163844345402</v>
      </c>
      <c r="R25" s="355">
        <f t="shared" si="83"/>
        <v>3766.9837933488939</v>
      </c>
      <c r="S25" s="172">
        <f t="shared" ref="S25:AL25" si="84">S16-S23+S24</f>
        <v>998.40489778884637</v>
      </c>
      <c r="T25" s="172">
        <f t="shared" si="84"/>
        <v>803.49991065640586</v>
      </c>
      <c r="U25" s="172">
        <f t="shared" si="84"/>
        <v>1052.683169586559</v>
      </c>
      <c r="V25" s="172">
        <f t="shared" si="84"/>
        <v>1201.150640561305</v>
      </c>
      <c r="W25" s="355">
        <f t="shared" si="84"/>
        <v>4055.738618593115</v>
      </c>
      <c r="X25" s="172">
        <f t="shared" si="84"/>
        <v>1070.3390366354729</v>
      </c>
      <c r="Y25" s="172">
        <f t="shared" si="84"/>
        <v>864.23357155964038</v>
      </c>
      <c r="Z25" s="172">
        <f t="shared" si="84"/>
        <v>1124.7270715702275</v>
      </c>
      <c r="AA25" s="172">
        <f t="shared" si="84"/>
        <v>1281.1148163872599</v>
      </c>
      <c r="AB25" s="355">
        <f t="shared" si="84"/>
        <v>4340.4144961526054</v>
      </c>
      <c r="AC25" s="172">
        <f t="shared" si="84"/>
        <v>1144.4265534387837</v>
      </c>
      <c r="AD25" s="172">
        <f t="shared" si="84"/>
        <v>926.61654871698136</v>
      </c>
      <c r="AE25" s="172">
        <f t="shared" si="84"/>
        <v>1198.2354799174459</v>
      </c>
      <c r="AF25" s="172">
        <f t="shared" si="84"/>
        <v>1363.4798306430071</v>
      </c>
      <c r="AG25" s="355">
        <f t="shared" si="84"/>
        <v>4632.7584127162099</v>
      </c>
      <c r="AH25" s="172">
        <f t="shared" si="84"/>
        <v>1230.6870141428294</v>
      </c>
      <c r="AI25" s="172">
        <f t="shared" si="84"/>
        <v>999.13341078461997</v>
      </c>
      <c r="AJ25" s="172">
        <f t="shared" si="84"/>
        <v>1284.3918072259385</v>
      </c>
      <c r="AK25" s="172">
        <f t="shared" si="84"/>
        <v>1459.7176970604387</v>
      </c>
      <c r="AL25" s="355">
        <f t="shared" si="84"/>
        <v>4973.9299292138221</v>
      </c>
    </row>
    <row r="26" spans="1:38" ht="18" x14ac:dyDescent="0.35">
      <c r="A26" s="167"/>
      <c r="B26" s="218" t="s">
        <v>163</v>
      </c>
      <c r="C26" s="143"/>
      <c r="D26" s="176">
        <f t="shared" ref="D26:K26" si="85">+D176</f>
        <v>138</v>
      </c>
      <c r="E26" s="176">
        <f t="shared" si="85"/>
        <v>141.4</v>
      </c>
      <c r="F26" s="176">
        <f t="shared" si="85"/>
        <v>125.30000000000001</v>
      </c>
      <c r="G26" s="176">
        <f t="shared" si="85"/>
        <v>77.399999999999991</v>
      </c>
      <c r="H26" s="266">
        <f>SUM(D26:G26)</f>
        <v>482.09999999999997</v>
      </c>
      <c r="I26" s="176">
        <f t="shared" si="85"/>
        <v>71.599999999999994</v>
      </c>
      <c r="J26" s="176">
        <f t="shared" si="85"/>
        <v>66.8</v>
      </c>
      <c r="K26" s="176">
        <f t="shared" si="85"/>
        <v>173.67999999999998</v>
      </c>
      <c r="L26" s="176">
        <f>L176</f>
        <v>187.04000000000002</v>
      </c>
      <c r="M26" s="266">
        <f t="shared" si="15"/>
        <v>499.11999999999995</v>
      </c>
      <c r="N26" s="176">
        <f t="shared" ref="N26:P26" si="86">N176</f>
        <v>122.65249999999997</v>
      </c>
      <c r="O26" s="176">
        <f t="shared" si="86"/>
        <v>120.73406249999999</v>
      </c>
      <c r="P26" s="176">
        <f t="shared" si="86"/>
        <v>118.15082031249997</v>
      </c>
      <c r="Q26" s="176">
        <f>Q176</f>
        <v>30.871297125828633</v>
      </c>
      <c r="R26" s="266">
        <f t="shared" ref="R26:R27" si="87">SUM(N26:Q26)</f>
        <v>392.40867993832853</v>
      </c>
      <c r="S26" s="176">
        <f t="shared" ref="S26:U26" si="88">S176</f>
        <v>122.2393194580078</v>
      </c>
      <c r="T26" s="176">
        <f t="shared" si="88"/>
        <v>128.56923439025877</v>
      </c>
      <c r="U26" s="176">
        <f t="shared" si="88"/>
        <v>136.29038868904112</v>
      </c>
      <c r="V26" s="176">
        <f>V176</f>
        <v>131.61668727517124</v>
      </c>
      <c r="W26" s="266">
        <f t="shared" ref="W26:W27" si="89">SUM(S26:V26)</f>
        <v>518.71562981247894</v>
      </c>
      <c r="X26" s="176">
        <f t="shared" ref="X26:Z26" si="90">X176</f>
        <v>124.68877318456767</v>
      </c>
      <c r="Y26" s="176">
        <f t="shared" si="90"/>
        <v>124.94330733263864</v>
      </c>
      <c r="Z26" s="176">
        <f t="shared" si="90"/>
        <v>125.46946293671846</v>
      </c>
      <c r="AA26" s="176">
        <f>AA176</f>
        <v>126.38429326474576</v>
      </c>
      <c r="AB26" s="266">
        <f t="shared" ref="AB26:AB27" si="91">SUM(X26:AA26)</f>
        <v>501.4858367186705</v>
      </c>
      <c r="AC26" s="176">
        <f t="shared" ref="AC26:AE26" si="92">AC176</f>
        <v>127.52518331639368</v>
      </c>
      <c r="AD26" s="176">
        <f t="shared" si="92"/>
        <v>128.18591629869192</v>
      </c>
      <c r="AE26" s="176">
        <f t="shared" si="92"/>
        <v>128.13800153724605</v>
      </c>
      <c r="AF26" s="176">
        <f>AF176</f>
        <v>127.1189531432717</v>
      </c>
      <c r="AG26" s="266">
        <f t="shared" ref="AG26:AG27" si="93">SUM(AC26:AF26)</f>
        <v>510.96805429560334</v>
      </c>
      <c r="AH26" s="176">
        <f t="shared" ref="AH26:AJ26" si="94">AH176</f>
        <v>126.55673637678423</v>
      </c>
      <c r="AI26" s="176">
        <f t="shared" si="94"/>
        <v>126.79023177581131</v>
      </c>
      <c r="AJ26" s="176">
        <f t="shared" si="94"/>
        <v>127.0210973312079</v>
      </c>
      <c r="AK26" s="176">
        <f>AK176</f>
        <v>127.21505163051907</v>
      </c>
      <c r="AL26" s="266">
        <f t="shared" ref="AL26:AL27" si="95">SUM(AH26:AK26)</f>
        <v>507.58311711432248</v>
      </c>
    </row>
    <row r="27" spans="1:38" x14ac:dyDescent="0.2">
      <c r="A27" s="167"/>
      <c r="B27" s="219" t="s">
        <v>164</v>
      </c>
      <c r="C27" s="137"/>
      <c r="D27" s="177">
        <f t="shared" ref="D27:K27" si="96">+D25+D26</f>
        <v>1153.7000000000005</v>
      </c>
      <c r="E27" s="177">
        <f t="shared" si="96"/>
        <v>999.09999999999957</v>
      </c>
      <c r="F27" s="177">
        <f t="shared" si="96"/>
        <v>1246.600000000001</v>
      </c>
      <c r="G27" s="177">
        <f t="shared" si="96"/>
        <v>1160.6000000000013</v>
      </c>
      <c r="H27" s="267">
        <f t="shared" ref="H27" si="97">+H25+H26</f>
        <v>4560.0000000000055</v>
      </c>
      <c r="I27" s="177">
        <f t="shared" si="96"/>
        <v>1291.3999999999987</v>
      </c>
      <c r="J27" s="177">
        <f t="shared" si="96"/>
        <v>554.19999999999902</v>
      </c>
      <c r="K27" s="177">
        <f t="shared" si="96"/>
        <v>-530.21999999999935</v>
      </c>
      <c r="L27" s="177">
        <f>L26+L25</f>
        <v>513.94782551005073</v>
      </c>
      <c r="M27" s="267">
        <f t="shared" si="15"/>
        <v>1829.327825510049</v>
      </c>
      <c r="N27" s="177">
        <f t="shared" ref="N27:P27" si="98">N26+N25</f>
        <v>1047.6007141245684</v>
      </c>
      <c r="O27" s="177">
        <f t="shared" si="98"/>
        <v>864.46222007803385</v>
      </c>
      <c r="P27" s="177">
        <f t="shared" si="98"/>
        <v>1093.4418575242498</v>
      </c>
      <c r="Q27" s="177">
        <f>Q26+Q25</f>
        <v>1153.8876815603689</v>
      </c>
      <c r="R27" s="267">
        <f t="shared" si="87"/>
        <v>4159.392473287221</v>
      </c>
      <c r="S27" s="177">
        <f t="shared" ref="S27" si="99">S26+S25</f>
        <v>1120.6442172468542</v>
      </c>
      <c r="T27" s="177">
        <f t="shared" ref="T27" si="100">T26+T25</f>
        <v>932.06914504666463</v>
      </c>
      <c r="U27" s="177">
        <f t="shared" ref="U27" si="101">U26+U25</f>
        <v>1188.9735582756</v>
      </c>
      <c r="V27" s="177">
        <f>V26+V25</f>
        <v>1332.7673278364762</v>
      </c>
      <c r="W27" s="267">
        <f t="shared" si="89"/>
        <v>4574.4542484055955</v>
      </c>
      <c r="X27" s="177">
        <f t="shared" ref="X27" si="102">X26+X25</f>
        <v>1195.0278098200406</v>
      </c>
      <c r="Y27" s="177">
        <f t="shared" ref="Y27" si="103">Y26+Y25</f>
        <v>989.17687889227898</v>
      </c>
      <c r="Z27" s="177">
        <f t="shared" ref="Z27" si="104">Z26+Z25</f>
        <v>1250.1965345069459</v>
      </c>
      <c r="AA27" s="177">
        <f>AA26+AA25</f>
        <v>1407.4991096520057</v>
      </c>
      <c r="AB27" s="267">
        <f t="shared" si="91"/>
        <v>4841.9003328712715</v>
      </c>
      <c r="AC27" s="177">
        <f t="shared" ref="AC27" si="105">AC26+AC25</f>
        <v>1271.9517367551773</v>
      </c>
      <c r="AD27" s="177">
        <f t="shared" ref="AD27" si="106">AD26+AD25</f>
        <v>1054.8024650156733</v>
      </c>
      <c r="AE27" s="177">
        <f t="shared" ref="AE27" si="107">AE26+AE25</f>
        <v>1326.373481454692</v>
      </c>
      <c r="AF27" s="177">
        <f>AF26+AF25</f>
        <v>1490.5987837862788</v>
      </c>
      <c r="AG27" s="267">
        <f t="shared" si="93"/>
        <v>5143.7264670118211</v>
      </c>
      <c r="AH27" s="177">
        <f t="shared" ref="AH27" si="108">AH26+AH25</f>
        <v>1357.2437505196137</v>
      </c>
      <c r="AI27" s="177">
        <f t="shared" ref="AI27" si="109">AI26+AI25</f>
        <v>1125.9236425604313</v>
      </c>
      <c r="AJ27" s="177">
        <f t="shared" ref="AJ27" si="110">AJ26+AJ25</f>
        <v>1411.4129045571462</v>
      </c>
      <c r="AK27" s="177">
        <f>AK26+AK25</f>
        <v>1586.9327486909579</v>
      </c>
      <c r="AL27" s="267">
        <f t="shared" si="95"/>
        <v>5481.5130463281494</v>
      </c>
    </row>
    <row r="28" spans="1:38" x14ac:dyDescent="0.2">
      <c r="A28" s="167"/>
      <c r="B28" s="69" t="s">
        <v>153</v>
      </c>
      <c r="C28" s="27"/>
      <c r="D28" s="174">
        <v>0</v>
      </c>
      <c r="E28" s="174">
        <v>21</v>
      </c>
      <c r="F28" s="174">
        <v>601.79999999999995</v>
      </c>
      <c r="G28" s="174">
        <f t="shared" ref="G28:G30" si="111">H28-F28-E28-D28</f>
        <v>0</v>
      </c>
      <c r="H28" s="187">
        <v>622.79999999999995</v>
      </c>
      <c r="I28" s="174">
        <v>0</v>
      </c>
      <c r="J28" s="174">
        <v>0</v>
      </c>
      <c r="K28" s="174">
        <v>0</v>
      </c>
      <c r="L28" s="174">
        <v>0</v>
      </c>
      <c r="M28" s="187">
        <v>0</v>
      </c>
      <c r="N28" s="174">
        <v>0</v>
      </c>
      <c r="O28" s="174">
        <v>0</v>
      </c>
      <c r="P28" s="174">
        <v>0</v>
      </c>
      <c r="Q28" s="174">
        <v>0</v>
      </c>
      <c r="R28" s="187">
        <v>0</v>
      </c>
      <c r="S28" s="174">
        <v>0</v>
      </c>
      <c r="T28" s="174">
        <v>0</v>
      </c>
      <c r="U28" s="174">
        <v>0</v>
      </c>
      <c r="V28" s="174">
        <v>0</v>
      </c>
      <c r="W28" s="187">
        <v>0</v>
      </c>
      <c r="X28" s="174">
        <v>0</v>
      </c>
      <c r="Y28" s="174">
        <v>0</v>
      </c>
      <c r="Z28" s="174">
        <v>0</v>
      </c>
      <c r="AA28" s="174">
        <v>0</v>
      </c>
      <c r="AB28" s="187">
        <v>0</v>
      </c>
      <c r="AC28" s="174">
        <v>0</v>
      </c>
      <c r="AD28" s="174">
        <v>0</v>
      </c>
      <c r="AE28" s="174">
        <v>0</v>
      </c>
      <c r="AF28" s="174">
        <v>0</v>
      </c>
      <c r="AG28" s="187">
        <v>0</v>
      </c>
      <c r="AH28" s="174">
        <v>0</v>
      </c>
      <c r="AI28" s="174">
        <v>0</v>
      </c>
      <c r="AJ28" s="174">
        <v>0</v>
      </c>
      <c r="AK28" s="174">
        <v>0</v>
      </c>
      <c r="AL28" s="187">
        <v>0</v>
      </c>
    </row>
    <row r="29" spans="1:38" x14ac:dyDescent="0.2">
      <c r="A29" s="167"/>
      <c r="B29" s="69" t="s">
        <v>112</v>
      </c>
      <c r="C29" s="27"/>
      <c r="D29" s="174">
        <v>24.8</v>
      </c>
      <c r="E29" s="174">
        <v>15.2</v>
      </c>
      <c r="F29" s="171">
        <v>40.200000000000003</v>
      </c>
      <c r="G29" s="174">
        <f t="shared" si="111"/>
        <v>16.299999999999994</v>
      </c>
      <c r="H29" s="187">
        <v>96.5</v>
      </c>
      <c r="I29" s="174">
        <v>15.9</v>
      </c>
      <c r="J29" s="174">
        <v>2</v>
      </c>
      <c r="K29" s="174">
        <v>12.7</v>
      </c>
      <c r="L29" s="174">
        <f>(K184+K185+K190)*L151</f>
        <v>9.8318996517576309</v>
      </c>
      <c r="M29" s="187">
        <f>SUM(I29:L29)</f>
        <v>40.431899651757632</v>
      </c>
      <c r="N29" s="174">
        <f>(L184+L185+L190)*N151</f>
        <v>7.7451584370356805</v>
      </c>
      <c r="O29" s="174">
        <f>(N184+N185+N190)*O151</f>
        <v>6.8319831730487435</v>
      </c>
      <c r="P29" s="174">
        <f t="shared" ref="P29:Q29" si="112">(O184+O185+O190)*P151</f>
        <v>7.0293183356685027</v>
      </c>
      <c r="Q29" s="174">
        <f t="shared" si="112"/>
        <v>5.6831631792444464</v>
      </c>
      <c r="R29" s="187">
        <f>SUM(N29:Q29)</f>
        <v>27.289623124997373</v>
      </c>
      <c r="S29" s="174">
        <f>(Q184+Q185+Q190)*S151</f>
        <v>4.8934010000029948</v>
      </c>
      <c r="T29" s="174">
        <f>(S184+S185+S190)*T151</f>
        <v>5.5322078053688895</v>
      </c>
      <c r="U29" s="174">
        <f t="shared" ref="U29:V29" si="113">(T184+T185+T190)*U151</f>
        <v>4.7351096098395455</v>
      </c>
      <c r="V29" s="174">
        <f t="shared" si="113"/>
        <v>4.4129012627398376</v>
      </c>
      <c r="W29" s="187">
        <f>SUM(S29:V29)</f>
        <v>19.573619677951267</v>
      </c>
      <c r="X29" s="174">
        <f>(V184+V185+V190)*X151</f>
        <v>3.6873593594871457</v>
      </c>
      <c r="Y29" s="174">
        <f>(X184+X185+X190)*Y151</f>
        <v>4.4849955364426197</v>
      </c>
      <c r="Z29" s="174">
        <f t="shared" ref="Z29:AA29" si="114">(Y184+Y185+Y190)*Z151</f>
        <v>3.5716096569920155</v>
      </c>
      <c r="AA29" s="174">
        <f t="shared" si="114"/>
        <v>3.3401057456282266</v>
      </c>
      <c r="AB29" s="187">
        <f>SUM(X29:AA29)</f>
        <v>15.084070298550007</v>
      </c>
      <c r="AC29" s="174">
        <f>(AA184+AA185+AA190)*AC151</f>
        <v>2.6550924185190494</v>
      </c>
      <c r="AD29" s="174">
        <f>(AC184+AC185+AC190)*AD151</f>
        <v>3.3295410100577412</v>
      </c>
      <c r="AE29" s="174">
        <f t="shared" ref="AE29:AF29" si="115">(AD184+AD185+AD190)*AE151</f>
        <v>2.1551633382271818</v>
      </c>
      <c r="AF29" s="174">
        <f t="shared" si="115"/>
        <v>1.7327020882502937</v>
      </c>
      <c r="AG29" s="187">
        <f>SUM(AC29:AF29)</f>
        <v>9.8724988550542658</v>
      </c>
      <c r="AH29" s="174">
        <f>(AF184+AF185+AF190)*AH151</f>
        <v>0.82744676576107756</v>
      </c>
      <c r="AI29" s="174">
        <f>(AH184+AH185+AH190)*AI151</f>
        <v>0.94279468964786106</v>
      </c>
      <c r="AJ29" s="174">
        <f t="shared" ref="AJ29:AK29" si="116">(AI184+AI185+AI190)*AJ151</f>
        <v>-0.90317507224012517</v>
      </c>
      <c r="AK29" s="174">
        <f t="shared" si="116"/>
        <v>-1.9380904323669395</v>
      </c>
      <c r="AL29" s="187">
        <f>SUM(AH29:AK29)</f>
        <v>-1.071024049198126</v>
      </c>
    </row>
    <row r="30" spans="1:38" ht="18" x14ac:dyDescent="0.35">
      <c r="A30" s="167"/>
      <c r="B30" s="69" t="s">
        <v>113</v>
      </c>
      <c r="C30" s="59"/>
      <c r="D30" s="173">
        <v>-75</v>
      </c>
      <c r="E30" s="173">
        <v>-73.900000000000006</v>
      </c>
      <c r="F30" s="173">
        <v>-86.4</v>
      </c>
      <c r="G30" s="173">
        <f t="shared" si="111"/>
        <v>-95.699999999999989</v>
      </c>
      <c r="H30" s="198">
        <v>-331</v>
      </c>
      <c r="I30" s="173">
        <v>-91.9</v>
      </c>
      <c r="J30" s="173">
        <v>-99.2</v>
      </c>
      <c r="K30" s="173">
        <v>-120.8</v>
      </c>
      <c r="L30" s="173">
        <f>-(K206+K209)*L152</f>
        <v>-131.82973718590847</v>
      </c>
      <c r="M30" s="198">
        <f>SUM(I30:L30)</f>
        <v>-443.7297371859085</v>
      </c>
      <c r="N30" s="173">
        <f>-(L206+L209)*N152</f>
        <v>-128.40705289672545</v>
      </c>
      <c r="O30" s="173">
        <f t="shared" ref="O30:Q30" si="117">-(N206+N209)*O152</f>
        <v>-124.98436860754241</v>
      </c>
      <c r="P30" s="173">
        <f t="shared" si="117"/>
        <v>-121.56168431835938</v>
      </c>
      <c r="Q30" s="173">
        <f t="shared" si="117"/>
        <v>-118.13900002917634</v>
      </c>
      <c r="R30" s="198">
        <f>SUM(N30:Q30)</f>
        <v>-493.09210585180358</v>
      </c>
      <c r="S30" s="173">
        <f>-(Q206+Q209)*S152</f>
        <v>-114.70770028754914</v>
      </c>
      <c r="T30" s="173">
        <f t="shared" ref="T30:V30" si="118">-(S206+S209)*T152</f>
        <v>-112.74964291387464</v>
      </c>
      <c r="U30" s="173">
        <f t="shared" si="118"/>
        <v>-110.79158554020015</v>
      </c>
      <c r="V30" s="173">
        <f t="shared" si="118"/>
        <v>-108.83352816652564</v>
      </c>
      <c r="W30" s="198">
        <f>SUM(S30:V30)</f>
        <v>-447.08245690814954</v>
      </c>
      <c r="X30" s="173">
        <f>-(V206+V209)*X152</f>
        <v>-106.87547079285113</v>
      </c>
      <c r="Y30" s="173">
        <f t="shared" ref="Y30:AA30" si="119">-(X206+X209)*Y152</f>
        <v>-104.91741341917664</v>
      </c>
      <c r="Z30" s="173">
        <f t="shared" si="119"/>
        <v>-102.95935604550213</v>
      </c>
      <c r="AA30" s="173">
        <f t="shared" si="119"/>
        <v>-101.00129867182763</v>
      </c>
      <c r="AB30" s="198">
        <f>SUM(X30:AA30)</f>
        <v>-415.75353892935755</v>
      </c>
      <c r="AC30" s="173">
        <f>-(AA206+AA209)*AC152</f>
        <v>-99.043241298153134</v>
      </c>
      <c r="AD30" s="173">
        <f t="shared" ref="AD30:AF30" si="120">-(AC206+AC209)*AD152</f>
        <v>-96.020000713199693</v>
      </c>
      <c r="AE30" s="173">
        <f t="shared" si="120"/>
        <v>-93.004592357740961</v>
      </c>
      <c r="AF30" s="173">
        <f t="shared" si="120"/>
        <v>-89.981351772787534</v>
      </c>
      <c r="AG30" s="198">
        <f>SUM(AC30:AF30)</f>
        <v>-378.04918614188136</v>
      </c>
      <c r="AH30" s="173">
        <f>-(AF206+AF209)*AH152</f>
        <v>-86.958111187834106</v>
      </c>
      <c r="AI30" s="173">
        <f t="shared" ref="AI30:AK30" si="121">-(AH206+AH209)*AI152</f>
        <v>-81.083939066810601</v>
      </c>
      <c r="AJ30" s="173">
        <f t="shared" si="121"/>
        <v>-75.209766945787095</v>
      </c>
      <c r="AK30" s="173">
        <f t="shared" si="121"/>
        <v>-69.335594824763589</v>
      </c>
      <c r="AL30" s="198">
        <f>SUM(AH30:AK30)</f>
        <v>-312.58741202519542</v>
      </c>
    </row>
    <row r="31" spans="1:38" x14ac:dyDescent="0.2">
      <c r="A31" s="167"/>
      <c r="B31" s="464" t="s">
        <v>44</v>
      </c>
      <c r="C31" s="465"/>
      <c r="D31" s="172">
        <f t="shared" ref="D31:R31" si="122">D25+D29+D30+D28</f>
        <v>965.50000000000045</v>
      </c>
      <c r="E31" s="172">
        <f t="shared" si="122"/>
        <v>819.99999999999966</v>
      </c>
      <c r="F31" s="172">
        <f t="shared" si="122"/>
        <v>1676.900000000001</v>
      </c>
      <c r="G31" s="172">
        <f t="shared" si="122"/>
        <v>1003.8000000000011</v>
      </c>
      <c r="H31" s="188">
        <f t="shared" si="122"/>
        <v>4466.2000000000053</v>
      </c>
      <c r="I31" s="172">
        <f t="shared" si="122"/>
        <v>1143.7999999999988</v>
      </c>
      <c r="J31" s="172">
        <f t="shared" si="122"/>
        <v>390.19999999999908</v>
      </c>
      <c r="K31" s="172">
        <f t="shared" si="122"/>
        <v>-811.9999999999992</v>
      </c>
      <c r="L31" s="172">
        <f t="shared" si="122"/>
        <v>204.90998797589981</v>
      </c>
      <c r="M31" s="188">
        <f t="shared" si="122"/>
        <v>926.90998797590737</v>
      </c>
      <c r="N31" s="172">
        <f t="shared" si="122"/>
        <v>804.28631966487865</v>
      </c>
      <c r="O31" s="172">
        <f t="shared" si="122"/>
        <v>625.57577214354023</v>
      </c>
      <c r="P31" s="172">
        <f t="shared" si="122"/>
        <v>860.75867122905879</v>
      </c>
      <c r="Q31" s="172">
        <f t="shared" si="122"/>
        <v>1010.5605475846083</v>
      </c>
      <c r="R31" s="188">
        <f t="shared" si="122"/>
        <v>3301.1813106220879</v>
      </c>
      <c r="S31" s="172">
        <f t="shared" ref="S31:AL31" si="123">S25+S29+S30+S28</f>
        <v>888.59059850130018</v>
      </c>
      <c r="T31" s="172">
        <f t="shared" si="123"/>
        <v>696.28247554790016</v>
      </c>
      <c r="U31" s="172">
        <f t="shared" si="123"/>
        <v>946.62669365619843</v>
      </c>
      <c r="V31" s="172">
        <f t="shared" si="123"/>
        <v>1096.7300136575191</v>
      </c>
      <c r="W31" s="188">
        <f t="shared" si="123"/>
        <v>3628.2297813629166</v>
      </c>
      <c r="X31" s="172">
        <f t="shared" si="123"/>
        <v>967.15092520210885</v>
      </c>
      <c r="Y31" s="172">
        <f t="shared" si="123"/>
        <v>763.80115367690632</v>
      </c>
      <c r="Z31" s="172">
        <f t="shared" si="123"/>
        <v>1025.3393251817174</v>
      </c>
      <c r="AA31" s="172">
        <f t="shared" si="123"/>
        <v>1183.4536234610605</v>
      </c>
      <c r="AB31" s="188">
        <f t="shared" si="123"/>
        <v>3939.7450275217975</v>
      </c>
      <c r="AC31" s="172">
        <f t="shared" si="123"/>
        <v>1048.0384045591495</v>
      </c>
      <c r="AD31" s="172">
        <f t="shared" si="123"/>
        <v>833.92608901383937</v>
      </c>
      <c r="AE31" s="172">
        <f t="shared" si="123"/>
        <v>1107.3860508979321</v>
      </c>
      <c r="AF31" s="172">
        <f t="shared" si="123"/>
        <v>1275.2311809584698</v>
      </c>
      <c r="AG31" s="188">
        <f t="shared" si="123"/>
        <v>4264.5817254293825</v>
      </c>
      <c r="AH31" s="172">
        <f t="shared" si="123"/>
        <v>1144.5563497207563</v>
      </c>
      <c r="AI31" s="172">
        <f t="shared" si="123"/>
        <v>918.99226640745724</v>
      </c>
      <c r="AJ31" s="172">
        <f t="shared" si="123"/>
        <v>1208.2788652079112</v>
      </c>
      <c r="AK31" s="172">
        <f t="shared" si="123"/>
        <v>1388.4440118033083</v>
      </c>
      <c r="AL31" s="188">
        <f t="shared" si="123"/>
        <v>4660.2714931394285</v>
      </c>
    </row>
    <row r="32" spans="1:38" ht="18" x14ac:dyDescent="0.35">
      <c r="A32" s="167"/>
      <c r="B32" s="468" t="s">
        <v>25</v>
      </c>
      <c r="C32" s="469"/>
      <c r="D32" s="173">
        <v>205.1</v>
      </c>
      <c r="E32" s="173">
        <v>161.19999999999999</v>
      </c>
      <c r="F32" s="173">
        <v>303.7</v>
      </c>
      <c r="G32" s="173">
        <f t="shared" ref="G32" si="124">H32-F32-E32-D32</f>
        <v>201.60000000000011</v>
      </c>
      <c r="H32" s="198">
        <v>871.6</v>
      </c>
      <c r="I32" s="173">
        <v>258.5</v>
      </c>
      <c r="J32" s="173">
        <v>65.400000000000006</v>
      </c>
      <c r="K32" s="173">
        <v>-133.9</v>
      </c>
      <c r="L32" s="173">
        <f>L31*L150</f>
        <v>51.227496993974952</v>
      </c>
      <c r="M32" s="198">
        <f>SUM(I32:L32)</f>
        <v>241.22749699397491</v>
      </c>
      <c r="N32" s="173">
        <f t="shared" ref="N32:Q32" si="125">N31*N150</f>
        <v>201.07157991621966</v>
      </c>
      <c r="O32" s="173">
        <f t="shared" si="125"/>
        <v>156.39394303588506</v>
      </c>
      <c r="P32" s="173">
        <f t="shared" si="125"/>
        <v>215.1896678072647</v>
      </c>
      <c r="Q32" s="173">
        <f t="shared" si="125"/>
        <v>252.64013689615209</v>
      </c>
      <c r="R32" s="198">
        <f>SUM(N32:Q32)</f>
        <v>825.29532765552142</v>
      </c>
      <c r="S32" s="173">
        <f t="shared" ref="S32" si="126">S31*S150</f>
        <v>222.14764962532504</v>
      </c>
      <c r="T32" s="173">
        <f t="shared" ref="T32" si="127">T31*T150</f>
        <v>174.07061888697504</v>
      </c>
      <c r="U32" s="173">
        <f t="shared" ref="U32" si="128">U31*U150</f>
        <v>236.65667341404961</v>
      </c>
      <c r="V32" s="173">
        <f t="shared" ref="V32" si="129">V31*V150</f>
        <v>274.18250341437977</v>
      </c>
      <c r="W32" s="198">
        <f>SUM(S32:V32)</f>
        <v>907.05744534072949</v>
      </c>
      <c r="X32" s="173">
        <f t="shared" ref="X32" si="130">X31*X150</f>
        <v>241.78773130052721</v>
      </c>
      <c r="Y32" s="173">
        <f t="shared" ref="Y32" si="131">Y31*Y150</f>
        <v>190.95028841922658</v>
      </c>
      <c r="Z32" s="173">
        <f t="shared" ref="Z32" si="132">Z31*Z150</f>
        <v>256.33483129542935</v>
      </c>
      <c r="AA32" s="173">
        <f t="shared" ref="AA32" si="133">AA31*AA150</f>
        <v>295.86340586526512</v>
      </c>
      <c r="AB32" s="198">
        <f>SUM(X32:AA32)</f>
        <v>984.93625688044824</v>
      </c>
      <c r="AC32" s="173">
        <f t="shared" ref="AC32" si="134">AC31*AC150</f>
        <v>262.00960113978738</v>
      </c>
      <c r="AD32" s="173">
        <f t="shared" ref="AD32" si="135">AD31*AD150</f>
        <v>208.48152225345984</v>
      </c>
      <c r="AE32" s="173">
        <f t="shared" ref="AE32" si="136">AE31*AE150</f>
        <v>276.84651272448303</v>
      </c>
      <c r="AF32" s="173">
        <f t="shared" ref="AF32" si="137">AF31*AF150</f>
        <v>318.80779523961746</v>
      </c>
      <c r="AG32" s="198">
        <f>SUM(AC32:AF32)</f>
        <v>1066.1454313573477</v>
      </c>
      <c r="AH32" s="173">
        <f t="shared" ref="AH32" si="138">AH31*AH150</f>
        <v>286.13908743018908</v>
      </c>
      <c r="AI32" s="173">
        <f t="shared" ref="AI32" si="139">AI31*AI150</f>
        <v>229.74806660186431</v>
      </c>
      <c r="AJ32" s="173">
        <f t="shared" ref="AJ32" si="140">AJ31*AJ150</f>
        <v>302.06971630197779</v>
      </c>
      <c r="AK32" s="173">
        <f t="shared" ref="AK32" si="141">AK31*AK150</f>
        <v>347.11100295082707</v>
      </c>
      <c r="AL32" s="198">
        <f>SUM(AH32:AK32)</f>
        <v>1165.0678732848583</v>
      </c>
    </row>
    <row r="33" spans="1:38" x14ac:dyDescent="0.2">
      <c r="A33" s="232"/>
      <c r="B33" s="464" t="s">
        <v>114</v>
      </c>
      <c r="C33" s="465"/>
      <c r="D33" s="172">
        <f t="shared" ref="D33:S35" si="142">+D31-D32</f>
        <v>760.40000000000043</v>
      </c>
      <c r="E33" s="172">
        <f t="shared" si="142"/>
        <v>658.79999999999973</v>
      </c>
      <c r="F33" s="172">
        <f t="shared" si="142"/>
        <v>1373.200000000001</v>
      </c>
      <c r="G33" s="172">
        <f t="shared" si="142"/>
        <v>802.20000000000095</v>
      </c>
      <c r="H33" s="188">
        <f t="shared" ref="H33" si="143">+H31-H32</f>
        <v>3594.6000000000054</v>
      </c>
      <c r="I33" s="172">
        <f t="shared" si="142"/>
        <v>885.29999999999882</v>
      </c>
      <c r="J33" s="172">
        <f t="shared" si="142"/>
        <v>324.79999999999905</v>
      </c>
      <c r="K33" s="172">
        <f t="shared" si="142"/>
        <v>-678.09999999999923</v>
      </c>
      <c r="L33" s="172">
        <f t="shared" si="142"/>
        <v>153.68249098192484</v>
      </c>
      <c r="M33" s="188">
        <f t="shared" si="142"/>
        <v>685.68249098193246</v>
      </c>
      <c r="N33" s="172">
        <f t="shared" si="142"/>
        <v>603.21473974865899</v>
      </c>
      <c r="O33" s="172">
        <f t="shared" si="142"/>
        <v>469.18182910765518</v>
      </c>
      <c r="P33" s="172">
        <f t="shared" si="142"/>
        <v>645.56900342179415</v>
      </c>
      <c r="Q33" s="172">
        <f t="shared" si="142"/>
        <v>757.92041068845629</v>
      </c>
      <c r="R33" s="188">
        <f t="shared" si="142"/>
        <v>2475.8859829665666</v>
      </c>
      <c r="S33" s="172">
        <f t="shared" ref="S33:AL33" si="144">+S31-S32</f>
        <v>666.44294887597516</v>
      </c>
      <c r="T33" s="172">
        <f t="shared" si="144"/>
        <v>522.21185666092515</v>
      </c>
      <c r="U33" s="172">
        <f t="shared" si="144"/>
        <v>709.97002024214885</v>
      </c>
      <c r="V33" s="172">
        <f t="shared" si="144"/>
        <v>822.5475102431393</v>
      </c>
      <c r="W33" s="188">
        <f t="shared" si="144"/>
        <v>2721.1723360221872</v>
      </c>
      <c r="X33" s="172">
        <f t="shared" si="144"/>
        <v>725.36319390158167</v>
      </c>
      <c r="Y33" s="172">
        <f t="shared" si="144"/>
        <v>572.85086525767974</v>
      </c>
      <c r="Z33" s="172">
        <f t="shared" si="144"/>
        <v>769.00449388628806</v>
      </c>
      <c r="AA33" s="172">
        <f t="shared" si="144"/>
        <v>887.59021759579537</v>
      </c>
      <c r="AB33" s="188">
        <f t="shared" si="144"/>
        <v>2954.8087706413494</v>
      </c>
      <c r="AC33" s="172">
        <f t="shared" si="144"/>
        <v>786.02880341936213</v>
      </c>
      <c r="AD33" s="172">
        <f t="shared" si="144"/>
        <v>625.44456676037953</v>
      </c>
      <c r="AE33" s="172">
        <f t="shared" si="144"/>
        <v>830.53953817344905</v>
      </c>
      <c r="AF33" s="172">
        <f t="shared" si="144"/>
        <v>956.42338571885239</v>
      </c>
      <c r="AG33" s="188">
        <f t="shared" si="144"/>
        <v>3198.4362940720348</v>
      </c>
      <c r="AH33" s="172">
        <f t="shared" si="144"/>
        <v>858.41726229056724</v>
      </c>
      <c r="AI33" s="172">
        <f t="shared" si="144"/>
        <v>689.24419980559287</v>
      </c>
      <c r="AJ33" s="172">
        <f t="shared" si="144"/>
        <v>906.20914890593338</v>
      </c>
      <c r="AK33" s="172">
        <f t="shared" si="144"/>
        <v>1041.3330088524813</v>
      </c>
      <c r="AL33" s="188">
        <f t="shared" si="144"/>
        <v>3495.2036198545702</v>
      </c>
    </row>
    <row r="34" spans="1:38" ht="18" x14ac:dyDescent="0.35">
      <c r="A34" s="232"/>
      <c r="B34" s="217" t="s">
        <v>115</v>
      </c>
      <c r="C34" s="61"/>
      <c r="D34" s="173">
        <v>-0.2</v>
      </c>
      <c r="E34" s="173">
        <v>-4.4000000000000004</v>
      </c>
      <c r="F34" s="173">
        <v>0.4</v>
      </c>
      <c r="G34" s="173">
        <f t="shared" ref="G34" si="145">H34-F34-E34-D34</f>
        <v>-0.39999999999999963</v>
      </c>
      <c r="H34" s="198">
        <v>-4.5999999999999996</v>
      </c>
      <c r="I34" s="173">
        <v>-0.4</v>
      </c>
      <c r="J34" s="173">
        <v>-3.6</v>
      </c>
      <c r="K34" s="173">
        <v>0.3</v>
      </c>
      <c r="L34" s="51">
        <f>AVERAGE(G34,K34,I34,J34)</f>
        <v>-1.0249999999999999</v>
      </c>
      <c r="M34" s="198">
        <f>SUM(I34:L34)</f>
        <v>-4.7249999999999996</v>
      </c>
      <c r="N34" s="51">
        <f>AVERAGE(I34,J34,K34,L34)</f>
        <v>-1.1812499999999999</v>
      </c>
      <c r="O34" s="51">
        <f>AVERAGE(J34,K34,L34,N34)</f>
        <v>-1.3765624999999999</v>
      </c>
      <c r="P34" s="51">
        <f>AVERAGE(K34,L34,O34,N34)</f>
        <v>-0.82070312499999998</v>
      </c>
      <c r="Q34" s="51">
        <f>AVERAGE(L34,P34,N34,O34)</f>
        <v>-1.10087890625</v>
      </c>
      <c r="R34" s="198">
        <f>SUM(N34:Q34)</f>
        <v>-4.4793945312499996</v>
      </c>
      <c r="S34" s="51">
        <f>AVERAGE(N34,O34,P34,Q34)</f>
        <v>-1.1198486328124999</v>
      </c>
      <c r="T34" s="51">
        <f>AVERAGE(O34,P34,Q34,S34)</f>
        <v>-1.1044982910156249</v>
      </c>
      <c r="U34" s="51">
        <f>AVERAGE(P34,Q34,T34,S34)</f>
        <v>-1.0364822387695312</v>
      </c>
      <c r="V34" s="51">
        <f>AVERAGE(Q34,U34,S34,T34)</f>
        <v>-1.0904270172119139</v>
      </c>
      <c r="W34" s="198">
        <f>SUM(S34:V34)</f>
        <v>-4.3512561798095701</v>
      </c>
      <c r="X34" s="51">
        <f>AVERAGE(S34,T34,U34,V34)</f>
        <v>-1.0878140449523925</v>
      </c>
      <c r="Y34" s="51">
        <f>AVERAGE(T34,U34,V34,X34)</f>
        <v>-1.0798053979873656</v>
      </c>
      <c r="Z34" s="51">
        <f>AVERAGE(U34,V34,Y34,X34)</f>
        <v>-1.0736321747303008</v>
      </c>
      <c r="AA34" s="51">
        <f>AVERAGE(V34,Z34,X34,Y34)</f>
        <v>-1.0829196587204932</v>
      </c>
      <c r="AB34" s="198">
        <f>SUM(X34:AA34)</f>
        <v>-4.324171276390552</v>
      </c>
      <c r="AC34" s="51">
        <f>AVERAGE(X34,Y34,Z34,AA34)</f>
        <v>-1.081042819097638</v>
      </c>
      <c r="AD34" s="51">
        <f>AVERAGE(Y34,Z34,AA34,AC34)</f>
        <v>-1.0793500126339495</v>
      </c>
      <c r="AE34" s="51">
        <f>AVERAGE(Z34,AA34,AD34,AC34)</f>
        <v>-1.0792361662955954</v>
      </c>
      <c r="AF34" s="51">
        <f>AVERAGE(AA34,AE34,AC34,AD34)</f>
        <v>-1.080637164186919</v>
      </c>
      <c r="AG34" s="198">
        <f>SUM(AC34:AF34)</f>
        <v>-4.3202661622141019</v>
      </c>
      <c r="AH34" s="51">
        <f>AVERAGE(AC34,AD34,AE34,AF34)</f>
        <v>-1.0800665405535255</v>
      </c>
      <c r="AI34" s="51">
        <f>AVERAGE(AD34,AE34,AF34,AH34)</f>
        <v>-1.0798224709174973</v>
      </c>
      <c r="AJ34" s="51">
        <f>AVERAGE(AE34,AF34,AI34,AH34)</f>
        <v>-1.0799405854883841</v>
      </c>
      <c r="AK34" s="51">
        <f>AVERAGE(AF34,AJ34,AH34,AI34)</f>
        <v>-1.0801166902865815</v>
      </c>
      <c r="AL34" s="198">
        <f>SUM(AH34:AK34)</f>
        <v>-4.3199462872459886</v>
      </c>
    </row>
    <row r="35" spans="1:38" s="13" customFormat="1" x14ac:dyDescent="0.2">
      <c r="A35" s="258"/>
      <c r="B35" s="214" t="s">
        <v>60</v>
      </c>
      <c r="C35" s="68"/>
      <c r="D35" s="172">
        <f t="shared" ref="D35:Q35" si="146">+D33-D34</f>
        <v>760.60000000000048</v>
      </c>
      <c r="E35" s="172">
        <f t="shared" si="146"/>
        <v>663.1999999999997</v>
      </c>
      <c r="F35" s="172">
        <f t="shared" si="146"/>
        <v>1372.8000000000009</v>
      </c>
      <c r="G35" s="172">
        <f t="shared" si="146"/>
        <v>802.60000000000093</v>
      </c>
      <c r="H35" s="188">
        <f t="shared" si="146"/>
        <v>3599.2000000000053</v>
      </c>
      <c r="I35" s="172">
        <f t="shared" si="146"/>
        <v>885.69999999999879</v>
      </c>
      <c r="J35" s="172">
        <f t="shared" si="146"/>
        <v>328.39999999999907</v>
      </c>
      <c r="K35" s="172">
        <f t="shared" si="146"/>
        <v>-678.39999999999918</v>
      </c>
      <c r="L35" s="172">
        <f t="shared" si="146"/>
        <v>154.70749098192485</v>
      </c>
      <c r="M35" s="188">
        <f t="shared" si="142"/>
        <v>690.40749098193248</v>
      </c>
      <c r="N35" s="172">
        <f t="shared" si="146"/>
        <v>604.39598974865896</v>
      </c>
      <c r="O35" s="172">
        <f t="shared" si="146"/>
        <v>470.55839160765515</v>
      </c>
      <c r="P35" s="172">
        <f t="shared" si="146"/>
        <v>646.38970654679417</v>
      </c>
      <c r="Q35" s="172">
        <f t="shared" si="146"/>
        <v>759.02128959470633</v>
      </c>
      <c r="R35" s="188">
        <f t="shared" si="142"/>
        <v>2480.3653774978166</v>
      </c>
      <c r="S35" s="172">
        <f t="shared" si="142"/>
        <v>667.56279750878764</v>
      </c>
      <c r="T35" s="172">
        <f t="shared" ref="T35:AL35" si="147">+T33-T34</f>
        <v>523.31635495194075</v>
      </c>
      <c r="U35" s="172">
        <f t="shared" si="147"/>
        <v>711.00650248091836</v>
      </c>
      <c r="V35" s="172">
        <f t="shared" si="147"/>
        <v>823.63793726035124</v>
      </c>
      <c r="W35" s="188">
        <f t="shared" si="147"/>
        <v>2725.523592201997</v>
      </c>
      <c r="X35" s="172">
        <f t="shared" si="147"/>
        <v>726.45100794653411</v>
      </c>
      <c r="Y35" s="172">
        <f t="shared" si="147"/>
        <v>573.93067065566709</v>
      </c>
      <c r="Z35" s="172">
        <f t="shared" si="147"/>
        <v>770.07812606101834</v>
      </c>
      <c r="AA35" s="172">
        <f t="shared" si="147"/>
        <v>888.67313725451584</v>
      </c>
      <c r="AB35" s="188">
        <f t="shared" si="147"/>
        <v>2959.13294191774</v>
      </c>
      <c r="AC35" s="172">
        <f t="shared" si="147"/>
        <v>787.1098462384598</v>
      </c>
      <c r="AD35" s="172">
        <f t="shared" si="147"/>
        <v>626.52391677301353</v>
      </c>
      <c r="AE35" s="172">
        <f t="shared" si="147"/>
        <v>831.61877433974462</v>
      </c>
      <c r="AF35" s="172">
        <f t="shared" si="147"/>
        <v>957.50402288303928</v>
      </c>
      <c r="AG35" s="188">
        <f t="shared" si="147"/>
        <v>3202.7565602342488</v>
      </c>
      <c r="AH35" s="172">
        <f t="shared" si="147"/>
        <v>859.49732883112074</v>
      </c>
      <c r="AI35" s="172">
        <f t="shared" si="147"/>
        <v>690.32402227651039</v>
      </c>
      <c r="AJ35" s="172">
        <f t="shared" si="147"/>
        <v>907.28908949142181</v>
      </c>
      <c r="AK35" s="172">
        <f t="shared" si="147"/>
        <v>1042.4131255427678</v>
      </c>
      <c r="AL35" s="188">
        <f t="shared" si="147"/>
        <v>3499.523566141816</v>
      </c>
    </row>
    <row r="36" spans="1:38" s="13" customFormat="1" ht="18" x14ac:dyDescent="0.35">
      <c r="A36" s="258"/>
      <c r="B36" s="142" t="s">
        <v>165</v>
      </c>
      <c r="C36" s="139"/>
      <c r="D36" s="178">
        <f t="shared" ref="D36:K36" si="148">-D177-D178</f>
        <v>41.449999999998646</v>
      </c>
      <c r="E36" s="178">
        <f t="shared" si="148"/>
        <v>-54.179999999999545</v>
      </c>
      <c r="F36" s="178">
        <f t="shared" si="148"/>
        <v>-544.16000000000076</v>
      </c>
      <c r="G36" s="178">
        <f t="shared" si="148"/>
        <v>-30</v>
      </c>
      <c r="H36" s="268">
        <f>SUM(D36:G36)</f>
        <v>-586.89000000000169</v>
      </c>
      <c r="I36" s="178">
        <f t="shared" si="148"/>
        <v>-11</v>
      </c>
      <c r="J36" s="178">
        <f t="shared" si="148"/>
        <v>-23</v>
      </c>
      <c r="K36" s="178">
        <f t="shared" si="148"/>
        <v>-35.055</v>
      </c>
      <c r="L36" s="178">
        <f>L177-L178</f>
        <v>-47</v>
      </c>
      <c r="M36" s="268">
        <f t="shared" ref="M36:M37" si="149">SUM(I36:L36)</f>
        <v>-116.05500000000001</v>
      </c>
      <c r="N36" s="178">
        <f t="shared" ref="N36:Q36" si="150">N177-N178</f>
        <v>-24.530499999999996</v>
      </c>
      <c r="O36" s="178">
        <f t="shared" si="150"/>
        <v>-24.146812499999999</v>
      </c>
      <c r="P36" s="178">
        <f t="shared" si="150"/>
        <v>-23.630164062499997</v>
      </c>
      <c r="Q36" s="178">
        <f t="shared" si="150"/>
        <v>-6.1742594251657268</v>
      </c>
      <c r="R36" s="268">
        <f t="shared" ref="R36:R37" si="151">SUM(N36:Q36)</f>
        <v>-78.481735987665729</v>
      </c>
      <c r="S36" s="178">
        <f t="shared" ref="S36:V36" si="152">S177-S178</f>
        <v>-24.44786389160156</v>
      </c>
      <c r="T36" s="178">
        <f t="shared" si="152"/>
        <v>-25.713846878051754</v>
      </c>
      <c r="U36" s="178">
        <f t="shared" si="152"/>
        <v>-27.258077737808225</v>
      </c>
      <c r="V36" s="178">
        <f t="shared" si="152"/>
        <v>-26.323337455034249</v>
      </c>
      <c r="W36" s="268">
        <f t="shared" ref="W36:W37" si="153">SUM(S36:V36)</f>
        <v>-103.74312596249578</v>
      </c>
      <c r="X36" s="178">
        <f t="shared" ref="X36:AA36" si="154">X177-X178</f>
        <v>-24.937754636913535</v>
      </c>
      <c r="Y36" s="178">
        <f t="shared" si="154"/>
        <v>-24.988661466527731</v>
      </c>
      <c r="Z36" s="178">
        <f t="shared" si="154"/>
        <v>-25.093892587343692</v>
      </c>
      <c r="AA36" s="178">
        <f t="shared" si="154"/>
        <v>-25.276858652949155</v>
      </c>
      <c r="AB36" s="268">
        <f t="shared" ref="AB36:AB37" si="155">SUM(X36:AA36)</f>
        <v>-100.29716734373412</v>
      </c>
      <c r="AC36" s="178">
        <f t="shared" ref="AC36:AF36" si="156">AC177-AC178</f>
        <v>-25.505036663278737</v>
      </c>
      <c r="AD36" s="178">
        <f t="shared" si="156"/>
        <v>-25.637183259738386</v>
      </c>
      <c r="AE36" s="178">
        <f t="shared" si="156"/>
        <v>-25.627600307449214</v>
      </c>
      <c r="AF36" s="178">
        <f t="shared" si="156"/>
        <v>-25.423790628654341</v>
      </c>
      <c r="AG36" s="268">
        <f t="shared" ref="AG36:AG37" si="157">SUM(AC36:AF36)</f>
        <v>-102.19361085912068</v>
      </c>
      <c r="AH36" s="178">
        <f t="shared" ref="AH36:AK36" si="158">AH177-AH178</f>
        <v>-25.311347275356848</v>
      </c>
      <c r="AI36" s="178">
        <f t="shared" si="158"/>
        <v>-25.358046355162262</v>
      </c>
      <c r="AJ36" s="178">
        <f t="shared" si="158"/>
        <v>-25.404219466241582</v>
      </c>
      <c r="AK36" s="178">
        <f t="shared" si="158"/>
        <v>-25.443010326103817</v>
      </c>
      <c r="AL36" s="268">
        <f t="shared" ref="AL36:AL37" si="159">SUM(AH36:AK36)</f>
        <v>-101.51662342286451</v>
      </c>
    </row>
    <row r="37" spans="1:38" s="13" customFormat="1" x14ac:dyDescent="0.2">
      <c r="A37" s="258"/>
      <c r="B37" s="140" t="s">
        <v>166</v>
      </c>
      <c r="C37" s="141"/>
      <c r="D37" s="177">
        <f t="shared" ref="D37:Q37" si="160">+D27+D28+D29+D30-D32-D34+D36</f>
        <v>940.04999999999916</v>
      </c>
      <c r="E37" s="177">
        <f t="shared" si="160"/>
        <v>750.42000000000007</v>
      </c>
      <c r="F37" s="177">
        <f t="shared" si="160"/>
        <v>953.94</v>
      </c>
      <c r="G37" s="177">
        <f t="shared" si="160"/>
        <v>850.00000000000102</v>
      </c>
      <c r="H37" s="267">
        <f t="shared" si="160"/>
        <v>3494.4100000000039</v>
      </c>
      <c r="I37" s="177">
        <f t="shared" si="160"/>
        <v>946.2999999999987</v>
      </c>
      <c r="J37" s="177">
        <f t="shared" si="160"/>
        <v>372.19999999999902</v>
      </c>
      <c r="K37" s="177">
        <f t="shared" si="160"/>
        <v>-539.7749999999993</v>
      </c>
      <c r="L37" s="177">
        <f t="shared" si="160"/>
        <v>294.74749098192495</v>
      </c>
      <c r="M37" s="267">
        <f t="shared" si="149"/>
        <v>1073.4724909819233</v>
      </c>
      <c r="N37" s="177">
        <f t="shared" si="160"/>
        <v>702.51798974865892</v>
      </c>
      <c r="O37" s="177">
        <f t="shared" si="160"/>
        <v>567.14564160765519</v>
      </c>
      <c r="P37" s="177">
        <f t="shared" si="160"/>
        <v>740.91036279679417</v>
      </c>
      <c r="Q37" s="177">
        <f t="shared" si="160"/>
        <v>783.71832729536948</v>
      </c>
      <c r="R37" s="267">
        <f t="shared" si="151"/>
        <v>2794.2923214484777</v>
      </c>
      <c r="S37" s="177">
        <f t="shared" ref="S37:V37" si="161">+S27+S28+S29+S30-S32-S34+S36</f>
        <v>765.35425307519392</v>
      </c>
      <c r="T37" s="177">
        <f t="shared" si="161"/>
        <v>626.17174246414777</v>
      </c>
      <c r="U37" s="177">
        <f t="shared" si="161"/>
        <v>820.03881343215107</v>
      </c>
      <c r="V37" s="177">
        <f t="shared" si="161"/>
        <v>928.93128708048823</v>
      </c>
      <c r="W37" s="267">
        <f t="shared" si="153"/>
        <v>3140.4960960519811</v>
      </c>
      <c r="X37" s="177">
        <f t="shared" ref="X37:AA37" si="162">+X27+X28+X29+X30-X32-X34+X36</f>
        <v>826.20202649418843</v>
      </c>
      <c r="Y37" s="177">
        <f t="shared" si="162"/>
        <v>673.8853165217779</v>
      </c>
      <c r="Z37" s="177">
        <f t="shared" si="162"/>
        <v>870.45369641039304</v>
      </c>
      <c r="AA37" s="177">
        <f t="shared" si="162"/>
        <v>989.78057186631247</v>
      </c>
      <c r="AB37" s="267">
        <f t="shared" si="155"/>
        <v>3360.3216112926721</v>
      </c>
      <c r="AC37" s="177">
        <f t="shared" ref="AC37:AF37" si="163">+AC27+AC28+AC29+AC30-AC32-AC34+AC36</f>
        <v>889.12999289157472</v>
      </c>
      <c r="AD37" s="177">
        <f t="shared" si="163"/>
        <v>729.07264981196704</v>
      </c>
      <c r="AE37" s="177">
        <f t="shared" si="163"/>
        <v>934.12917556954142</v>
      </c>
      <c r="AF37" s="177">
        <f t="shared" si="163"/>
        <v>1059.1991853976567</v>
      </c>
      <c r="AG37" s="267">
        <f t="shared" si="157"/>
        <v>3611.5310036707397</v>
      </c>
      <c r="AH37" s="177">
        <f t="shared" ref="AH37:AK37" si="164">+AH27+AH28+AH29+AH30-AH32-AH34+AH36</f>
        <v>960.74271793254843</v>
      </c>
      <c r="AI37" s="177">
        <f t="shared" si="164"/>
        <v>791.75620769715931</v>
      </c>
      <c r="AJ37" s="177">
        <f t="shared" si="164"/>
        <v>1008.9059673563881</v>
      </c>
      <c r="AK37" s="177">
        <f t="shared" si="164"/>
        <v>1144.1851668471832</v>
      </c>
      <c r="AL37" s="267">
        <f t="shared" si="159"/>
        <v>3905.5900598332787</v>
      </c>
    </row>
    <row r="38" spans="1:38" x14ac:dyDescent="0.2">
      <c r="A38" s="167"/>
      <c r="B38" s="421" t="s">
        <v>0</v>
      </c>
      <c r="C38" s="422"/>
      <c r="D38" s="169">
        <v>1242</v>
      </c>
      <c r="E38" s="169">
        <v>1239.2</v>
      </c>
      <c r="F38" s="169">
        <v>1211</v>
      </c>
      <c r="G38" s="169">
        <v>1210.7904210526317</v>
      </c>
      <c r="H38" s="170">
        <v>1221.2</v>
      </c>
      <c r="I38" s="169">
        <v>1180.4000000000001</v>
      </c>
      <c r="J38" s="169">
        <v>1171.8</v>
      </c>
      <c r="K38" s="169">
        <v>1168.5</v>
      </c>
      <c r="L38" s="169">
        <f>K38*(1+L157)-L161-L164-L167</f>
        <v>1167.3874645009873</v>
      </c>
      <c r="M38" s="170">
        <f>(I35/M35*I38)+(J35/M35*J38)+(K35/M35*K38)+(L35/M35*L38)</f>
        <v>1185.0864834520007</v>
      </c>
      <c r="N38" s="169">
        <f>L38*(1+N157)-N161-N164-N167</f>
        <v>1160.7785847212888</v>
      </c>
      <c r="O38" s="169">
        <f t="shared" ref="O38:P38" si="165">N38*(1+O157)-O161-O164-O167</f>
        <v>1157.1396549366673</v>
      </c>
      <c r="P38" s="169">
        <f t="shared" si="165"/>
        <v>1153.240724080109</v>
      </c>
      <c r="Q38" s="169">
        <f>P38*(1+Q157)-Q161-Q164-Q167</f>
        <v>1149.5026507620146</v>
      </c>
      <c r="R38" s="170">
        <f>(N35/R35*N38)+(O35/R35*O38)+(P35/R35*P38)+(Q35/R35*Q38)</f>
        <v>1154.6732751781847</v>
      </c>
      <c r="S38" s="169">
        <f>Q38*(1+S157)-S161-S164-S167</f>
        <v>1145.084674938015</v>
      </c>
      <c r="T38" s="169">
        <f t="shared" ref="T38:U38" si="166">S38*(1+T157)-T161-T164-T167</f>
        <v>1141.1836142778152</v>
      </c>
      <c r="U38" s="169">
        <f t="shared" si="166"/>
        <v>1137.2182285880024</v>
      </c>
      <c r="V38" s="169">
        <f>U38*(1+V157)-V161-V164-V167</f>
        <v>1133.23662240881</v>
      </c>
      <c r="W38" s="170">
        <f>(S35/W35*S38)+(T35/W35*T38)+(U35/W35*U38)+(V35/W35*V38)</f>
        <v>1138.7031161993978</v>
      </c>
      <c r="X38" s="169">
        <f>V38*(1+X157)-X161-X164-X167</f>
        <v>1129.1952982983723</v>
      </c>
      <c r="Y38" s="169">
        <f t="shared" ref="Y38:Z38" si="167">X38*(1+Y157)-Y161-Y164-Y167</f>
        <v>1125.2465885368172</v>
      </c>
      <c r="Z38" s="169">
        <f t="shared" si="167"/>
        <v>1121.28628086361</v>
      </c>
      <c r="AA38" s="169">
        <f>Z38*(1+AA157)-AA161-AA164-AA167</f>
        <v>1117.3273301997745</v>
      </c>
      <c r="AB38" s="170">
        <f>(X35/AB35*X38)+(Y35/AB35*Y38)+(Z35/AB35*Z38)+(AA35/AB35*AA38)</f>
        <v>1122.8070785796626</v>
      </c>
      <c r="AC38" s="169">
        <f>AA38*(1+AC157)-AC161-AC164-AC167</f>
        <v>1113.3740545865537</v>
      </c>
      <c r="AD38" s="169">
        <f t="shared" ref="AD38:AE38" si="168">AC38*(1+AD157)-AD161-AD164-AD167</f>
        <v>1109.4425157654077</v>
      </c>
      <c r="AE38" s="169">
        <f t="shared" si="168"/>
        <v>1105.5153039741654</v>
      </c>
      <c r="AF38" s="169">
        <f>AE38*(1+AF157)-AF161-AF164-AF167</f>
        <v>1101.5963308050998</v>
      </c>
      <c r="AG38" s="170">
        <f>(AC35/AG35*AC38)+(AD35/AG35*AD38)+(AE35/AG35*AE38)+(AF35/AG35*AF38)</f>
        <v>1107.0432875822264</v>
      </c>
      <c r="AH38" s="169">
        <f>AF38*(1+AH157)-AH161-AH164-AH167</f>
        <v>1097.6872862680902</v>
      </c>
      <c r="AI38" s="169">
        <f t="shared" ref="AI38:AJ38" si="169">AH38*(1+AI157)-AI161-AI164-AI167</f>
        <v>1093.7892147734215</v>
      </c>
      <c r="AJ38" s="169">
        <f t="shared" si="169"/>
        <v>1089.8994723700625</v>
      </c>
      <c r="AK38" s="169">
        <f>AJ38*(1+AK157)-AK161-AK164-AK167</f>
        <v>1086.0190417561269</v>
      </c>
      <c r="AL38" s="170">
        <f>(AH35/AL35*AH38)+(AI35/AL35*AI38)+(AJ35/AL35*AJ38)+(AK35/AL35*AK38)</f>
        <v>1091.4236158595309</v>
      </c>
    </row>
    <row r="39" spans="1:38" ht="15.75" customHeight="1" x14ac:dyDescent="0.2">
      <c r="A39" s="167"/>
      <c r="B39" s="421" t="s">
        <v>1</v>
      </c>
      <c r="C39" s="422"/>
      <c r="D39" s="169">
        <v>1253.4000000000001</v>
      </c>
      <c r="E39" s="169">
        <v>1250.7</v>
      </c>
      <c r="F39" s="169">
        <v>1223</v>
      </c>
      <c r="G39" s="169">
        <v>1222.8144210526316</v>
      </c>
      <c r="H39" s="170">
        <v>1233.2</v>
      </c>
      <c r="I39" s="169">
        <v>1191</v>
      </c>
      <c r="J39" s="169">
        <v>1180.7</v>
      </c>
      <c r="K39" s="169">
        <v>1168.5</v>
      </c>
      <c r="L39" s="169">
        <f>K39*(1+L158)-L161-L164-L167</f>
        <v>1164.4292336761357</v>
      </c>
      <c r="M39" s="170">
        <f>(I35/M35*I39)+(J35/M35*J39)+(K35/M35*K39)+(L35/M35*L39)</f>
        <v>1202.2553579010353</v>
      </c>
      <c r="N39" s="169">
        <f>L39*(1+N158)-N161-N164-N167</f>
        <v>1154.1981132594142</v>
      </c>
      <c r="O39" s="169">
        <f t="shared" ref="O39:P39" si="170">N39*(1+O158)-O161-O164-O167</f>
        <v>1146.363414803368</v>
      </c>
      <c r="P39" s="169">
        <f t="shared" si="170"/>
        <v>1137.6694104084465</v>
      </c>
      <c r="Q39" s="169">
        <f>P39*(1+Q158)-Q161-Q164-Q167</f>
        <v>1130.1238167552676</v>
      </c>
      <c r="R39" s="170">
        <f>(N35/R35*N39)+(O35/R35*O39)+(P35/R35*P39)+(Q35/R35*Q39)</f>
        <v>1141.037322367695</v>
      </c>
      <c r="S39" s="169">
        <f>Q39*(1+S158)-S161-S164-S167</f>
        <v>1121.7049687321837</v>
      </c>
      <c r="T39" s="169">
        <f t="shared" ref="T39:U39" si="171">S39*(1+T158)-T161-T164-T167</f>
        <v>1113.7034932736021</v>
      </c>
      <c r="U39" s="169">
        <f t="shared" si="171"/>
        <v>1105.6627686340569</v>
      </c>
      <c r="V39" s="169">
        <f>U39*(1+V158)-V161-V164-V167</f>
        <v>1097.780575345806</v>
      </c>
      <c r="W39" s="170">
        <f>(S35/W35*S39)+(T35/W35*T39)+(U35/W35*U39)+(V35/W35*V39)</f>
        <v>1108.7538977251143</v>
      </c>
      <c r="X39" s="169">
        <f>V39*(1+X158)-X161-X164-X167</f>
        <v>1089.8181488603723</v>
      </c>
      <c r="Y39" s="169">
        <f t="shared" ref="Y39:Z39" si="172">X39*(1+Y158)-Y161-Y164-Y167</f>
        <v>1081.9667670806964</v>
      </c>
      <c r="Z39" s="169">
        <f t="shared" si="172"/>
        <v>1074.1525612084461</v>
      </c>
      <c r="AA39" s="169">
        <f>Z39*(1+AA158)-AA161-AA164-AA167</f>
        <v>1066.393955510463</v>
      </c>
      <c r="AB39" s="170">
        <f>(X35/AB35*X39)+(Y35/AB35*Y39)+(Z35/AB35*Z39)+(AA35/AB35*AA39)</f>
        <v>1077.1839322439605</v>
      </c>
      <c r="AC39" s="169">
        <f>AA39*(1+AC158)-AC161-AC164-AC167</f>
        <v>1058.6661239114674</v>
      </c>
      <c r="AD39" s="169">
        <f t="shared" ref="AD39:AE39" si="173">AC39*(1+AD158)-AD161-AD164-AD167</f>
        <v>1050.9958278719087</v>
      </c>
      <c r="AE39" s="169">
        <f t="shared" si="173"/>
        <v>1043.3701591986319</v>
      </c>
      <c r="AF39" s="169">
        <f>AE39*(1+AF158)-AF161-AF164-AF167</f>
        <v>1035.7909087989137</v>
      </c>
      <c r="AG39" s="170">
        <f>(AC35/AG35*AC39)+(AD35/AG35*AD39)+(AE35/AG35*AE39)+(AF35/AG35*AF39)</f>
        <v>1046.3551208435235</v>
      </c>
      <c r="AH39" s="169">
        <f>AF39*(1+AH158)-AH161-AH164-AH167</f>
        <v>1028.2558572780856</v>
      </c>
      <c r="AI39" s="169">
        <f t="shared" ref="AI39:AJ39" si="174">AH39*(1+AI158)-AI161-AI164-AI167</f>
        <v>1020.7682353194355</v>
      </c>
      <c r="AJ39" s="169">
        <f t="shared" si="174"/>
        <v>1013.3256007210338</v>
      </c>
      <c r="AK39" s="169">
        <f>AJ39*(1+AK158)-AK161-AK164-AK167</f>
        <v>1005.9280345447727</v>
      </c>
      <c r="AL39" s="170">
        <f>(AH35/AL35*AH39)+(AI35/AL35*AI39)+(AJ35/AL35*AJ39)+(AK35/AL35*AK39)</f>
        <v>1016.257149775856</v>
      </c>
    </row>
    <row r="40" spans="1:38" ht="15.75" customHeight="1" x14ac:dyDescent="0.2">
      <c r="A40" s="167"/>
      <c r="B40" s="428" t="s">
        <v>31</v>
      </c>
      <c r="C40" s="429"/>
      <c r="D40" s="179">
        <f t="shared" ref="D40:K40" si="175">D35/D38</f>
        <v>0.61239935587761718</v>
      </c>
      <c r="E40" s="179">
        <f t="shared" si="175"/>
        <v>0.53518398967075509</v>
      </c>
      <c r="F40" s="179">
        <f t="shared" si="175"/>
        <v>1.1336085879438487</v>
      </c>
      <c r="G40" s="179">
        <f t="shared" si="175"/>
        <v>0.66287276975832043</v>
      </c>
      <c r="H40" s="220">
        <f t="shared" si="175"/>
        <v>2.947264985260404</v>
      </c>
      <c r="I40" s="179">
        <f t="shared" si="175"/>
        <v>0.75033886818027684</v>
      </c>
      <c r="J40" s="179">
        <f t="shared" si="175"/>
        <v>0.28025260283324721</v>
      </c>
      <c r="K40" s="179">
        <f t="shared" si="175"/>
        <v>-0.58057338468121455</v>
      </c>
      <c r="L40" s="179">
        <f t="shared" ref="L40:R40" si="176">L35/L38</f>
        <v>0.13252454363817953</v>
      </c>
      <c r="M40" s="220">
        <f t="shared" si="176"/>
        <v>0.58257983752448717</v>
      </c>
      <c r="N40" s="179">
        <f t="shared" si="176"/>
        <v>0.52068154745788897</v>
      </c>
      <c r="O40" s="179">
        <f t="shared" si="176"/>
        <v>0.40665652551109727</v>
      </c>
      <c r="P40" s="179">
        <f t="shared" si="176"/>
        <v>0.56049850915765376</v>
      </c>
      <c r="Q40" s="179">
        <f t="shared" si="176"/>
        <v>0.66030407941342717</v>
      </c>
      <c r="R40" s="220">
        <f t="shared" si="176"/>
        <v>2.1481101458029817</v>
      </c>
      <c r="S40" s="179">
        <f t="shared" ref="S40:AL40" si="177">S35/S38</f>
        <v>0.58298116472908323</v>
      </c>
      <c r="T40" s="179">
        <f t="shared" si="177"/>
        <v>0.45857331669024659</v>
      </c>
      <c r="U40" s="179">
        <f t="shared" si="177"/>
        <v>0.6252155343690905</v>
      </c>
      <c r="V40" s="179">
        <f t="shared" si="177"/>
        <v>0.7268013766706769</v>
      </c>
      <c r="W40" s="220">
        <f t="shared" si="177"/>
        <v>2.3935330934184709</v>
      </c>
      <c r="X40" s="179">
        <f t="shared" si="177"/>
        <v>0.64333513347181925</v>
      </c>
      <c r="Y40" s="179">
        <f t="shared" si="177"/>
        <v>0.51004879863884922</v>
      </c>
      <c r="Z40" s="179">
        <f t="shared" si="177"/>
        <v>0.68678101141833947</v>
      </c>
      <c r="AA40" s="179">
        <f t="shared" si="177"/>
        <v>0.7953561263874428</v>
      </c>
      <c r="AB40" s="220">
        <f t="shared" si="177"/>
        <v>2.6354776331308916</v>
      </c>
      <c r="AC40" s="179">
        <f t="shared" si="177"/>
        <v>0.70695903411432504</v>
      </c>
      <c r="AD40" s="179">
        <f t="shared" si="177"/>
        <v>0.56471958471933337</v>
      </c>
      <c r="AE40" s="179">
        <f t="shared" si="177"/>
        <v>0.75224537493981047</v>
      </c>
      <c r="AF40" s="179">
        <f t="shared" si="177"/>
        <v>0.8691968156640909</v>
      </c>
      <c r="AG40" s="220">
        <f t="shared" si="177"/>
        <v>2.8930725619853974</v>
      </c>
      <c r="AH40" s="179">
        <f t="shared" si="177"/>
        <v>0.78300745538671024</v>
      </c>
      <c r="AI40" s="179">
        <f t="shared" si="177"/>
        <v>0.63113076354433706</v>
      </c>
      <c r="AJ40" s="179">
        <f t="shared" si="177"/>
        <v>0.83245208617126709</v>
      </c>
      <c r="AK40" s="179">
        <f t="shared" si="177"/>
        <v>0.95984792665987984</v>
      </c>
      <c r="AL40" s="220">
        <f t="shared" si="177"/>
        <v>3.206384317958733</v>
      </c>
    </row>
    <row r="41" spans="1:38" x14ac:dyDescent="0.2">
      <c r="A41" s="167"/>
      <c r="B41" s="428" t="s">
        <v>32</v>
      </c>
      <c r="C41" s="429"/>
      <c r="D41" s="179">
        <f t="shared" ref="D41:K41" si="178">D35/D39</f>
        <v>0.60682942396681061</v>
      </c>
      <c r="E41" s="179">
        <f t="shared" si="178"/>
        <v>0.53026305269049312</v>
      </c>
      <c r="F41" s="179">
        <f t="shared" si="178"/>
        <v>1.1224856909239582</v>
      </c>
      <c r="G41" s="179">
        <f t="shared" si="178"/>
        <v>0.65635470614510849</v>
      </c>
      <c r="H41" s="220">
        <f t="shared" si="178"/>
        <v>2.9185857930587131</v>
      </c>
      <c r="I41" s="179">
        <f t="shared" si="178"/>
        <v>0.74366078925272783</v>
      </c>
      <c r="J41" s="179">
        <f t="shared" si="178"/>
        <v>0.27814008638942922</v>
      </c>
      <c r="K41" s="179">
        <f t="shared" si="178"/>
        <v>-0.58057338468121455</v>
      </c>
      <c r="L41" s="179">
        <f t="shared" ref="L41:R41" si="179">L35/L39</f>
        <v>0.13286122205426684</v>
      </c>
      <c r="M41" s="359">
        <f t="shared" si="179"/>
        <v>0.57426027378017641</v>
      </c>
      <c r="N41" s="179">
        <f t="shared" si="179"/>
        <v>0.52365012800260635</v>
      </c>
      <c r="O41" s="179">
        <f t="shared" si="179"/>
        <v>0.41047924727113566</v>
      </c>
      <c r="P41" s="179">
        <f t="shared" si="179"/>
        <v>0.56817006824041005</v>
      </c>
      <c r="Q41" s="179">
        <f t="shared" si="179"/>
        <v>0.67162666456668008</v>
      </c>
      <c r="R41" s="359">
        <f t="shared" si="179"/>
        <v>2.1737811102891587</v>
      </c>
      <c r="S41" s="179">
        <f t="shared" ref="S41:AL41" si="180">S35/S39</f>
        <v>0.59513224610505733</v>
      </c>
      <c r="T41" s="179">
        <f t="shared" si="180"/>
        <v>0.46988840217580091</v>
      </c>
      <c r="U41" s="179">
        <f t="shared" si="180"/>
        <v>0.64305909781089987</v>
      </c>
      <c r="V41" s="179">
        <f t="shared" si="180"/>
        <v>0.75027556121668615</v>
      </c>
      <c r="W41" s="359">
        <f t="shared" si="180"/>
        <v>2.4581862555740184</v>
      </c>
      <c r="X41" s="179">
        <f t="shared" si="180"/>
        <v>0.66658002411336903</v>
      </c>
      <c r="Y41" s="179">
        <f t="shared" si="180"/>
        <v>0.53045129306902417</v>
      </c>
      <c r="Z41" s="179">
        <f t="shared" si="180"/>
        <v>0.71691690163142463</v>
      </c>
      <c r="AA41" s="179">
        <f t="shared" si="180"/>
        <v>0.83334412452584139</v>
      </c>
      <c r="AB41" s="359">
        <f t="shared" si="180"/>
        <v>2.7471008927448017</v>
      </c>
      <c r="AC41" s="179">
        <f t="shared" si="180"/>
        <v>0.74349204953334569</v>
      </c>
      <c r="AD41" s="179">
        <f t="shared" si="180"/>
        <v>0.59612407600287054</v>
      </c>
      <c r="AE41" s="179">
        <f t="shared" si="180"/>
        <v>0.79705056446934952</v>
      </c>
      <c r="AF41" s="179">
        <f t="shared" si="180"/>
        <v>0.92441825348066176</v>
      </c>
      <c r="AG41" s="359">
        <f t="shared" si="180"/>
        <v>3.0608695809242406</v>
      </c>
      <c r="AH41" s="179">
        <f t="shared" si="180"/>
        <v>0.8358788551969073</v>
      </c>
      <c r="AI41" s="179">
        <f t="shared" si="180"/>
        <v>0.67627890287993031</v>
      </c>
      <c r="AJ41" s="179">
        <f t="shared" si="180"/>
        <v>0.89535790751347688</v>
      </c>
      <c r="AK41" s="179">
        <f t="shared" si="180"/>
        <v>1.0362700807066245</v>
      </c>
      <c r="AL41" s="359">
        <f t="shared" si="180"/>
        <v>3.4435413978771665</v>
      </c>
    </row>
    <row r="42" spans="1:38" x14ac:dyDescent="0.2">
      <c r="A42" s="167"/>
      <c r="B42" s="144" t="s">
        <v>167</v>
      </c>
      <c r="C42" s="168"/>
      <c r="D42" s="180">
        <f t="shared" ref="D42:AL42" si="181">+D37/D39</f>
        <v>0.74999999999999922</v>
      </c>
      <c r="E42" s="180">
        <f t="shared" si="181"/>
        <v>0.60000000000000009</v>
      </c>
      <c r="F42" s="196">
        <f t="shared" si="181"/>
        <v>0.78</v>
      </c>
      <c r="G42" s="196">
        <f t="shared" si="181"/>
        <v>0.69511774261567683</v>
      </c>
      <c r="H42" s="195">
        <f t="shared" si="181"/>
        <v>2.8336117418099285</v>
      </c>
      <c r="I42" s="180">
        <f t="shared" si="181"/>
        <v>0.79454240134340781</v>
      </c>
      <c r="J42" s="180">
        <f t="shared" si="181"/>
        <v>0.31523672397730074</v>
      </c>
      <c r="K42" s="180">
        <f t="shared" si="181"/>
        <v>-0.46193838254171954</v>
      </c>
      <c r="L42" s="180">
        <f t="shared" si="181"/>
        <v>0.25312615181551124</v>
      </c>
      <c r="M42" s="195">
        <f t="shared" si="181"/>
        <v>0.89288226825293726</v>
      </c>
      <c r="N42" s="180">
        <f t="shared" si="181"/>
        <v>0.60866326298591256</v>
      </c>
      <c r="O42" s="180">
        <f t="shared" si="181"/>
        <v>0.49473459662434871</v>
      </c>
      <c r="P42" s="180">
        <f t="shared" si="181"/>
        <v>0.65125277696513983</v>
      </c>
      <c r="Q42" s="180">
        <f t="shared" si="181"/>
        <v>0.69348005561507997</v>
      </c>
      <c r="R42" s="195">
        <f t="shared" si="181"/>
        <v>2.4489052782692653</v>
      </c>
      <c r="S42" s="180">
        <f t="shared" si="181"/>
        <v>0.68231333051884568</v>
      </c>
      <c r="T42" s="180">
        <f t="shared" si="181"/>
        <v>0.56224277489117735</v>
      </c>
      <c r="U42" s="180">
        <f t="shared" si="181"/>
        <v>0.74167172549839266</v>
      </c>
      <c r="V42" s="180">
        <f t="shared" si="181"/>
        <v>0.84619031156373903</v>
      </c>
      <c r="W42" s="195">
        <f t="shared" si="181"/>
        <v>2.8324555183034699</v>
      </c>
      <c r="X42" s="180">
        <f t="shared" si="181"/>
        <v>0.7581099905136941</v>
      </c>
      <c r="Y42" s="180">
        <f t="shared" si="181"/>
        <v>0.6228336553626489</v>
      </c>
      <c r="Z42" s="180">
        <f t="shared" si="181"/>
        <v>0.81036319033779791</v>
      </c>
      <c r="AA42" s="180">
        <f t="shared" si="181"/>
        <v>0.92815658486410202</v>
      </c>
      <c r="AB42" s="195">
        <f t="shared" si="181"/>
        <v>3.1195430146201129</v>
      </c>
      <c r="AC42" s="180">
        <f t="shared" si="181"/>
        <v>0.83985873620523033</v>
      </c>
      <c r="AD42" s="180">
        <f t="shared" si="181"/>
        <v>0.69369699715004352</v>
      </c>
      <c r="AE42" s="180">
        <f t="shared" si="181"/>
        <v>0.89529987735800898</v>
      </c>
      <c r="AF42" s="180">
        <f t="shared" si="181"/>
        <v>1.0225994227212196</v>
      </c>
      <c r="AG42" s="195">
        <f t="shared" si="181"/>
        <v>3.4515346957534732</v>
      </c>
      <c r="AH42" s="180">
        <f t="shared" si="181"/>
        <v>0.93434208143073216</v>
      </c>
      <c r="AI42" s="180">
        <f t="shared" si="181"/>
        <v>0.77564738037659453</v>
      </c>
      <c r="AJ42" s="180">
        <f t="shared" si="181"/>
        <v>0.99563848642381003</v>
      </c>
      <c r="AK42" s="180">
        <f t="shared" si="181"/>
        <v>1.1374423691899371</v>
      </c>
      <c r="AL42" s="195">
        <f t="shared" si="181"/>
        <v>3.8431120122448235</v>
      </c>
    </row>
    <row r="43" spans="1:38" x14ac:dyDescent="0.2">
      <c r="A43" s="167"/>
      <c r="B43" s="289" t="s">
        <v>116</v>
      </c>
      <c r="C43" s="290"/>
      <c r="D43" s="181">
        <v>0.36</v>
      </c>
      <c r="E43" s="181">
        <v>0.36</v>
      </c>
      <c r="F43" s="181">
        <v>0.36</v>
      </c>
      <c r="G43" s="181">
        <v>0.41</v>
      </c>
      <c r="H43" s="269">
        <f>+SUM(D43:G43)</f>
        <v>1.49</v>
      </c>
      <c r="I43" s="181">
        <v>0.41</v>
      </c>
      <c r="J43" s="181">
        <v>0.41</v>
      </c>
      <c r="K43" s="181">
        <v>0.41</v>
      </c>
      <c r="L43" s="360">
        <f>G43*1.07</f>
        <v>0.43869999999999998</v>
      </c>
      <c r="M43" s="269">
        <f>SUM(I43:L43)</f>
        <v>1.6686999999999999</v>
      </c>
      <c r="N43" s="360">
        <f>L43</f>
        <v>0.43869999999999998</v>
      </c>
      <c r="O43" s="360">
        <f>N43</f>
        <v>0.43869999999999998</v>
      </c>
      <c r="P43" s="360">
        <f>O43</f>
        <v>0.43869999999999998</v>
      </c>
      <c r="Q43" s="360">
        <f>P43*1.05</f>
        <v>0.46063500000000002</v>
      </c>
      <c r="R43" s="269">
        <f>SUM(N43:Q43)</f>
        <v>1.776735</v>
      </c>
      <c r="S43" s="360">
        <f>Q43</f>
        <v>0.46063500000000002</v>
      </c>
      <c r="T43" s="360">
        <f>S43</f>
        <v>0.46063500000000002</v>
      </c>
      <c r="U43" s="360">
        <f>T43</f>
        <v>0.46063500000000002</v>
      </c>
      <c r="V43" s="360">
        <f>U43*1.05</f>
        <v>0.48366675000000003</v>
      </c>
      <c r="W43" s="269">
        <f>SUM(S43:V43)</f>
        <v>1.8655717500000002</v>
      </c>
      <c r="X43" s="360">
        <f>V43</f>
        <v>0.48366675000000003</v>
      </c>
      <c r="Y43" s="360">
        <f>X43</f>
        <v>0.48366675000000003</v>
      </c>
      <c r="Z43" s="360">
        <f>Y43</f>
        <v>0.48366675000000003</v>
      </c>
      <c r="AA43" s="360">
        <f>Z43*1.05</f>
        <v>0.50785008750000005</v>
      </c>
      <c r="AB43" s="269">
        <f>SUM(X43:AA43)</f>
        <v>1.9588503375000001</v>
      </c>
      <c r="AC43" s="360">
        <f>AA43</f>
        <v>0.50785008750000005</v>
      </c>
      <c r="AD43" s="360">
        <f>AC43</f>
        <v>0.50785008750000005</v>
      </c>
      <c r="AE43" s="360">
        <f>AD43</f>
        <v>0.50785008750000005</v>
      </c>
      <c r="AF43" s="360">
        <f>AE43*1.05</f>
        <v>0.53324259187500012</v>
      </c>
      <c r="AG43" s="269">
        <f>SUM(AC43:AF43)</f>
        <v>2.0567928543750003</v>
      </c>
      <c r="AH43" s="360">
        <f>AF43</f>
        <v>0.53324259187500012</v>
      </c>
      <c r="AI43" s="360">
        <f>AH43</f>
        <v>0.53324259187500012</v>
      </c>
      <c r="AJ43" s="360">
        <f>AI43</f>
        <v>0.53324259187500012</v>
      </c>
      <c r="AK43" s="360">
        <f>AJ43*1.05</f>
        <v>0.55990472146875014</v>
      </c>
      <c r="AL43" s="269">
        <f>SUM(AH43:AK43)</f>
        <v>2.1596324970937504</v>
      </c>
    </row>
    <row r="44" spans="1:38" x14ac:dyDescent="0.2">
      <c r="A44" s="167"/>
      <c r="B44" s="166" t="s">
        <v>37</v>
      </c>
      <c r="C44" s="44"/>
      <c r="D44" s="270"/>
      <c r="E44" s="243"/>
      <c r="F44" s="242"/>
      <c r="G44" s="243"/>
      <c r="H44" s="244"/>
      <c r="I44" s="243"/>
      <c r="J44" s="245"/>
      <c r="K44" s="245"/>
      <c r="L44" s="270"/>
      <c r="M44" s="286"/>
      <c r="N44" s="208"/>
      <c r="O44" s="44"/>
      <c r="P44" s="44"/>
      <c r="Q44" s="138"/>
      <c r="R44" s="6"/>
      <c r="S44" s="44"/>
      <c r="T44" s="44"/>
      <c r="U44" s="44"/>
      <c r="V44" s="138"/>
      <c r="W44" s="6"/>
      <c r="X44" s="44"/>
      <c r="Y44" s="44"/>
      <c r="Z44" s="44"/>
      <c r="AA44" s="138"/>
      <c r="AB44" s="6"/>
      <c r="AC44" s="44"/>
      <c r="AD44" s="44"/>
      <c r="AE44" s="44"/>
      <c r="AF44" s="138"/>
      <c r="AG44" s="6"/>
      <c r="AH44" s="44"/>
      <c r="AI44" s="44"/>
      <c r="AJ44" s="44"/>
      <c r="AK44" s="138"/>
      <c r="AL44" s="6"/>
    </row>
    <row r="45" spans="1:38" ht="16" x14ac:dyDescent="0.2">
      <c r="A45" s="167"/>
      <c r="B45" s="417" t="s">
        <v>57</v>
      </c>
      <c r="C45" s="436"/>
      <c r="D45" s="22" t="s">
        <v>59</v>
      </c>
      <c r="E45" s="22" t="s">
        <v>213</v>
      </c>
      <c r="F45" s="22" t="s">
        <v>215</v>
      </c>
      <c r="G45" s="22" t="s">
        <v>73</v>
      </c>
      <c r="H45" s="77" t="s">
        <v>73</v>
      </c>
      <c r="I45" s="22" t="s">
        <v>74</v>
      </c>
      <c r="J45" s="22" t="s">
        <v>75</v>
      </c>
      <c r="K45" s="22" t="s">
        <v>76</v>
      </c>
      <c r="L45" s="24" t="s">
        <v>77</v>
      </c>
      <c r="M45" s="79" t="s">
        <v>77</v>
      </c>
      <c r="N45" s="24" t="s">
        <v>78</v>
      </c>
      <c r="O45" s="24" t="s">
        <v>79</v>
      </c>
      <c r="P45" s="24" t="s">
        <v>80</v>
      </c>
      <c r="Q45" s="24" t="s">
        <v>81</v>
      </c>
      <c r="R45" s="79" t="s">
        <v>81</v>
      </c>
      <c r="S45" s="24" t="s">
        <v>82</v>
      </c>
      <c r="T45" s="24" t="s">
        <v>83</v>
      </c>
      <c r="U45" s="24" t="s">
        <v>84</v>
      </c>
      <c r="V45" s="24" t="s">
        <v>85</v>
      </c>
      <c r="W45" s="79" t="s">
        <v>85</v>
      </c>
      <c r="X45" s="24" t="s">
        <v>86</v>
      </c>
      <c r="Y45" s="24" t="s">
        <v>87</v>
      </c>
      <c r="Z45" s="24" t="s">
        <v>88</v>
      </c>
      <c r="AA45" s="24" t="s">
        <v>89</v>
      </c>
      <c r="AB45" s="79" t="s">
        <v>89</v>
      </c>
      <c r="AC45" s="24" t="s">
        <v>217</v>
      </c>
      <c r="AD45" s="24" t="s">
        <v>218</v>
      </c>
      <c r="AE45" s="24" t="s">
        <v>219</v>
      </c>
      <c r="AF45" s="24" t="s">
        <v>220</v>
      </c>
      <c r="AG45" s="79" t="s">
        <v>220</v>
      </c>
      <c r="AH45" s="24" t="s">
        <v>250</v>
      </c>
      <c r="AI45" s="24" t="s">
        <v>251</v>
      </c>
      <c r="AJ45" s="24" t="s">
        <v>252</v>
      </c>
      <c r="AK45" s="24" t="s">
        <v>253</v>
      </c>
      <c r="AL45" s="79" t="s">
        <v>253</v>
      </c>
    </row>
    <row r="46" spans="1:38" ht="18" x14ac:dyDescent="0.35">
      <c r="A46" s="167"/>
      <c r="B46" s="432"/>
      <c r="C46" s="433"/>
      <c r="D46" s="23" t="s">
        <v>72</v>
      </c>
      <c r="E46" s="23" t="s">
        <v>212</v>
      </c>
      <c r="F46" s="23" t="s">
        <v>216</v>
      </c>
      <c r="G46" s="23" t="s">
        <v>226</v>
      </c>
      <c r="H46" s="78" t="s">
        <v>227</v>
      </c>
      <c r="I46" s="23" t="s">
        <v>228</v>
      </c>
      <c r="J46" s="23" t="s">
        <v>229</v>
      </c>
      <c r="K46" s="23" t="s">
        <v>230</v>
      </c>
      <c r="L46" s="21" t="s">
        <v>90</v>
      </c>
      <c r="M46" s="80" t="s">
        <v>91</v>
      </c>
      <c r="N46" s="21" t="s">
        <v>92</v>
      </c>
      <c r="O46" s="21" t="s">
        <v>93</v>
      </c>
      <c r="P46" s="21" t="s">
        <v>94</v>
      </c>
      <c r="Q46" s="21" t="s">
        <v>95</v>
      </c>
      <c r="R46" s="80" t="s">
        <v>96</v>
      </c>
      <c r="S46" s="21" t="s">
        <v>97</v>
      </c>
      <c r="T46" s="21" t="s">
        <v>98</v>
      </c>
      <c r="U46" s="21" t="s">
        <v>99</v>
      </c>
      <c r="V46" s="21" t="s">
        <v>100</v>
      </c>
      <c r="W46" s="80" t="s">
        <v>101</v>
      </c>
      <c r="X46" s="21" t="s">
        <v>102</v>
      </c>
      <c r="Y46" s="21" t="s">
        <v>103</v>
      </c>
      <c r="Z46" s="21" t="s">
        <v>104</v>
      </c>
      <c r="AA46" s="21" t="s">
        <v>105</v>
      </c>
      <c r="AB46" s="80" t="s">
        <v>106</v>
      </c>
      <c r="AC46" s="21" t="s">
        <v>221</v>
      </c>
      <c r="AD46" s="21" t="s">
        <v>222</v>
      </c>
      <c r="AE46" s="21" t="s">
        <v>223</v>
      </c>
      <c r="AF46" s="21" t="s">
        <v>224</v>
      </c>
      <c r="AG46" s="80" t="s">
        <v>225</v>
      </c>
      <c r="AH46" s="21" t="s">
        <v>254</v>
      </c>
      <c r="AI46" s="21" t="s">
        <v>255</v>
      </c>
      <c r="AJ46" s="21" t="s">
        <v>256</v>
      </c>
      <c r="AK46" s="21" t="s">
        <v>257</v>
      </c>
      <c r="AL46" s="80" t="s">
        <v>258</v>
      </c>
    </row>
    <row r="47" spans="1:38" ht="19" x14ac:dyDescent="0.35">
      <c r="A47" s="167"/>
      <c r="B47" s="424" t="s">
        <v>117</v>
      </c>
      <c r="C47" s="425"/>
      <c r="D47" s="23"/>
      <c r="E47" s="23"/>
      <c r="F47" s="23"/>
      <c r="G47" s="23"/>
      <c r="H47" s="78"/>
      <c r="I47" s="23"/>
      <c r="J47" s="23"/>
      <c r="K47" s="23"/>
      <c r="L47" s="21"/>
      <c r="M47" s="80"/>
      <c r="N47" s="21"/>
      <c r="O47" s="21"/>
      <c r="P47" s="21"/>
      <c r="Q47" s="21"/>
      <c r="R47" s="80"/>
      <c r="S47" s="21"/>
      <c r="T47" s="21"/>
      <c r="U47" s="21"/>
      <c r="V47" s="21"/>
      <c r="W47" s="80"/>
      <c r="X47" s="21"/>
      <c r="Y47" s="21"/>
      <c r="Z47" s="21"/>
      <c r="AA47" s="21"/>
      <c r="AB47" s="80"/>
      <c r="AC47" s="21"/>
      <c r="AD47" s="21"/>
      <c r="AE47" s="21"/>
      <c r="AF47" s="21"/>
      <c r="AG47" s="80"/>
      <c r="AH47" s="21"/>
      <c r="AI47" s="21"/>
      <c r="AJ47" s="21"/>
      <c r="AK47" s="21"/>
      <c r="AL47" s="80"/>
    </row>
    <row r="48" spans="1:38" s="13" customFormat="1" outlineLevel="1" x14ac:dyDescent="0.2">
      <c r="A48" s="182"/>
      <c r="B48" s="430" t="s">
        <v>119</v>
      </c>
      <c r="C48" s="431"/>
      <c r="D48" s="32">
        <v>9777</v>
      </c>
      <c r="E48" s="32">
        <v>9776</v>
      </c>
      <c r="F48" s="199">
        <v>9857</v>
      </c>
      <c r="G48" s="32">
        <v>9974</v>
      </c>
      <c r="H48" s="107"/>
      <c r="I48" s="32">
        <v>10020</v>
      </c>
      <c r="J48" s="32">
        <v>10051</v>
      </c>
      <c r="K48" s="32">
        <v>10017</v>
      </c>
      <c r="L48" s="199">
        <f>K48+L49</f>
        <v>10079</v>
      </c>
      <c r="M48" s="301"/>
      <c r="N48" s="199">
        <f>L48+N49</f>
        <v>10105.25</v>
      </c>
      <c r="O48" s="199">
        <f t="shared" ref="O48:Q48" si="182">N48+O49</f>
        <v>10126.5625</v>
      </c>
      <c r="P48" s="199">
        <f t="shared" si="182"/>
        <v>10145.453125</v>
      </c>
      <c r="Q48" s="199">
        <f t="shared" si="182"/>
        <v>10177.56640625</v>
      </c>
      <c r="R48" s="301"/>
      <c r="S48" s="199">
        <f>Q48+S49</f>
        <v>10202.2080078125</v>
      </c>
      <c r="T48" s="199">
        <f t="shared" ref="T48" si="183">S48+T49</f>
        <v>10226.447509765625</v>
      </c>
      <c r="U48" s="199">
        <f t="shared" ref="U48" si="184">T48+U49</f>
        <v>10251.418762207031</v>
      </c>
      <c r="V48" s="199">
        <f t="shared" ref="V48" si="185">U48+V49</f>
        <v>10277.910171508789</v>
      </c>
      <c r="W48" s="301"/>
      <c r="X48" s="199">
        <f>V48+X49</f>
        <v>10302.996112823486</v>
      </c>
      <c r="Y48" s="199">
        <f t="shared" ref="Y48" si="186">X48+Y49</f>
        <v>10328.193139076233</v>
      </c>
      <c r="Z48" s="199">
        <f t="shared" ref="Z48" si="187">Y48+Z49</f>
        <v>10353.629546403885</v>
      </c>
      <c r="AA48" s="199">
        <f t="shared" ref="AA48" si="188">Z48+AA49</f>
        <v>10379.182242453098</v>
      </c>
      <c r="AB48" s="301"/>
      <c r="AC48" s="199">
        <f>AA48+AC49</f>
        <v>10404.500260189176</v>
      </c>
      <c r="AD48" s="199">
        <f t="shared" ref="AD48" si="189">AC48+AD49</f>
        <v>10429.876297030598</v>
      </c>
      <c r="AE48" s="199">
        <f t="shared" ref="AE48" si="190">AD48+AE49</f>
        <v>10455.297086519189</v>
      </c>
      <c r="AF48" s="199">
        <f t="shared" ref="AF48" si="191">AE48+AF49</f>
        <v>10480.713971548015</v>
      </c>
      <c r="AG48" s="301"/>
      <c r="AH48" s="199">
        <f>AF48+AH49</f>
        <v>10506.096903821744</v>
      </c>
      <c r="AI48" s="199">
        <f t="shared" ref="AI48" si="192">AH48+AI49</f>
        <v>10531.496064729887</v>
      </c>
      <c r="AJ48" s="199">
        <f t="shared" ref="AJ48" si="193">AI48+AJ49</f>
        <v>10556.901006654709</v>
      </c>
      <c r="AK48" s="199">
        <f t="shared" ref="AK48" si="194">AJ48+AK49</f>
        <v>10582.301986688588</v>
      </c>
      <c r="AL48" s="301"/>
    </row>
    <row r="49" spans="1:38" outlineLevel="1" x14ac:dyDescent="0.2">
      <c r="A49" s="167"/>
      <c r="B49" s="36" t="s">
        <v>124</v>
      </c>
      <c r="C49" s="61"/>
      <c r="D49" s="169">
        <f>+D48-9690</f>
        <v>87</v>
      </c>
      <c r="E49" s="169">
        <f>E48-D48</f>
        <v>-1</v>
      </c>
      <c r="F49" s="169">
        <f t="shared" ref="F49:G49" si="195">F48-E48</f>
        <v>81</v>
      </c>
      <c r="G49" s="169">
        <f t="shared" si="195"/>
        <v>117</v>
      </c>
      <c r="H49" s="207">
        <f>+SUM(D49:G49)</f>
        <v>284</v>
      </c>
      <c r="I49" s="169">
        <f>I48-G48</f>
        <v>46</v>
      </c>
      <c r="J49" s="169">
        <f t="shared" ref="J49" si="196">J48-I48</f>
        <v>31</v>
      </c>
      <c r="K49" s="169">
        <f>K48-J48</f>
        <v>-34</v>
      </c>
      <c r="L49" s="336">
        <v>62</v>
      </c>
      <c r="M49" s="207">
        <f>+SUM(I49:L49)</f>
        <v>105</v>
      </c>
      <c r="N49" s="336">
        <f>AVERAGE(I49,J49,K49,L49)</f>
        <v>26.25</v>
      </c>
      <c r="O49" s="336">
        <f>AVERAGE(J49,K49,L49,N49)</f>
        <v>21.3125</v>
      </c>
      <c r="P49" s="336">
        <f>AVERAGE(K49,L49,O49,N49)</f>
        <v>18.890625</v>
      </c>
      <c r="Q49" s="336">
        <f>AVERAGE(L49,P49,N49,O49)</f>
        <v>32.11328125</v>
      </c>
      <c r="R49" s="207">
        <f>+SUM(N49:Q49)</f>
        <v>98.56640625</v>
      </c>
      <c r="S49" s="336">
        <f>AVERAGE(N49,O49,P49,Q49)</f>
        <v>24.6416015625</v>
      </c>
      <c r="T49" s="336">
        <f>AVERAGE(O49,P49,Q49,S49)</f>
        <v>24.239501953125</v>
      </c>
      <c r="U49" s="336">
        <f>AVERAGE(P49,Q49,T49,S49)</f>
        <v>24.97125244140625</v>
      </c>
      <c r="V49" s="336">
        <f>AVERAGE(Q49,U49,S49,T49)</f>
        <v>26.491409301757812</v>
      </c>
      <c r="W49" s="207">
        <f>+SUM(S49:V49)</f>
        <v>100.34376525878906</v>
      </c>
      <c r="X49" s="336">
        <f>AVERAGE(S49,T49,U49,V49)</f>
        <v>25.085941314697266</v>
      </c>
      <c r="Y49" s="336">
        <f>AVERAGE(T49,U49,V49,X49)</f>
        <v>25.197026252746582</v>
      </c>
      <c r="Z49" s="336">
        <f>AVERAGE(U49,V49,Y49,X49)</f>
        <v>25.436407327651978</v>
      </c>
      <c r="AA49" s="336">
        <f>AVERAGE(V49,Z49,X49,Y49)</f>
        <v>25.552696049213409</v>
      </c>
      <c r="AB49" s="207">
        <f>+SUM(X49:AA49)</f>
        <v>101.27207094430923</v>
      </c>
      <c r="AC49" s="336">
        <f>AVERAGE(X49,Y49,Z49,AA49)</f>
        <v>25.318017736077309</v>
      </c>
      <c r="AD49" s="336">
        <f>AVERAGE(Y49,Z49,AA49,AC49)</f>
        <v>25.376036841422319</v>
      </c>
      <c r="AE49" s="336">
        <f>AVERAGE(Z49,AA49,AD49,AC49)</f>
        <v>25.420789488591254</v>
      </c>
      <c r="AF49" s="336">
        <f>AVERAGE(AA49,AE49,AC49,AD49)</f>
        <v>25.416885028826073</v>
      </c>
      <c r="AG49" s="207">
        <f>+SUM(AC49:AF49)</f>
        <v>101.53172909491695</v>
      </c>
      <c r="AH49" s="336">
        <f>AVERAGE(AC49,AD49,AE49,AF49)</f>
        <v>25.382932273729239</v>
      </c>
      <c r="AI49" s="336">
        <f>AVERAGE(AD49,AE49,AF49,AH49)</f>
        <v>25.399160908142221</v>
      </c>
      <c r="AJ49" s="336">
        <f>AVERAGE(AE49,AF49,AI49,AH49)</f>
        <v>25.404941924822197</v>
      </c>
      <c r="AK49" s="336">
        <f>AVERAGE(AF49,AJ49,AH49,AI49)</f>
        <v>25.400980033879932</v>
      </c>
      <c r="AL49" s="207">
        <f>+SUM(AH49:AK49)</f>
        <v>101.58801514057359</v>
      </c>
    </row>
    <row r="50" spans="1:38" s="110" customFormat="1" outlineLevel="1" x14ac:dyDescent="0.2">
      <c r="A50" s="186"/>
      <c r="B50" s="111" t="s">
        <v>125</v>
      </c>
      <c r="C50" s="112"/>
      <c r="D50" s="114">
        <v>9527</v>
      </c>
      <c r="E50" s="114">
        <v>9499</v>
      </c>
      <c r="F50" s="114">
        <v>9594</v>
      </c>
      <c r="G50" s="114">
        <v>9690</v>
      </c>
      <c r="H50" s="115"/>
      <c r="I50" s="114">
        <f>D48</f>
        <v>9777</v>
      </c>
      <c r="J50" s="114">
        <f>E48</f>
        <v>9776</v>
      </c>
      <c r="K50" s="114">
        <f>F48</f>
        <v>9857</v>
      </c>
      <c r="L50" s="114">
        <f>G48</f>
        <v>9974</v>
      </c>
      <c r="M50" s="246"/>
      <c r="N50" s="114">
        <f t="shared" ref="N50:Q50" si="197">I48</f>
        <v>10020</v>
      </c>
      <c r="O50" s="114">
        <f t="shared" si="197"/>
        <v>10051</v>
      </c>
      <c r="P50" s="114">
        <f t="shared" si="197"/>
        <v>10017</v>
      </c>
      <c r="Q50" s="114">
        <f t="shared" si="197"/>
        <v>10079</v>
      </c>
      <c r="R50" s="246"/>
      <c r="S50" s="114">
        <f t="shared" ref="S50" si="198">N48</f>
        <v>10105.25</v>
      </c>
      <c r="T50" s="114">
        <f t="shared" ref="T50" si="199">O48</f>
        <v>10126.5625</v>
      </c>
      <c r="U50" s="114">
        <f t="shared" ref="U50" si="200">P48</f>
        <v>10145.453125</v>
      </c>
      <c r="V50" s="114">
        <f t="shared" ref="V50" si="201">Q48</f>
        <v>10177.56640625</v>
      </c>
      <c r="W50" s="246"/>
      <c r="X50" s="114">
        <f t="shared" ref="X50" si="202">S48</f>
        <v>10202.2080078125</v>
      </c>
      <c r="Y50" s="114">
        <f t="shared" ref="Y50" si="203">T48</f>
        <v>10226.447509765625</v>
      </c>
      <c r="Z50" s="114">
        <f t="shared" ref="Z50" si="204">U48</f>
        <v>10251.418762207031</v>
      </c>
      <c r="AA50" s="114">
        <f t="shared" ref="AA50" si="205">V48</f>
        <v>10277.910171508789</v>
      </c>
      <c r="AB50" s="246"/>
      <c r="AC50" s="114">
        <f t="shared" ref="AC50" si="206">X48</f>
        <v>10302.996112823486</v>
      </c>
      <c r="AD50" s="114">
        <f t="shared" ref="AD50" si="207">Y48</f>
        <v>10328.193139076233</v>
      </c>
      <c r="AE50" s="114">
        <f t="shared" ref="AE50" si="208">Z48</f>
        <v>10353.629546403885</v>
      </c>
      <c r="AF50" s="114">
        <f t="shared" ref="AF50" si="209">AA48</f>
        <v>10379.182242453098</v>
      </c>
      <c r="AG50" s="246"/>
      <c r="AH50" s="114">
        <f t="shared" ref="AH50" si="210">AC48</f>
        <v>10404.500260189176</v>
      </c>
      <c r="AI50" s="114">
        <f t="shared" ref="AI50" si="211">AD48</f>
        <v>10429.876297030598</v>
      </c>
      <c r="AJ50" s="114">
        <f t="shared" ref="AJ50" si="212">AE48</f>
        <v>10455.297086519189</v>
      </c>
      <c r="AK50" s="114">
        <f t="shared" ref="AK50" si="213">AF48</f>
        <v>10480.713971548015</v>
      </c>
      <c r="AL50" s="246"/>
    </row>
    <row r="51" spans="1:38" s="110" customFormat="1" outlineLevel="1" x14ac:dyDescent="0.2">
      <c r="A51" s="186"/>
      <c r="B51" s="111" t="s">
        <v>126</v>
      </c>
      <c r="C51" s="112"/>
      <c r="D51" s="116">
        <v>0.42069471068107506</v>
      </c>
      <c r="E51" s="116">
        <v>0.39562181698744753</v>
      </c>
      <c r="F51" s="116">
        <v>0.4226432</v>
      </c>
      <c r="G51" s="116">
        <v>0.41931398367073175</v>
      </c>
      <c r="H51" s="282"/>
      <c r="I51" s="116">
        <f>+D51*(1+I54)</f>
        <v>0.44593639332193957</v>
      </c>
      <c r="J51" s="116">
        <f>+E51*(1+J54)</f>
        <v>0.38375316247782409</v>
      </c>
      <c r="K51" s="116">
        <f t="shared" ref="K51:L51" si="214">+F51*(1+K54)</f>
        <v>0.24935948800000002</v>
      </c>
      <c r="L51" s="116">
        <f t="shared" si="214"/>
        <v>0.36648042172821954</v>
      </c>
      <c r="M51" s="283"/>
      <c r="N51" s="116">
        <f t="shared" ref="N51" si="215">+I51*(1+N54)</f>
        <v>0.40713992710293084</v>
      </c>
      <c r="O51" s="116">
        <f t="shared" ref="O51" si="216">+J51*(1+O54)</f>
        <v>0.3568904411043764</v>
      </c>
      <c r="P51" s="116">
        <f t="shared" ref="P51" si="217">+K51*(1+P54)</f>
        <v>0.42141753472000004</v>
      </c>
      <c r="Q51" s="116">
        <f t="shared" ref="Q51" si="218">+L51*(1+Q54)</f>
        <v>0.43977650607386343</v>
      </c>
      <c r="R51" s="246"/>
      <c r="S51" s="116">
        <f t="shared" ref="S51" si="219">+N51*(1+S54)</f>
        <v>0.41935412491601876</v>
      </c>
      <c r="T51" s="116">
        <f t="shared" ref="T51" si="220">+O51*(1+T54)</f>
        <v>0.36759715433750773</v>
      </c>
      <c r="U51" s="116">
        <f t="shared" ref="U51" si="221">+P51*(1+U54)</f>
        <v>0.43406006076160003</v>
      </c>
      <c r="V51" s="116">
        <f t="shared" ref="V51" si="222">+Q51*(1+V54)</f>
        <v>0.45296980125607933</v>
      </c>
      <c r="W51" s="246"/>
      <c r="X51" s="116">
        <f t="shared" ref="X51" si="223">+S51*(1+X54)</f>
        <v>0.43193474866349935</v>
      </c>
      <c r="Y51" s="116">
        <f t="shared" ref="Y51" si="224">+T51*(1+Y54)</f>
        <v>0.37862506896763298</v>
      </c>
      <c r="Z51" s="116">
        <f t="shared" ref="Z51" si="225">+U51*(1+Z54)</f>
        <v>0.44708186258444804</v>
      </c>
      <c r="AA51" s="116">
        <f t="shared" ref="AA51" si="226">+V51*(1+AA54)</f>
        <v>0.46655889529376171</v>
      </c>
      <c r="AB51" s="246"/>
      <c r="AC51" s="116">
        <f t="shared" ref="AC51" si="227">+X51*(1+AC54)</f>
        <v>0.44489279112340435</v>
      </c>
      <c r="AD51" s="116">
        <f t="shared" ref="AD51" si="228">+Y51*(1+AD54)</f>
        <v>0.38998382103666196</v>
      </c>
      <c r="AE51" s="116">
        <f t="shared" ref="AE51" si="229">+Z51*(1+AE54)</f>
        <v>0.46049431846198152</v>
      </c>
      <c r="AF51" s="116">
        <f t="shared" ref="AF51" si="230">+AA51*(1+AF54)</f>
        <v>0.48055566215257456</v>
      </c>
      <c r="AG51" s="246"/>
      <c r="AH51" s="116">
        <f t="shared" ref="AH51" si="231">+AC51*(1+AH54)</f>
        <v>0.46268850276834056</v>
      </c>
      <c r="AI51" s="116">
        <f t="shared" ref="AI51" si="232">+AD51*(1+AI54)</f>
        <v>0.40558317387812848</v>
      </c>
      <c r="AJ51" s="116">
        <f t="shared" ref="AJ51" si="233">+AE51*(1+AJ54)</f>
        <v>0.4789140912004608</v>
      </c>
      <c r="AK51" s="116">
        <f t="shared" ref="AK51" si="234">+AF51*(1+AK54)</f>
        <v>0.49977788863867756</v>
      </c>
      <c r="AL51" s="246"/>
    </row>
    <row r="52" spans="1:38" outlineLevel="1" x14ac:dyDescent="0.2">
      <c r="A52" s="167"/>
      <c r="B52" s="36" t="s">
        <v>122</v>
      </c>
      <c r="C52" s="98"/>
      <c r="D52" s="201">
        <v>0.04</v>
      </c>
      <c r="E52" s="201">
        <v>0</v>
      </c>
      <c r="F52" s="201">
        <v>0.03</v>
      </c>
      <c r="G52" s="201">
        <v>0.03</v>
      </c>
      <c r="H52" s="236"/>
      <c r="I52" s="201">
        <v>0.02</v>
      </c>
      <c r="J52" s="201">
        <v>-7.0000000000000007E-2</v>
      </c>
      <c r="K52" s="201">
        <v>-0.53</v>
      </c>
      <c r="L52" s="201"/>
      <c r="M52" s="236"/>
      <c r="N52" s="201"/>
      <c r="O52" s="201"/>
      <c r="P52" s="201"/>
      <c r="Q52" s="201"/>
      <c r="R52" s="236"/>
      <c r="S52" s="201"/>
      <c r="T52" s="201"/>
      <c r="U52" s="201"/>
      <c r="V52" s="201"/>
      <c r="W52" s="236"/>
      <c r="X52" s="201"/>
      <c r="Y52" s="201"/>
      <c r="Z52" s="201"/>
      <c r="AA52" s="201"/>
      <c r="AB52" s="236"/>
      <c r="AC52" s="201"/>
      <c r="AD52" s="201"/>
      <c r="AE52" s="201"/>
      <c r="AF52" s="201"/>
      <c r="AG52" s="236"/>
      <c r="AH52" s="201"/>
      <c r="AI52" s="201"/>
      <c r="AJ52" s="201"/>
      <c r="AK52" s="201"/>
      <c r="AL52" s="236"/>
    </row>
    <row r="53" spans="1:38" outlineLevel="1" x14ac:dyDescent="0.2">
      <c r="A53" s="167"/>
      <c r="B53" s="36" t="s">
        <v>121</v>
      </c>
      <c r="C53" s="98"/>
      <c r="D53" s="297">
        <v>0</v>
      </c>
      <c r="E53" s="297">
        <v>0.04</v>
      </c>
      <c r="F53" s="297">
        <v>0.04</v>
      </c>
      <c r="G53" s="297">
        <v>0.03</v>
      </c>
      <c r="H53" s="284"/>
      <c r="I53" s="297">
        <v>0.03</v>
      </c>
      <c r="J53" s="297">
        <v>0.05</v>
      </c>
      <c r="K53" s="297">
        <v>0.27</v>
      </c>
      <c r="L53" s="297"/>
      <c r="M53" s="284"/>
      <c r="N53" s="297"/>
      <c r="O53" s="297"/>
      <c r="P53" s="297"/>
      <c r="Q53" s="297"/>
      <c r="R53" s="284"/>
      <c r="S53" s="297"/>
      <c r="T53" s="297"/>
      <c r="U53" s="297"/>
      <c r="V53" s="297"/>
      <c r="W53" s="284"/>
      <c r="X53" s="297"/>
      <c r="Y53" s="297"/>
      <c r="Z53" s="297"/>
      <c r="AA53" s="297"/>
      <c r="AB53" s="284"/>
      <c r="AC53" s="297"/>
      <c r="AD53" s="297"/>
      <c r="AE53" s="297"/>
      <c r="AF53" s="297"/>
      <c r="AG53" s="284"/>
      <c r="AH53" s="297"/>
      <c r="AI53" s="297"/>
      <c r="AJ53" s="297"/>
      <c r="AK53" s="297"/>
      <c r="AL53" s="284"/>
    </row>
    <row r="54" spans="1:38" s="13" customFormat="1" outlineLevel="1" x14ac:dyDescent="0.2">
      <c r="A54" s="182"/>
      <c r="B54" s="71" t="s">
        <v>123</v>
      </c>
      <c r="C54" s="63"/>
      <c r="D54" s="298">
        <v>0.04</v>
      </c>
      <c r="E54" s="298">
        <v>4.2999999999999997E-2</v>
      </c>
      <c r="F54" s="299">
        <v>7.0000000000000007E-2</v>
      </c>
      <c r="G54" s="298">
        <v>0.06</v>
      </c>
      <c r="H54" s="254"/>
      <c r="I54" s="298">
        <v>0.06</v>
      </c>
      <c r="J54" s="298">
        <v>-0.03</v>
      </c>
      <c r="K54" s="298">
        <v>-0.41</v>
      </c>
      <c r="L54" s="337">
        <v>-0.126</v>
      </c>
      <c r="M54" s="285"/>
      <c r="N54" s="337">
        <v>-8.6999999999999994E-2</v>
      </c>
      <c r="O54" s="338">
        <v>-7.0000000000000007E-2</v>
      </c>
      <c r="P54" s="338">
        <v>0.69</v>
      </c>
      <c r="Q54" s="338">
        <v>0.2</v>
      </c>
      <c r="R54" s="254"/>
      <c r="S54" s="337">
        <v>0.03</v>
      </c>
      <c r="T54" s="337">
        <v>0.03</v>
      </c>
      <c r="U54" s="337">
        <v>0.03</v>
      </c>
      <c r="V54" s="337">
        <v>0.03</v>
      </c>
      <c r="W54" s="254"/>
      <c r="X54" s="337">
        <v>0.03</v>
      </c>
      <c r="Y54" s="337">
        <v>0.03</v>
      </c>
      <c r="Z54" s="337">
        <v>0.03</v>
      </c>
      <c r="AA54" s="337">
        <v>0.03</v>
      </c>
      <c r="AB54" s="254"/>
      <c r="AC54" s="337">
        <v>0.03</v>
      </c>
      <c r="AD54" s="337">
        <v>0.03</v>
      </c>
      <c r="AE54" s="337">
        <v>0.03</v>
      </c>
      <c r="AF54" s="337">
        <v>0.03</v>
      </c>
      <c r="AG54" s="254"/>
      <c r="AH54" s="337">
        <v>0.04</v>
      </c>
      <c r="AI54" s="337">
        <v>0.04</v>
      </c>
      <c r="AJ54" s="337">
        <v>0.04</v>
      </c>
      <c r="AK54" s="337">
        <v>0.04</v>
      </c>
      <c r="AL54" s="254"/>
    </row>
    <row r="55" spans="1:38" ht="18" outlineLevel="1" x14ac:dyDescent="0.35">
      <c r="A55" s="167"/>
      <c r="B55" s="99" t="s">
        <v>154</v>
      </c>
      <c r="C55" s="98"/>
      <c r="D55" s="51">
        <v>84</v>
      </c>
      <c r="E55" s="51">
        <v>92</v>
      </c>
      <c r="F55" s="51">
        <v>127</v>
      </c>
      <c r="G55" s="51">
        <f>AVERAGE(D55:F55)</f>
        <v>101</v>
      </c>
      <c r="H55" s="11"/>
      <c r="I55" s="51">
        <v>111</v>
      </c>
      <c r="J55" s="51">
        <v>112</v>
      </c>
      <c r="K55" s="51">
        <v>111</v>
      </c>
      <c r="L55" s="51">
        <f>AVERAGE(G55,I55,J55,K55)</f>
        <v>108.75</v>
      </c>
      <c r="M55" s="250"/>
      <c r="N55" s="336">
        <f t="shared" ref="N55:Q55" si="235">AVERAGE(I55,J55,K55,L55)</f>
        <v>110.6875</v>
      </c>
      <c r="O55" s="336">
        <f t="shared" si="235"/>
        <v>110.58333333333333</v>
      </c>
      <c r="P55" s="336">
        <f t="shared" si="235"/>
        <v>110.14583333333333</v>
      </c>
      <c r="Q55" s="336">
        <f t="shared" si="235"/>
        <v>110.00694444444444</v>
      </c>
      <c r="R55" s="250"/>
      <c r="S55" s="336">
        <f t="shared" ref="S55" si="236">AVERAGE(N55,O55,P55,Q55)</f>
        <v>110.35590277777777</v>
      </c>
      <c r="T55" s="336">
        <f t="shared" ref="T55" si="237">AVERAGE(O55,P55,Q55,R55)</f>
        <v>110.24537037037037</v>
      </c>
      <c r="U55" s="336">
        <f t="shared" ref="U55" si="238">AVERAGE(P55,Q55,R55,S55)</f>
        <v>110.16956018518518</v>
      </c>
      <c r="V55" s="336">
        <f t="shared" ref="V55" si="239">AVERAGE(Q55,R55,S55,T55)</f>
        <v>110.20273919753087</v>
      </c>
      <c r="W55" s="250"/>
      <c r="X55" s="336">
        <f t="shared" ref="X55" si="240">AVERAGE(S55,T55,U55,V55)</f>
        <v>110.24339313271605</v>
      </c>
      <c r="Y55" s="336">
        <f t="shared" ref="Y55" si="241">AVERAGE(T55,U55,V55,W55)</f>
        <v>110.20588991769547</v>
      </c>
      <c r="Z55" s="336">
        <f t="shared" ref="Z55" si="242">AVERAGE(U55,V55,W55,X55)</f>
        <v>110.20523083847736</v>
      </c>
      <c r="AA55" s="336">
        <f t="shared" ref="AA55" si="243">AVERAGE(V55,W55,X55,Y55)</f>
        <v>110.21734074931413</v>
      </c>
      <c r="AB55" s="250"/>
      <c r="AC55" s="336">
        <f t="shared" ref="AC55" si="244">AVERAGE(X55,Y55,Z55,AA55)</f>
        <v>110.21796365955075</v>
      </c>
      <c r="AD55" s="336">
        <f t="shared" ref="AD55" si="245">AVERAGE(Y55,Z55,AA55,AB55)</f>
        <v>110.20948716849564</v>
      </c>
      <c r="AE55" s="336">
        <f t="shared" ref="AE55" si="246">AVERAGE(Z55,AA55,AB55,AC55)</f>
        <v>110.21351174911406</v>
      </c>
      <c r="AF55" s="336">
        <f t="shared" ref="AF55" si="247">AVERAGE(AA55,AB55,AC55,AD55)</f>
        <v>110.21493052578684</v>
      </c>
      <c r="AG55" s="250"/>
      <c r="AH55" s="336">
        <f t="shared" ref="AH55" si="248">AVERAGE(AC55,AD55,AE55,AF55)</f>
        <v>110.21397327573682</v>
      </c>
      <c r="AI55" s="336">
        <f t="shared" ref="AI55" si="249">AVERAGE(AD55,AE55,AF55,AG55)</f>
        <v>110.21264314779886</v>
      </c>
      <c r="AJ55" s="336">
        <f t="shared" ref="AJ55" si="250">AVERAGE(AE55,AF55,AG55,AH55)</f>
        <v>110.21413851687925</v>
      </c>
      <c r="AK55" s="336">
        <f t="shared" ref="AK55" si="251">AVERAGE(AF55,AG55,AH55,AI55)</f>
        <v>110.2138489831075</v>
      </c>
      <c r="AL55" s="250"/>
    </row>
    <row r="56" spans="1:38" s="13" customFormat="1" outlineLevel="1" x14ac:dyDescent="0.2">
      <c r="A56" s="182"/>
      <c r="B56" s="428" t="s">
        <v>134</v>
      </c>
      <c r="C56" s="429"/>
      <c r="D56" s="104">
        <v>4092.2</v>
      </c>
      <c r="E56" s="104">
        <v>3849.6</v>
      </c>
      <c r="F56" s="104">
        <v>4182.2</v>
      </c>
      <c r="G56" s="104">
        <v>4164.2</v>
      </c>
      <c r="H56" s="152">
        <f>SUM(D56:G56)</f>
        <v>16288.2</v>
      </c>
      <c r="I56" s="104">
        <v>4471</v>
      </c>
      <c r="J56" s="104">
        <v>3863.6</v>
      </c>
      <c r="K56" s="172">
        <v>2568.9</v>
      </c>
      <c r="L56" s="172">
        <f>(L50*L51)+L55</f>
        <v>3764.0257263172616</v>
      </c>
      <c r="M56" s="152">
        <f>SUM(I56:L56)</f>
        <v>14667.525726317261</v>
      </c>
      <c r="N56" s="172">
        <f t="shared" ref="N56:Q56" si="252">(N50*N51)+N55</f>
        <v>4190.2295695713674</v>
      </c>
      <c r="O56" s="172">
        <f t="shared" si="252"/>
        <v>3697.6891568734209</v>
      </c>
      <c r="P56" s="172">
        <f t="shared" si="252"/>
        <v>4331.4852786235733</v>
      </c>
      <c r="Q56" s="172">
        <f t="shared" si="252"/>
        <v>4542.5143491629142</v>
      </c>
      <c r="R56" s="152">
        <f>SUM(N56:Q56)</f>
        <v>16761.918354231275</v>
      </c>
      <c r="S56" s="172">
        <f t="shared" ref="S56" si="253">(S50*S51)+S55</f>
        <v>4348.0341735853763</v>
      </c>
      <c r="T56" s="172">
        <f t="shared" ref="T56" si="254">(T50*T51)+T55</f>
        <v>3832.7409285912886</v>
      </c>
      <c r="U56" s="172">
        <f t="shared" ref="U56" si="255">(U50*U51)+U55</f>
        <v>4513.9055600766505</v>
      </c>
      <c r="V56" s="172">
        <f t="shared" ref="V56" si="256">(V50*V51)+V55</f>
        <v>4720.3329715071432</v>
      </c>
      <c r="W56" s="152">
        <f>SUM(S56:V56)</f>
        <v>17415.013633760456</v>
      </c>
      <c r="X56" s="172">
        <f t="shared" ref="X56" si="257">(X50*X51)+X55</f>
        <v>4516.9315447999488</v>
      </c>
      <c r="Y56" s="172">
        <f t="shared" ref="Y56" si="258">(Y50*Y51)+Y55</f>
        <v>3982.195283596584</v>
      </c>
      <c r="Z56" s="172">
        <f t="shared" ref="Z56" si="259">(Z50*Z51)+Z55</f>
        <v>4693.4286251791536</v>
      </c>
      <c r="AA56" s="172">
        <f t="shared" ref="AA56" si="260">(AA50*AA51)+AA55</f>
        <v>4905.4677562969709</v>
      </c>
      <c r="AB56" s="152">
        <f>SUM(X56:AA56)</f>
        <v>18098.023209872656</v>
      </c>
      <c r="AC56" s="172">
        <f t="shared" ref="AC56" si="261">(AC50*AC51)+AC55</f>
        <v>4693.9466612271772</v>
      </c>
      <c r="AD56" s="172">
        <f t="shared" ref="AD56" si="262">(AD50*AD51)+AD55</f>
        <v>4138.0377119500808</v>
      </c>
      <c r="AE56" s="172">
        <f t="shared" ref="AE56" si="263">(AE50*AE51)+AE55</f>
        <v>4878.0010933282065</v>
      </c>
      <c r="AF56" s="172">
        <f t="shared" ref="AF56" si="264">(AF50*AF51)+AF55</f>
        <v>5097.9897256500799</v>
      </c>
      <c r="AG56" s="152">
        <f>SUM(AC56:AF56)</f>
        <v>18807.975192155543</v>
      </c>
      <c r="AH56" s="172">
        <f t="shared" ref="AH56" si="265">(AH50*AH51)+AH55</f>
        <v>4924.2566207154759</v>
      </c>
      <c r="AI56" s="172">
        <f t="shared" ref="AI56" si="266">(AI50*AI51)+AI55</f>
        <v>4340.3949748537307</v>
      </c>
      <c r="AJ56" s="172">
        <f t="shared" ref="AJ56" si="267">(AJ50*AJ51)+AJ55</f>
        <v>5117.4032409380416</v>
      </c>
      <c r="AK56" s="172">
        <f t="shared" ref="AK56" si="268">(AK50*AK51)+AK55</f>
        <v>5348.2429491092635</v>
      </c>
      <c r="AL56" s="152">
        <f>SUM(AH56:AK56)</f>
        <v>19730.297785616513</v>
      </c>
    </row>
    <row r="57" spans="1:38" s="13" customFormat="1" outlineLevel="1" x14ac:dyDescent="0.2">
      <c r="A57" s="182"/>
      <c r="B57" s="117" t="s">
        <v>129</v>
      </c>
      <c r="C57" s="63"/>
      <c r="D57" s="121">
        <f>+D56/D48</f>
        <v>0.41855374859363809</v>
      </c>
      <c r="E57" s="121">
        <f t="shared" ref="E57" si="269">+E56/E48</f>
        <v>0.39378068739770866</v>
      </c>
      <c r="F57" s="121">
        <f t="shared" ref="F57" si="270">+F56/F48</f>
        <v>0.42428730851171753</v>
      </c>
      <c r="G57" s="121">
        <f t="shared" ref="G57" si="271">+G56/G48</f>
        <v>0.4175055143372769</v>
      </c>
      <c r="H57" s="109"/>
      <c r="I57" s="121">
        <f t="shared" ref="I57:J57" si="272">+I56/I48</f>
        <v>0.44620758483033934</v>
      </c>
      <c r="J57" s="121">
        <f t="shared" si="272"/>
        <v>0.38439956223261368</v>
      </c>
      <c r="K57" s="121">
        <f t="shared" ref="K57:Q57" si="273">+K56/K48</f>
        <v>0.25645402815214136</v>
      </c>
      <c r="L57" s="121">
        <f t="shared" si="273"/>
        <v>0.37345229946594521</v>
      </c>
      <c r="M57" s="314"/>
      <c r="N57" s="121">
        <f t="shared" si="273"/>
        <v>0.41465867440898219</v>
      </c>
      <c r="O57" s="121">
        <f t="shared" si="273"/>
        <v>0.36514751741999529</v>
      </c>
      <c r="P57" s="121">
        <f t="shared" si="273"/>
        <v>0.42693857290120529</v>
      </c>
      <c r="Q57" s="121">
        <f t="shared" si="273"/>
        <v>0.44632618131318463</v>
      </c>
      <c r="R57" s="314"/>
      <c r="S57" s="121">
        <f t="shared" ref="S57:V57" si="274">+S56/S48</f>
        <v>0.42618560318078219</v>
      </c>
      <c r="T57" s="121">
        <f t="shared" si="274"/>
        <v>0.37478713159494126</v>
      </c>
      <c r="U57" s="121">
        <f t="shared" si="274"/>
        <v>0.44032008298379671</v>
      </c>
      <c r="V57" s="121">
        <f t="shared" si="274"/>
        <v>0.45926972436403402</v>
      </c>
      <c r="W57" s="314"/>
      <c r="X57" s="121">
        <f t="shared" ref="X57:AA57" si="275">+X56/X48</f>
        <v>0.43840951654616372</v>
      </c>
      <c r="Y57" s="121">
        <f t="shared" si="275"/>
        <v>0.38556553212876465</v>
      </c>
      <c r="Z57" s="121">
        <f t="shared" si="275"/>
        <v>0.45331239679222607</v>
      </c>
      <c r="AA57" s="121">
        <f t="shared" si="275"/>
        <v>0.47262565023981828</v>
      </c>
      <c r="AB57" s="314"/>
      <c r="AC57" s="121">
        <f t="shared" ref="AC57:AF57" si="276">+AC56/AC48</f>
        <v>0.45114580651102137</v>
      </c>
      <c r="AD57" s="121">
        <f t="shared" si="276"/>
        <v>0.39674849385588462</v>
      </c>
      <c r="AE57" s="121">
        <f t="shared" si="276"/>
        <v>0.46655786564092805</v>
      </c>
      <c r="AF57" s="121">
        <f t="shared" si="276"/>
        <v>0.48641626319443387</v>
      </c>
      <c r="AG57" s="314"/>
      <c r="AH57" s="121">
        <f t="shared" ref="AH57:AK57" si="277">+AH56/AH48</f>
        <v>0.4687046641388018</v>
      </c>
      <c r="AI57" s="121">
        <f t="shared" si="277"/>
        <v>0.41213470034801308</v>
      </c>
      <c r="AJ57" s="121">
        <f t="shared" si="277"/>
        <v>0.48474483541260888</v>
      </c>
      <c r="AK57" s="121">
        <f t="shared" si="277"/>
        <v>0.50539504125253509</v>
      </c>
      <c r="AL57" s="314"/>
    </row>
    <row r="58" spans="1:38" s="110" customFormat="1" outlineLevel="1" x14ac:dyDescent="0.2">
      <c r="A58" s="186"/>
      <c r="B58" s="117" t="s">
        <v>127</v>
      </c>
      <c r="C58" s="118"/>
      <c r="D58" s="113">
        <f>ROUND((+D56-D55-(D50*D51)),0)</f>
        <v>0</v>
      </c>
      <c r="E58" s="119">
        <f>ROUND((+E56-E55-(E50*E51)),0)</f>
        <v>0</v>
      </c>
      <c r="F58" s="189">
        <f>ROUND((+F56-F55-(F50*F51)),0)</f>
        <v>0</v>
      </c>
      <c r="G58" s="119">
        <f>ROUND((+G56-G55-(G50*G51)),0)</f>
        <v>0</v>
      </c>
      <c r="H58" s="120"/>
      <c r="I58" s="119">
        <f>ROUND((+I56-I55-(I50*I51)),0)</f>
        <v>0</v>
      </c>
      <c r="J58" s="119">
        <f>ROUND((+J56-J55-(J50*J51)),0)</f>
        <v>0</v>
      </c>
      <c r="K58" s="119">
        <f>ROUND((+K56-K55-(K50*K51)),0)</f>
        <v>0</v>
      </c>
      <c r="L58" s="189"/>
      <c r="M58" s="315"/>
      <c r="N58" s="189"/>
      <c r="O58" s="189"/>
      <c r="P58" s="189"/>
      <c r="Q58" s="189"/>
      <c r="R58" s="315"/>
      <c r="S58" s="189"/>
      <c r="T58" s="189"/>
      <c r="U58" s="189"/>
      <c r="V58" s="189"/>
      <c r="W58" s="315"/>
      <c r="X58" s="189"/>
      <c r="Y58" s="189"/>
      <c r="Z58" s="189"/>
      <c r="AA58" s="189"/>
      <c r="AB58" s="315"/>
      <c r="AC58" s="189"/>
      <c r="AD58" s="189"/>
      <c r="AE58" s="189"/>
      <c r="AF58" s="189"/>
      <c r="AG58" s="315"/>
      <c r="AH58" s="189"/>
      <c r="AI58" s="189"/>
      <c r="AJ58" s="189"/>
      <c r="AK58" s="189"/>
      <c r="AL58" s="315"/>
    </row>
    <row r="59" spans="1:38" s="13" customFormat="1" outlineLevel="1" x14ac:dyDescent="0.2">
      <c r="A59" s="182"/>
      <c r="B59" s="419" t="s">
        <v>120</v>
      </c>
      <c r="C59" s="420"/>
      <c r="D59" s="122">
        <v>7876</v>
      </c>
      <c r="E59" s="122">
        <v>7943</v>
      </c>
      <c r="F59" s="200">
        <v>7996</v>
      </c>
      <c r="G59" s="122">
        <v>8093</v>
      </c>
      <c r="H59" s="123"/>
      <c r="I59" s="122">
        <v>8183</v>
      </c>
      <c r="J59" s="122">
        <v>8220</v>
      </c>
      <c r="K59" s="122">
        <v>8218</v>
      </c>
      <c r="L59" s="200">
        <f>+K59+L60</f>
        <v>8288</v>
      </c>
      <c r="M59" s="316"/>
      <c r="N59" s="200">
        <f>+L59+N60</f>
        <v>8336.75</v>
      </c>
      <c r="O59" s="200">
        <f t="shared" ref="O59:Q59" si="278">+N59+O60</f>
        <v>8375.1875</v>
      </c>
      <c r="P59" s="200">
        <f t="shared" si="278"/>
        <v>8413.984375</v>
      </c>
      <c r="Q59" s="200">
        <f t="shared" si="278"/>
        <v>8462.98046875</v>
      </c>
      <c r="R59" s="316"/>
      <c r="S59" s="200">
        <f>+Q59+S60</f>
        <v>8552.98046875</v>
      </c>
      <c r="T59" s="200">
        <f t="shared" ref="T59" si="279">+S59+T60</f>
        <v>8607.0380859375</v>
      </c>
      <c r="U59" s="200">
        <f t="shared" ref="U59" si="280">+T59+U60</f>
        <v>8665.000732421875</v>
      </c>
      <c r="V59" s="200">
        <f t="shared" ref="V59" si="281">+U59+V60</f>
        <v>8727.7548217773438</v>
      </c>
      <c r="W59" s="316"/>
      <c r="X59" s="200">
        <f>+V59+X60</f>
        <v>8822.7548217773438</v>
      </c>
      <c r="Y59" s="200">
        <f t="shared" ref="Y59" si="282">+X59+Y60</f>
        <v>8879.7548217773438</v>
      </c>
      <c r="Z59" s="200">
        <f t="shared" ref="Z59" si="283">+Y59+Z60</f>
        <v>8946.7548217773438</v>
      </c>
      <c r="AA59" s="200">
        <f t="shared" ref="AA59" si="284">+Z59+AA60</f>
        <v>9046.7548217773438</v>
      </c>
      <c r="AB59" s="316"/>
      <c r="AC59" s="200">
        <f>+AA59+AC60</f>
        <v>9126.5048217773438</v>
      </c>
      <c r="AD59" s="200">
        <f t="shared" ref="AD59" si="285">+AC59+AD60</f>
        <v>9202.4423217773438</v>
      </c>
      <c r="AE59" s="200">
        <f t="shared" ref="AE59" si="286">+AD59+AE60</f>
        <v>9283.1141967773438</v>
      </c>
      <c r="AF59" s="200">
        <f t="shared" ref="AF59" si="287">+AE59+AF60</f>
        <v>9367.2040405273438</v>
      </c>
      <c r="AG59" s="316"/>
      <c r="AH59" s="200">
        <f>+AF59+AH60</f>
        <v>9447.3163452148438</v>
      </c>
      <c r="AI59" s="200">
        <f t="shared" ref="AI59" si="288">+AH59+AI60</f>
        <v>9527.5192260742188</v>
      </c>
      <c r="AJ59" s="200">
        <f t="shared" ref="AJ59" si="289">+AI59+AJ60</f>
        <v>9608.7884521484375</v>
      </c>
      <c r="AK59" s="200">
        <f t="shared" ref="AK59" si="290">+AJ59+AK60</f>
        <v>9690.2070159912109</v>
      </c>
      <c r="AL59" s="316"/>
    </row>
    <row r="60" spans="1:38" outlineLevel="1" x14ac:dyDescent="0.2">
      <c r="A60" s="167"/>
      <c r="B60" s="36" t="s">
        <v>128</v>
      </c>
      <c r="C60" s="61"/>
      <c r="D60" s="25">
        <f>+D59-7770</f>
        <v>106</v>
      </c>
      <c r="E60" s="169">
        <f>E59-D59</f>
        <v>67</v>
      </c>
      <c r="F60" s="169">
        <f t="shared" ref="F60:G60" si="291">F59-E59</f>
        <v>53</v>
      </c>
      <c r="G60" s="169">
        <f t="shared" si="291"/>
        <v>97</v>
      </c>
      <c r="H60" s="41">
        <f>+SUM(D60:G60)</f>
        <v>323</v>
      </c>
      <c r="I60" s="169">
        <f>I59-G59</f>
        <v>90</v>
      </c>
      <c r="J60" s="169">
        <f t="shared" ref="J60:K60" si="292">J59-I59</f>
        <v>37</v>
      </c>
      <c r="K60" s="169">
        <f t="shared" si="292"/>
        <v>-2</v>
      </c>
      <c r="L60" s="336">
        <v>70</v>
      </c>
      <c r="M60" s="207">
        <f>SUM(I60:L60)</f>
        <v>195</v>
      </c>
      <c r="N60" s="336">
        <f>AVERAGE(I60,J60,K60,L60)</f>
        <v>48.75</v>
      </c>
      <c r="O60" s="336">
        <f>AVERAGE(J60,K60,L60,N60)</f>
        <v>38.4375</v>
      </c>
      <c r="P60" s="336">
        <f>AVERAGE(K60,L60,O60,N60)</f>
        <v>38.796875</v>
      </c>
      <c r="Q60" s="336">
        <f>AVERAGE(L60,P60,N60,O60)</f>
        <v>48.99609375</v>
      </c>
      <c r="R60" s="207">
        <f>SUM(N60:Q60)</f>
        <v>174.98046875</v>
      </c>
      <c r="S60" s="336">
        <v>90</v>
      </c>
      <c r="T60" s="336">
        <f>AVERAGE(O60,P60,Q60,S60)</f>
        <v>54.0576171875</v>
      </c>
      <c r="U60" s="336">
        <f>AVERAGE(P60,Q60,T60,S60)</f>
        <v>57.962646484375</v>
      </c>
      <c r="V60" s="336">
        <f>AVERAGE(Q60,U60,S60,T60)</f>
        <v>62.75408935546875</v>
      </c>
      <c r="W60" s="207">
        <f>SUM(S60:V60)</f>
        <v>264.77435302734375</v>
      </c>
      <c r="X60" s="336">
        <v>95</v>
      </c>
      <c r="Y60" s="336">
        <v>57</v>
      </c>
      <c r="Z60" s="336">
        <v>67</v>
      </c>
      <c r="AA60" s="336">
        <v>100</v>
      </c>
      <c r="AB60" s="207">
        <f>SUM(X60:AA60)</f>
        <v>319</v>
      </c>
      <c r="AC60" s="336">
        <f>AVERAGE(X60,Y60,Z60,AA60)</f>
        <v>79.75</v>
      </c>
      <c r="AD60" s="336">
        <f>AVERAGE(Y60,Z60,AA60,AC60)</f>
        <v>75.9375</v>
      </c>
      <c r="AE60" s="336">
        <f>AVERAGE(Z60,AA60,AD60,AC60)</f>
        <v>80.671875</v>
      </c>
      <c r="AF60" s="336">
        <f>AVERAGE(AA60,AE60,AC60,AD60)</f>
        <v>84.08984375</v>
      </c>
      <c r="AG60" s="207">
        <f>SUM(AC60:AF60)</f>
        <v>320.44921875</v>
      </c>
      <c r="AH60" s="336">
        <f>AVERAGE(AC60,AD60,AE60,AF60)</f>
        <v>80.1123046875</v>
      </c>
      <c r="AI60" s="336">
        <f>AVERAGE(AD60,AE60,AF60,AH60)</f>
        <v>80.202880859375</v>
      </c>
      <c r="AJ60" s="336">
        <f>AVERAGE(AE60,AF60,AI60,AH60)</f>
        <v>81.26922607421875</v>
      </c>
      <c r="AK60" s="336">
        <f>AVERAGE(AF60,AJ60,AH60,AI60)</f>
        <v>81.418563842773438</v>
      </c>
      <c r="AL60" s="207">
        <f>SUM(AH60:AK60)</f>
        <v>323.00297546386719</v>
      </c>
    </row>
    <row r="61" spans="1:38" outlineLevel="1" x14ac:dyDescent="0.2">
      <c r="A61" s="167"/>
      <c r="B61" s="36" t="s">
        <v>131</v>
      </c>
      <c r="C61" s="61"/>
      <c r="D61" s="25">
        <f>AVERAGE(D59,7770)</f>
        <v>7823</v>
      </c>
      <c r="E61" s="25">
        <f>AVERAGE(E59,D59)</f>
        <v>7909.5</v>
      </c>
      <c r="F61" s="25">
        <f t="shared" ref="F61:G61" si="293">AVERAGE(F59,E59)</f>
        <v>7969.5</v>
      </c>
      <c r="G61" s="25">
        <f t="shared" si="293"/>
        <v>8044.5</v>
      </c>
      <c r="H61" s="41"/>
      <c r="I61" s="25">
        <f>AVERAGE(I59,G59)</f>
        <v>8138</v>
      </c>
      <c r="J61" s="25">
        <f>AVERAGE(J59,I59)</f>
        <v>8201.5</v>
      </c>
      <c r="K61" s="25">
        <f t="shared" ref="K61" si="294">AVERAGE(K59,J59)</f>
        <v>8219</v>
      </c>
      <c r="L61" s="169">
        <f>AVERAGE(K59,L59)</f>
        <v>8253</v>
      </c>
      <c r="M61" s="250"/>
      <c r="N61" s="169">
        <f>AVERAGE(N59,L59)</f>
        <v>8312.375</v>
      </c>
      <c r="O61" s="169">
        <f>AVERAGE(O59,N59)</f>
        <v>8355.96875</v>
      </c>
      <c r="P61" s="169">
        <f>AVERAGE(P59,O59)</f>
        <v>8394.5859375</v>
      </c>
      <c r="Q61" s="169">
        <f>AVERAGE(Q59,P59)</f>
        <v>8438.482421875</v>
      </c>
      <c r="R61" s="250"/>
      <c r="S61" s="169">
        <f>AVERAGE(S59,Q59)</f>
        <v>8507.98046875</v>
      </c>
      <c r="T61" s="169">
        <f>AVERAGE(T59,S59)</f>
        <v>8580.00927734375</v>
      </c>
      <c r="U61" s="169">
        <f>AVERAGE(U59,T59)</f>
        <v>8636.0194091796875</v>
      </c>
      <c r="V61" s="169">
        <f>AVERAGE(V59,U59)</f>
        <v>8696.3777770996094</v>
      </c>
      <c r="W61" s="250"/>
      <c r="X61" s="169">
        <f>AVERAGE(X59,V59)</f>
        <v>8775.2548217773438</v>
      </c>
      <c r="Y61" s="169">
        <f>AVERAGE(Y59,X59)</f>
        <v>8851.2548217773438</v>
      </c>
      <c r="Z61" s="169">
        <f>AVERAGE(Z59,Y59)</f>
        <v>8913.2548217773438</v>
      </c>
      <c r="AA61" s="169">
        <f>AVERAGE(AA59,Z59)</f>
        <v>8996.7548217773438</v>
      </c>
      <c r="AB61" s="250"/>
      <c r="AC61" s="169">
        <f>AVERAGE(AC59,AA59)</f>
        <v>9086.6298217773438</v>
      </c>
      <c r="AD61" s="169">
        <f>AVERAGE(AD59,AC59)</f>
        <v>9164.4735717773438</v>
      </c>
      <c r="AE61" s="169">
        <f>AVERAGE(AE59,AD59)</f>
        <v>9242.7782592773438</v>
      </c>
      <c r="AF61" s="169">
        <f>AVERAGE(AF59,AE59)</f>
        <v>9325.1591186523438</v>
      </c>
      <c r="AG61" s="250"/>
      <c r="AH61" s="169">
        <f>AVERAGE(AH59,AF59)</f>
        <v>9407.2601928710938</v>
      </c>
      <c r="AI61" s="169">
        <f>AVERAGE(AI59,AH59)</f>
        <v>9487.4177856445312</v>
      </c>
      <c r="AJ61" s="169">
        <f>AVERAGE(AJ59,AI59)</f>
        <v>9568.1538391113281</v>
      </c>
      <c r="AK61" s="169">
        <f>AVERAGE(AK59,AJ59)</f>
        <v>9649.4977340698242</v>
      </c>
      <c r="AL61" s="250"/>
    </row>
    <row r="62" spans="1:38" outlineLevel="1" x14ac:dyDescent="0.2">
      <c r="A62" s="167"/>
      <c r="B62" s="36" t="s">
        <v>130</v>
      </c>
      <c r="C62" s="61"/>
      <c r="D62" s="83">
        <f>+D63/D61</f>
        <v>6.5780391154288645E-2</v>
      </c>
      <c r="E62" s="83">
        <f>+E63/E61</f>
        <v>5.8549845122953414E-2</v>
      </c>
      <c r="F62" s="83">
        <f>+F63/F61</f>
        <v>6.2274923144488362E-2</v>
      </c>
      <c r="G62" s="193">
        <f t="shared" ref="G62:K62" si="295">+G63/G61</f>
        <v>6.016533034992852E-2</v>
      </c>
      <c r="H62" s="235"/>
      <c r="I62" s="193">
        <f t="shared" si="295"/>
        <v>6.6023593020398133E-2</v>
      </c>
      <c r="J62" s="193">
        <f t="shared" si="295"/>
        <v>5.6599402548314331E-2</v>
      </c>
      <c r="K62" s="193">
        <f t="shared" si="295"/>
        <v>2.8653120817617714E-2</v>
      </c>
      <c r="L62" s="340">
        <v>5.5E-2</v>
      </c>
      <c r="M62" s="250"/>
      <c r="N62" s="340">
        <v>6.5000000000000002E-2</v>
      </c>
      <c r="O62" s="340">
        <v>0.06</v>
      </c>
      <c r="P62" s="340">
        <v>6.5000000000000002E-2</v>
      </c>
      <c r="Q62" s="340">
        <v>0.06</v>
      </c>
      <c r="R62" s="250"/>
      <c r="S62" s="340">
        <f>N62*1.02</f>
        <v>6.6299999999999998E-2</v>
      </c>
      <c r="T62" s="340">
        <f t="shared" ref="T62:V62" si="296">O62*1.02</f>
        <v>6.1199999999999997E-2</v>
      </c>
      <c r="U62" s="340">
        <f t="shared" si="296"/>
        <v>6.6299999999999998E-2</v>
      </c>
      <c r="V62" s="340">
        <f t="shared" si="296"/>
        <v>6.1199999999999997E-2</v>
      </c>
      <c r="W62" s="250"/>
      <c r="X62" s="340">
        <f>S62*1.02</f>
        <v>6.7626000000000006E-2</v>
      </c>
      <c r="Y62" s="340">
        <f t="shared" ref="Y62" si="297">T62*1.02</f>
        <v>6.2424E-2</v>
      </c>
      <c r="Z62" s="340">
        <f t="shared" ref="Z62" si="298">U62*1.02</f>
        <v>6.7626000000000006E-2</v>
      </c>
      <c r="AA62" s="340">
        <f t="shared" ref="AA62" si="299">V62*1.02</f>
        <v>6.2424E-2</v>
      </c>
      <c r="AB62" s="250"/>
      <c r="AC62" s="340">
        <f>X62*1.02</f>
        <v>6.8978520000000001E-2</v>
      </c>
      <c r="AD62" s="340">
        <f t="shared" ref="AD62" si="300">Y62*1.02</f>
        <v>6.3672480000000004E-2</v>
      </c>
      <c r="AE62" s="340">
        <f t="shared" ref="AE62" si="301">Z62*1.02</f>
        <v>6.8978520000000001E-2</v>
      </c>
      <c r="AF62" s="340">
        <f t="shared" ref="AF62" si="302">AA62*1.02</f>
        <v>6.3672480000000004E-2</v>
      </c>
      <c r="AG62" s="250"/>
      <c r="AH62" s="340">
        <f>AC62*1.02</f>
        <v>7.0358090400000003E-2</v>
      </c>
      <c r="AI62" s="340">
        <f t="shared" ref="AI62" si="303">AD62*1.02</f>
        <v>6.4945929600000007E-2</v>
      </c>
      <c r="AJ62" s="340">
        <f t="shared" ref="AJ62" si="304">AE62*1.02</f>
        <v>7.0358090400000003E-2</v>
      </c>
      <c r="AK62" s="340">
        <f t="shared" ref="AK62" si="305">AF62*1.02</f>
        <v>6.4945929600000007E-2</v>
      </c>
      <c r="AL62" s="250"/>
    </row>
    <row r="63" spans="1:38" s="13" customFormat="1" outlineLevel="1" x14ac:dyDescent="0.2">
      <c r="A63" s="182"/>
      <c r="B63" s="480" t="s">
        <v>133</v>
      </c>
      <c r="C63" s="481"/>
      <c r="D63" s="194">
        <v>514.6</v>
      </c>
      <c r="E63" s="194">
        <v>463.1</v>
      </c>
      <c r="F63" s="194">
        <v>496.3</v>
      </c>
      <c r="G63" s="194">
        <v>484</v>
      </c>
      <c r="H63" s="300"/>
      <c r="I63" s="194">
        <v>537.29999999999995</v>
      </c>
      <c r="J63" s="194">
        <v>464.2</v>
      </c>
      <c r="K63" s="194">
        <v>235.5</v>
      </c>
      <c r="L63" s="194">
        <f>L62*L61</f>
        <v>453.91500000000002</v>
      </c>
      <c r="M63" s="300"/>
      <c r="N63" s="194">
        <f t="shared" ref="N63:Q63" si="306">N62*N61</f>
        <v>540.30437500000005</v>
      </c>
      <c r="O63" s="194">
        <f t="shared" si="306"/>
        <v>501.35812499999997</v>
      </c>
      <c r="P63" s="194">
        <f t="shared" si="306"/>
        <v>545.64808593750001</v>
      </c>
      <c r="Q63" s="194">
        <f t="shared" si="306"/>
        <v>506.30894531249999</v>
      </c>
      <c r="R63" s="300"/>
      <c r="S63" s="194">
        <f t="shared" ref="S63" si="307">S62*S61</f>
        <v>564.07910507812494</v>
      </c>
      <c r="T63" s="194">
        <f t="shared" ref="T63" si="308">T62*T61</f>
        <v>525.09656777343753</v>
      </c>
      <c r="U63" s="194">
        <f t="shared" ref="U63" si="309">U62*U61</f>
        <v>572.56808682861322</v>
      </c>
      <c r="V63" s="194">
        <f t="shared" ref="V63" si="310">V62*V61</f>
        <v>532.21831995849607</v>
      </c>
      <c r="W63" s="300"/>
      <c r="X63" s="194">
        <f t="shared" ref="X63" si="311">X62*X61</f>
        <v>593.4353825775147</v>
      </c>
      <c r="Y63" s="194">
        <f t="shared" ref="Y63" si="312">Y62*Y61</f>
        <v>552.53073099462893</v>
      </c>
      <c r="Z63" s="194">
        <f t="shared" ref="Z63" si="313">Z62*Z61</f>
        <v>602.76777057751474</v>
      </c>
      <c r="AA63" s="194">
        <f t="shared" ref="AA63" si="314">AA62*AA61</f>
        <v>561.61342299462888</v>
      </c>
      <c r="AB63" s="300"/>
      <c r="AC63" s="194">
        <f t="shared" ref="AC63" si="315">AC62*AC61</f>
        <v>626.78227689406492</v>
      </c>
      <c r="AD63" s="194">
        <f t="shared" ref="AD63" si="316">AD62*AD61</f>
        <v>583.52476020952156</v>
      </c>
      <c r="AE63" s="194">
        <f t="shared" ref="AE63" si="317">AE62*AE61</f>
        <v>637.55316501312745</v>
      </c>
      <c r="AF63" s="194">
        <f t="shared" ref="AF63" si="318">AF62*AF61</f>
        <v>593.75600747920896</v>
      </c>
      <c r="AG63" s="300"/>
      <c r="AH63" s="194">
        <f t="shared" ref="AH63" si="319">AH62*AH61</f>
        <v>661.87686306634589</v>
      </c>
      <c r="AI63" s="194">
        <f t="shared" ref="AI63" si="320">AI62*AI61</f>
        <v>616.16916759225774</v>
      </c>
      <c r="AJ63" s="194">
        <f t="shared" ref="AJ63" si="321">AJ62*AJ61</f>
        <v>673.19703277330188</v>
      </c>
      <c r="AK63" s="194">
        <f t="shared" ref="AK63" si="322">AK62*AK61</f>
        <v>626.69560051225835</v>
      </c>
      <c r="AL63" s="300"/>
    </row>
    <row r="64" spans="1:38" s="13" customFormat="1" outlineLevel="1" x14ac:dyDescent="0.2">
      <c r="A64" s="182"/>
      <c r="B64" s="428" t="s">
        <v>132</v>
      </c>
      <c r="C64" s="429"/>
      <c r="D64" s="172">
        <v>5.7</v>
      </c>
      <c r="E64" s="172">
        <v>1.4</v>
      </c>
      <c r="F64" s="172">
        <v>2.6</v>
      </c>
      <c r="G64" s="172">
        <v>3.2</v>
      </c>
      <c r="H64" s="301"/>
      <c r="I64" s="172">
        <v>2.6</v>
      </c>
      <c r="J64" s="172">
        <v>2.2000000000000002</v>
      </c>
      <c r="K64" s="172">
        <v>1.1000000000000001</v>
      </c>
      <c r="L64" s="172">
        <f>G64*(1+L65)</f>
        <v>5.6000000000000005</v>
      </c>
      <c r="M64" s="301"/>
      <c r="N64" s="172">
        <f t="shared" ref="N64" si="323">I64*(1+N65)</f>
        <v>4.55</v>
      </c>
      <c r="O64" s="172">
        <f t="shared" ref="O64" si="324">J64*(1+O65)</f>
        <v>3.8500000000000005</v>
      </c>
      <c r="P64" s="172">
        <f t="shared" ref="P64" si="325">K64*(1+P65)</f>
        <v>1.9250000000000003</v>
      </c>
      <c r="Q64" s="172">
        <f t="shared" ref="Q64" si="326">L64*(1+Q65)</f>
        <v>8.4</v>
      </c>
      <c r="R64" s="301"/>
      <c r="S64" s="172">
        <f t="shared" ref="S64" si="327">N64*(1+S65)</f>
        <v>5.6875</v>
      </c>
      <c r="T64" s="172">
        <f t="shared" ref="T64" si="328">O64*(1+T65)</f>
        <v>4.8125000000000009</v>
      </c>
      <c r="U64" s="172">
        <f t="shared" ref="U64" si="329">P64*(1+U65)</f>
        <v>2.4062500000000004</v>
      </c>
      <c r="V64" s="172">
        <f t="shared" ref="V64" si="330">Q64*(1+V65)</f>
        <v>10.5</v>
      </c>
      <c r="W64" s="301"/>
      <c r="X64" s="172">
        <f t="shared" ref="X64" si="331">S64*(1+X65)</f>
        <v>6.2562500000000005</v>
      </c>
      <c r="Y64" s="172">
        <f t="shared" ref="Y64" si="332">T64*(1+Y65)</f>
        <v>5.2937500000000011</v>
      </c>
      <c r="Z64" s="172">
        <f t="shared" ref="Z64" si="333">U64*(1+Z65)</f>
        <v>2.6468750000000005</v>
      </c>
      <c r="AA64" s="172">
        <f t="shared" ref="AA64" si="334">V64*(1+AA65)</f>
        <v>11.55</v>
      </c>
      <c r="AB64" s="301"/>
      <c r="AC64" s="172">
        <f t="shared" ref="AC64" si="335">X64*(1+AC65)</f>
        <v>6.8818750000000009</v>
      </c>
      <c r="AD64" s="172">
        <f t="shared" ref="AD64" si="336">Y64*(1+AD65)</f>
        <v>5.8231250000000019</v>
      </c>
      <c r="AE64" s="172">
        <f t="shared" ref="AE64" si="337">Z64*(1+AE65)</f>
        <v>2.9115625000000009</v>
      </c>
      <c r="AF64" s="172">
        <f t="shared" ref="AF64" si="338">AA64*(1+AF65)</f>
        <v>12.705000000000002</v>
      </c>
      <c r="AG64" s="301"/>
      <c r="AH64" s="172">
        <f t="shared" ref="AH64" si="339">AC64*(1+AH65)</f>
        <v>7.5700625000000015</v>
      </c>
      <c r="AI64" s="172">
        <f t="shared" ref="AI64" si="340">AD64*(1+AI65)</f>
        <v>6.4054375000000023</v>
      </c>
      <c r="AJ64" s="172">
        <f t="shared" ref="AJ64" si="341">AE64*(1+AJ65)</f>
        <v>3.2027187500000012</v>
      </c>
      <c r="AK64" s="172">
        <f t="shared" ref="AK64" si="342">AF64*(1+AK65)</f>
        <v>13.975500000000004</v>
      </c>
      <c r="AL64" s="301"/>
    </row>
    <row r="65" spans="1:38" outlineLevel="1" x14ac:dyDescent="0.2">
      <c r="A65" s="167"/>
      <c r="B65" s="124" t="s">
        <v>135</v>
      </c>
      <c r="C65" s="125"/>
      <c r="D65" s="205"/>
      <c r="E65" s="205"/>
      <c r="F65" s="205"/>
      <c r="G65" s="205"/>
      <c r="H65" s="302"/>
      <c r="I65" s="205">
        <f>I64/D64-1</f>
        <v>-0.54385964912280704</v>
      </c>
      <c r="J65" s="205">
        <f t="shared" ref="J65" si="343">J64/E64-1</f>
        <v>0.57142857142857162</v>
      </c>
      <c r="K65" s="205">
        <f>K64/F64-1</f>
        <v>-0.57692307692307687</v>
      </c>
      <c r="L65" s="341">
        <v>0.75</v>
      </c>
      <c r="M65" s="302"/>
      <c r="N65" s="341">
        <v>0.75</v>
      </c>
      <c r="O65" s="341">
        <v>0.75</v>
      </c>
      <c r="P65" s="341">
        <v>0.75</v>
      </c>
      <c r="Q65" s="341">
        <v>0.5</v>
      </c>
      <c r="R65" s="302"/>
      <c r="S65" s="341">
        <v>0.25</v>
      </c>
      <c r="T65" s="341">
        <v>0.25</v>
      </c>
      <c r="U65" s="341">
        <v>0.25</v>
      </c>
      <c r="V65" s="341">
        <v>0.25</v>
      </c>
      <c r="W65" s="302"/>
      <c r="X65" s="341">
        <v>0.1</v>
      </c>
      <c r="Y65" s="341">
        <v>0.1</v>
      </c>
      <c r="Z65" s="341">
        <v>0.1</v>
      </c>
      <c r="AA65" s="341">
        <v>0.1</v>
      </c>
      <c r="AB65" s="302"/>
      <c r="AC65" s="341">
        <v>0.1</v>
      </c>
      <c r="AD65" s="341">
        <v>0.1</v>
      </c>
      <c r="AE65" s="341">
        <v>0.1</v>
      </c>
      <c r="AF65" s="341">
        <v>0.1</v>
      </c>
      <c r="AG65" s="302"/>
      <c r="AH65" s="341">
        <v>0.1</v>
      </c>
      <c r="AI65" s="341">
        <v>0.1</v>
      </c>
      <c r="AJ65" s="341">
        <v>0.1</v>
      </c>
      <c r="AK65" s="341">
        <v>0.1</v>
      </c>
      <c r="AL65" s="302"/>
    </row>
    <row r="66" spans="1:38" outlineLevel="1" x14ac:dyDescent="0.2">
      <c r="A66" s="167"/>
      <c r="B66" s="36" t="s">
        <v>137</v>
      </c>
      <c r="C66" s="98"/>
      <c r="D66" s="169">
        <f t="shared" ref="D66:G66" si="344">+D59+D48</f>
        <v>17653</v>
      </c>
      <c r="E66" s="169">
        <f>+E59+E48</f>
        <v>17719</v>
      </c>
      <c r="F66" s="169">
        <f t="shared" si="344"/>
        <v>17853</v>
      </c>
      <c r="G66" s="169">
        <f t="shared" si="344"/>
        <v>18067</v>
      </c>
      <c r="H66" s="207"/>
      <c r="I66" s="169">
        <f>+I59+I48</f>
        <v>18203</v>
      </c>
      <c r="J66" s="169">
        <f t="shared" ref="J66:K66" si="345">+J59+J48</f>
        <v>18271</v>
      </c>
      <c r="K66" s="169">
        <f t="shared" si="345"/>
        <v>18235</v>
      </c>
      <c r="L66" s="169">
        <f t="shared" ref="L66:AK66" si="346">+L59+L48</f>
        <v>18367</v>
      </c>
      <c r="M66" s="169"/>
      <c r="N66" s="169">
        <f t="shared" si="346"/>
        <v>18442</v>
      </c>
      <c r="O66" s="169">
        <f t="shared" si="346"/>
        <v>18501.75</v>
      </c>
      <c r="P66" s="169">
        <f t="shared" si="346"/>
        <v>18559.4375</v>
      </c>
      <c r="Q66" s="169">
        <f t="shared" si="346"/>
        <v>18640.546875</v>
      </c>
      <c r="R66" s="169"/>
      <c r="S66" s="169">
        <f t="shared" si="346"/>
        <v>18755.1884765625</v>
      </c>
      <c r="T66" s="169">
        <f t="shared" si="346"/>
        <v>18833.485595703125</v>
      </c>
      <c r="U66" s="169">
        <f t="shared" si="346"/>
        <v>18916.419494628906</v>
      </c>
      <c r="V66" s="169">
        <f t="shared" si="346"/>
        <v>19005.664993286133</v>
      </c>
      <c r="W66" s="169"/>
      <c r="X66" s="169">
        <f t="shared" si="346"/>
        <v>19125.75093460083</v>
      </c>
      <c r="Y66" s="169">
        <f t="shared" si="346"/>
        <v>19207.947960853577</v>
      </c>
      <c r="Z66" s="169">
        <f t="shared" si="346"/>
        <v>19300.384368181229</v>
      </c>
      <c r="AA66" s="169">
        <f t="shared" si="346"/>
        <v>19425.937064230442</v>
      </c>
      <c r="AB66" s="169"/>
      <c r="AC66" s="169">
        <f t="shared" si="346"/>
        <v>19531.005081966519</v>
      </c>
      <c r="AD66" s="169">
        <f t="shared" si="346"/>
        <v>19632.318618807942</v>
      </c>
      <c r="AE66" s="169">
        <f t="shared" si="346"/>
        <v>19738.411283296533</v>
      </c>
      <c r="AF66" s="169">
        <f t="shared" si="346"/>
        <v>19847.918012075359</v>
      </c>
      <c r="AG66" s="169"/>
      <c r="AH66" s="169">
        <f t="shared" si="346"/>
        <v>19953.413249036588</v>
      </c>
      <c r="AI66" s="169">
        <f t="shared" si="346"/>
        <v>20059.015290804105</v>
      </c>
      <c r="AJ66" s="169">
        <f t="shared" si="346"/>
        <v>20165.689458803146</v>
      </c>
      <c r="AK66" s="169">
        <f t="shared" si="346"/>
        <v>20272.509002679799</v>
      </c>
      <c r="AL66" s="250"/>
    </row>
    <row r="67" spans="1:38" outlineLevel="1" x14ac:dyDescent="0.2">
      <c r="A67" s="167"/>
      <c r="B67" s="36" t="s">
        <v>138</v>
      </c>
      <c r="C67" s="98"/>
      <c r="D67" s="169">
        <f t="shared" ref="D67:G67" si="347">+D60+D49</f>
        <v>193</v>
      </c>
      <c r="E67" s="169">
        <f>+E60+E49</f>
        <v>66</v>
      </c>
      <c r="F67" s="169">
        <f t="shared" si="347"/>
        <v>134</v>
      </c>
      <c r="G67" s="169">
        <f t="shared" si="347"/>
        <v>214</v>
      </c>
      <c r="H67" s="207">
        <f>+H60+H49</f>
        <v>607</v>
      </c>
      <c r="I67" s="169">
        <f>+I60+I49</f>
        <v>136</v>
      </c>
      <c r="J67" s="169">
        <f t="shared" ref="J67:K67" si="348">+J60+J49</f>
        <v>68</v>
      </c>
      <c r="K67" s="169">
        <f t="shared" si="348"/>
        <v>-36</v>
      </c>
      <c r="L67" s="169">
        <f t="shared" ref="L67:AK67" si="349">+L60+L49</f>
        <v>132</v>
      </c>
      <c r="M67" s="207">
        <f>M60+M49</f>
        <v>300</v>
      </c>
      <c r="N67" s="169">
        <f t="shared" si="349"/>
        <v>75</v>
      </c>
      <c r="O67" s="169">
        <f t="shared" si="349"/>
        <v>59.75</v>
      </c>
      <c r="P67" s="169">
        <f t="shared" si="349"/>
        <v>57.6875</v>
      </c>
      <c r="Q67" s="169">
        <f t="shared" si="349"/>
        <v>81.109375</v>
      </c>
      <c r="R67" s="207">
        <f>R60+R49</f>
        <v>273.546875</v>
      </c>
      <c r="S67" s="169">
        <f t="shared" si="349"/>
        <v>114.6416015625</v>
      </c>
      <c r="T67" s="169">
        <f t="shared" si="349"/>
        <v>78.297119140625</v>
      </c>
      <c r="U67" s="169">
        <f t="shared" si="349"/>
        <v>82.93389892578125</v>
      </c>
      <c r="V67" s="169">
        <f t="shared" si="349"/>
        <v>89.245498657226562</v>
      </c>
      <c r="W67" s="207">
        <f>W60+W49</f>
        <v>365.11811828613281</v>
      </c>
      <c r="X67" s="169">
        <f t="shared" si="349"/>
        <v>120.08594131469727</v>
      </c>
      <c r="Y67" s="169">
        <f t="shared" si="349"/>
        <v>82.197026252746582</v>
      </c>
      <c r="Z67" s="169">
        <f t="shared" si="349"/>
        <v>92.436407327651978</v>
      </c>
      <c r="AA67" s="169">
        <f t="shared" si="349"/>
        <v>125.55269604921341</v>
      </c>
      <c r="AB67" s="207">
        <f>AB60+AB49</f>
        <v>420.27207094430923</v>
      </c>
      <c r="AC67" s="169">
        <f t="shared" si="349"/>
        <v>105.06801773607731</v>
      </c>
      <c r="AD67" s="169">
        <f t="shared" si="349"/>
        <v>101.31353684142232</v>
      </c>
      <c r="AE67" s="169">
        <f t="shared" si="349"/>
        <v>106.09266448859125</v>
      </c>
      <c r="AF67" s="169">
        <f t="shared" si="349"/>
        <v>109.50672877882607</v>
      </c>
      <c r="AG67" s="207">
        <f>AG60+AG49</f>
        <v>421.98094784491695</v>
      </c>
      <c r="AH67" s="169">
        <f t="shared" si="349"/>
        <v>105.49523696122924</v>
      </c>
      <c r="AI67" s="169">
        <f t="shared" si="349"/>
        <v>105.60204176751722</v>
      </c>
      <c r="AJ67" s="169">
        <f t="shared" si="349"/>
        <v>106.67416799904095</v>
      </c>
      <c r="AK67" s="169">
        <f t="shared" si="349"/>
        <v>106.81954387665337</v>
      </c>
      <c r="AL67" s="207">
        <f>AL60+AL49</f>
        <v>424.59099060444078</v>
      </c>
    </row>
    <row r="68" spans="1:38" outlineLevel="1" x14ac:dyDescent="0.2">
      <c r="A68" s="167"/>
      <c r="B68" s="478" t="s">
        <v>136</v>
      </c>
      <c r="C68" s="479"/>
      <c r="D68" s="194">
        <f t="shared" ref="D68:G68" si="350">+D64+D63+D56</f>
        <v>4612.5</v>
      </c>
      <c r="E68" s="194">
        <f t="shared" si="350"/>
        <v>4314.1000000000004</v>
      </c>
      <c r="F68" s="194">
        <f t="shared" si="350"/>
        <v>4681.0999999999995</v>
      </c>
      <c r="G68" s="194">
        <f t="shared" si="350"/>
        <v>4651.3999999999996</v>
      </c>
      <c r="H68" s="252">
        <f>SUM(D68:G68)</f>
        <v>18259.099999999999</v>
      </c>
      <c r="I68" s="194">
        <f>+I64+I63+I56</f>
        <v>5010.8999999999996</v>
      </c>
      <c r="J68" s="194">
        <f t="shared" ref="J68:K68" si="351">+J64+J63+J56</f>
        <v>4330</v>
      </c>
      <c r="K68" s="194">
        <f t="shared" si="351"/>
        <v>2805.5</v>
      </c>
      <c r="L68" s="194">
        <f t="shared" ref="L68:AK68" si="352">+L64+L63+L56</f>
        <v>4223.5407263172619</v>
      </c>
      <c r="M68" s="252">
        <f>SUM(I68:L68)</f>
        <v>16369.940726317262</v>
      </c>
      <c r="N68" s="194">
        <f t="shared" si="352"/>
        <v>4735.0839445713673</v>
      </c>
      <c r="O68" s="194">
        <f t="shared" si="352"/>
        <v>4202.897281873421</v>
      </c>
      <c r="P68" s="194">
        <f t="shared" si="352"/>
        <v>4879.0583645610732</v>
      </c>
      <c r="Q68" s="194">
        <f t="shared" si="352"/>
        <v>5057.2232944754141</v>
      </c>
      <c r="R68" s="252">
        <f>SUM(N68:Q68)</f>
        <v>18874.262885481276</v>
      </c>
      <c r="S68" s="194">
        <f t="shared" si="352"/>
        <v>4917.8007786635008</v>
      </c>
      <c r="T68" s="194">
        <f t="shared" si="352"/>
        <v>4362.6499963647257</v>
      </c>
      <c r="U68" s="194">
        <f t="shared" si="352"/>
        <v>5088.8798969052641</v>
      </c>
      <c r="V68" s="194">
        <f t="shared" si="352"/>
        <v>5263.0512914656392</v>
      </c>
      <c r="W68" s="252">
        <f>SUM(S68:V68)</f>
        <v>19632.38196339913</v>
      </c>
      <c r="X68" s="194">
        <f t="shared" si="352"/>
        <v>5116.6231773774634</v>
      </c>
      <c r="Y68" s="194">
        <f t="shared" si="352"/>
        <v>4540.0197645912131</v>
      </c>
      <c r="Z68" s="194">
        <f t="shared" si="352"/>
        <v>5298.8432707566681</v>
      </c>
      <c r="AA68" s="194">
        <f t="shared" si="352"/>
        <v>5478.6311792915994</v>
      </c>
      <c r="AB68" s="252">
        <f>SUM(X68:AA68)</f>
        <v>20434.117392016942</v>
      </c>
      <c r="AC68" s="194">
        <f t="shared" si="352"/>
        <v>5327.6108131212422</v>
      </c>
      <c r="AD68" s="194">
        <f t="shared" si="352"/>
        <v>4727.3855971596022</v>
      </c>
      <c r="AE68" s="194">
        <f t="shared" si="352"/>
        <v>5518.4658208413339</v>
      </c>
      <c r="AF68" s="194">
        <f t="shared" si="352"/>
        <v>5704.4507331292889</v>
      </c>
      <c r="AG68" s="252">
        <f>SUM(AC68:AF68)</f>
        <v>21277.912964251467</v>
      </c>
      <c r="AH68" s="194">
        <f t="shared" si="352"/>
        <v>5593.7035462818221</v>
      </c>
      <c r="AI68" s="194">
        <f t="shared" si="352"/>
        <v>4962.9695799459887</v>
      </c>
      <c r="AJ68" s="194">
        <f t="shared" si="352"/>
        <v>5793.8029924613438</v>
      </c>
      <c r="AK68" s="194">
        <f t="shared" si="352"/>
        <v>5988.9140496215223</v>
      </c>
      <c r="AL68" s="252">
        <f>SUM(AH68:AK68)</f>
        <v>22339.390168310678</v>
      </c>
    </row>
    <row r="69" spans="1:38" outlineLevel="1" x14ac:dyDescent="0.2">
      <c r="A69" s="167"/>
      <c r="B69" s="474" t="s">
        <v>231</v>
      </c>
      <c r="C69" s="475"/>
      <c r="D69" s="174">
        <v>1351.3</v>
      </c>
      <c r="E69" s="174">
        <v>1220.5</v>
      </c>
      <c r="F69" s="174">
        <v>1324</v>
      </c>
      <c r="G69" s="174">
        <v>1278.9000000000001</v>
      </c>
      <c r="H69" s="249"/>
      <c r="I69" s="174">
        <v>1388.4</v>
      </c>
      <c r="J69" s="174">
        <v>1248.2</v>
      </c>
      <c r="K69" s="174">
        <v>805.6</v>
      </c>
      <c r="L69" s="174">
        <f>(L68*L79)*(K69/K78)</f>
        <v>946.66851169613369</v>
      </c>
      <c r="M69" s="249"/>
      <c r="N69" s="174">
        <f>($N$68*$N$79)*(L69/$L$78)</f>
        <v>968.38660908390159</v>
      </c>
      <c r="O69" s="174">
        <f>($O$68*$O$79)*(N69/$N$78)</f>
        <v>866.16786604816684</v>
      </c>
      <c r="P69" s="174">
        <f>($P$68*$P$79)*(O69/$O$78)</f>
        <v>981.17939181206054</v>
      </c>
      <c r="Q69" s="174">
        <f>($Q$68*$Q$79)*(P69/$P$78)</f>
        <v>1013.0253252095976</v>
      </c>
      <c r="R69" s="249"/>
      <c r="S69" s="174">
        <f>($S$68*$S$79)*(Q69/$Q$78)</f>
        <v>1005.7545918821547</v>
      </c>
      <c r="T69" s="174">
        <f>($T$68*$T$79)*(S69/$S$78)</f>
        <v>899.09102798293986</v>
      </c>
      <c r="U69" s="174">
        <f>($U$68*$U$79)*(T69/$T$78)</f>
        <v>1023.3745344219337</v>
      </c>
      <c r="V69" s="174">
        <f>($V$68*$V$79)*(U69/$U$78)</f>
        <v>1054.2552574168708</v>
      </c>
      <c r="W69" s="249"/>
      <c r="X69" s="174">
        <f>($X$68*$X$79)*(V69/$V$78)</f>
        <v>1046.4163733319388</v>
      </c>
      <c r="Y69" s="174">
        <f>($Y$68*$Y$79)*(X69/$X$78)</f>
        <v>935.64485819639538</v>
      </c>
      <c r="Z69" s="174">
        <f>($Z$68*$Z$79)*(Y69/$Y$78)</f>
        <v>1065.5982013808471</v>
      </c>
      <c r="AA69" s="174">
        <f>($AA$68*$AA$79)*(Z69/$Z$78)</f>
        <v>1097.4386158048842</v>
      </c>
      <c r="AB69" s="249"/>
      <c r="AC69" s="174">
        <f>($AC$68*$AC$79)*(AA69/$AA$78)</f>
        <v>1089.5661048949432</v>
      </c>
      <c r="AD69" s="174">
        <f>($AD$68*$AD$79)*(AC69/$AC$78)</f>
        <v>974.25876010307206</v>
      </c>
      <c r="AE69" s="174">
        <f>($AE$68*$AE$79)*(AD69/$AD$78)</f>
        <v>1109.7643301743631</v>
      </c>
      <c r="AF69" s="174">
        <f>($AF$68*$AF$79)*(AE69/$AE$78)</f>
        <v>1142.673107865975</v>
      </c>
      <c r="AG69" s="249"/>
      <c r="AH69" s="174">
        <f>($AH$68*$AH$79)*(AF69/$AF$78)</f>
        <v>1143.9855497418853</v>
      </c>
      <c r="AI69" s="174">
        <f>($AI$68*$AI$79)*(AH69/$AH$78)</f>
        <v>1022.8098575865338</v>
      </c>
      <c r="AJ69" s="174">
        <f>($AJ$68*$AJ$79)*(AI69/$AI$78)</f>
        <v>1165.1346779766441</v>
      </c>
      <c r="AK69" s="174">
        <f>($AK$68*$AK$79)*(AJ69/$AJ$78)</f>
        <v>1199.6546819274847</v>
      </c>
      <c r="AL69" s="249"/>
    </row>
    <row r="70" spans="1:38" outlineLevel="1" x14ac:dyDescent="0.2">
      <c r="A70" s="167"/>
      <c r="B70" s="36" t="s">
        <v>107</v>
      </c>
      <c r="C70" s="27"/>
      <c r="D70" s="102">
        <v>1983.1</v>
      </c>
      <c r="E70" s="102">
        <v>1935.7</v>
      </c>
      <c r="F70" s="102">
        <v>2034</v>
      </c>
      <c r="G70" s="102">
        <v>2112.1</v>
      </c>
      <c r="H70" s="103"/>
      <c r="I70" s="102">
        <v>2214.4</v>
      </c>
      <c r="J70" s="102">
        <v>2158.6</v>
      </c>
      <c r="K70" s="102">
        <v>2054.4</v>
      </c>
      <c r="L70" s="174">
        <f>($L$68*$L$79)*(K70/$K$78)</f>
        <v>2414.145718009604</v>
      </c>
      <c r="M70" s="187"/>
      <c r="N70" s="174">
        <f t="shared" ref="N70:N71" si="353">($N$68*$N$79)*(L70/$L$78)</f>
        <v>2469.5301014175366</v>
      </c>
      <c r="O70" s="174">
        <f t="shared" ref="O70:O71" si="354">($O$68*$O$79)*(N70/$N$78)</f>
        <v>2208.8570804485526</v>
      </c>
      <c r="P70" s="174">
        <f t="shared" ref="P70:P71" si="355">($P$68*$P$79)*(O70/$O$78)</f>
        <v>2502.1536029527028</v>
      </c>
      <c r="Q70" s="174">
        <f t="shared" ref="Q70:Q71" si="356">($Q$68*$Q$79)*(P70/$P$78)</f>
        <v>2583.3654768006422</v>
      </c>
      <c r="R70" s="187"/>
      <c r="S70" s="174">
        <f t="shared" ref="S70:S71" si="357">($S$68*$S$79)*(Q70/$Q$78)</f>
        <v>2564.8240237868649</v>
      </c>
      <c r="T70" s="174">
        <f t="shared" ref="T70:T71" si="358">($T$68*$T$79)*(S70/$S$78)</f>
        <v>2292.8160475274967</v>
      </c>
      <c r="U70" s="174">
        <f t="shared" ref="U70:U71" si="359">($U$68*$U$79)*(T70/$T$78)</f>
        <v>2609.7575018823491</v>
      </c>
      <c r="V70" s="174">
        <f t="shared" ref="V70:V74" si="360">($V$68*$V$79)*(U70/$U$78)</f>
        <v>2688.5079454285242</v>
      </c>
      <c r="W70" s="187"/>
      <c r="X70" s="174">
        <f t="shared" ref="X70:X71" si="361">($X$68*$X$79)*(V70/$V$78)</f>
        <v>2668.5176233529478</v>
      </c>
      <c r="Y70" s="174">
        <f t="shared" ref="Y70:Y71" si="362">($Y$68*$Y$79)*(X70/$X$78)</f>
        <v>2386.0337595316219</v>
      </c>
      <c r="Z70" s="174">
        <f t="shared" ref="Z70:Z74" si="363">($Z$68*$Z$79)*(Y70/$Y$78)</f>
        <v>2717.4341421509589</v>
      </c>
      <c r="AA70" s="174">
        <f t="shared" ref="AA70:AA74" si="364">($AA$68*$AA$79)*(Z70/$Z$78)</f>
        <v>2798.6319417943819</v>
      </c>
      <c r="AB70" s="187"/>
      <c r="AC70" s="174">
        <f t="shared" ref="AC70:AC71" si="365">($AC$68*$AC$79)*(AA70/$AA$78)</f>
        <v>2778.5558663060719</v>
      </c>
      <c r="AD70" s="174">
        <f t="shared" ref="AD70:AD71" si="366">($AD$68*$AD$79)*(AC70/$AC$78)</f>
        <v>2484.5049612161761</v>
      </c>
      <c r="AE70" s="174">
        <f t="shared" ref="AE70:AE71" si="367">($AE$68*$AE$79)*(AD70/$AD$78)</f>
        <v>2830.0643494416722</v>
      </c>
      <c r="AF70" s="174">
        <f t="shared" ref="AF70:AF71" si="368">($AF$68*$AF$79)*(AE70/$AE$78)</f>
        <v>2913.986634557918</v>
      </c>
      <c r="AG70" s="187"/>
      <c r="AH70" s="174">
        <f t="shared" ref="AH70:AH71" si="369">($AH$68*$AH$79)*(AF70/$AF$78)</f>
        <v>2917.3335568392858</v>
      </c>
      <c r="AI70" s="174">
        <f t="shared" ref="AI70:AI71" si="370">($AI$68*$AI$79)*(AH70/$AH$78)</f>
        <v>2608.3174918393433</v>
      </c>
      <c r="AJ70" s="174">
        <f t="shared" ref="AJ70:AJ71" si="371">($AJ$68*$AJ$79)*(AI70/$AI$78)</f>
        <v>2971.2669841549377</v>
      </c>
      <c r="AK70" s="174">
        <f t="shared" ref="AK70:AK71" si="372">($AK$68*$AK$79)*(AJ70/$AJ$78)</f>
        <v>3059.2981362361284</v>
      </c>
      <c r="AL70" s="187"/>
    </row>
    <row r="71" spans="1:38" outlineLevel="1" x14ac:dyDescent="0.2">
      <c r="A71" s="167"/>
      <c r="B71" s="36" t="s">
        <v>108</v>
      </c>
      <c r="C71" s="27"/>
      <c r="D71" s="102">
        <v>44.5</v>
      </c>
      <c r="E71" s="102">
        <v>39.4</v>
      </c>
      <c r="F71" s="102">
        <v>41.7</v>
      </c>
      <c r="G71" s="102">
        <v>34.200000000000003</v>
      </c>
      <c r="H71" s="103"/>
      <c r="I71" s="102">
        <v>42.5</v>
      </c>
      <c r="J71" s="102">
        <v>41.8</v>
      </c>
      <c r="K71" s="102">
        <v>40.700000000000003</v>
      </c>
      <c r="L71" s="174">
        <f>($L$68*$L$79)*(K71/$K$78)</f>
        <v>47.8269717304278</v>
      </c>
      <c r="M71" s="187"/>
      <c r="N71" s="174">
        <f t="shared" si="353"/>
        <v>48.924199341751226</v>
      </c>
      <c r="O71" s="174">
        <f t="shared" si="354"/>
        <v>43.759970392453305</v>
      </c>
      <c r="P71" s="174">
        <f t="shared" si="355"/>
        <v>49.570508002421619</v>
      </c>
      <c r="Q71" s="174">
        <f t="shared" si="356"/>
        <v>51.179407567068793</v>
      </c>
      <c r="R71" s="187"/>
      <c r="S71" s="174">
        <f t="shared" si="357"/>
        <v>50.812080299905276</v>
      </c>
      <c r="T71" s="174">
        <f t="shared" si="358"/>
        <v>45.423292997648517</v>
      </c>
      <c r="U71" s="174">
        <f t="shared" si="359"/>
        <v>51.702263593560936</v>
      </c>
      <c r="V71" s="174">
        <f t="shared" si="360"/>
        <v>53.262399425107532</v>
      </c>
      <c r="W71" s="187"/>
      <c r="X71" s="174">
        <f t="shared" si="361"/>
        <v>52.866368414361837</v>
      </c>
      <c r="Y71" s="174">
        <f t="shared" si="362"/>
        <v>47.270041867667921</v>
      </c>
      <c r="Z71" s="174">
        <f t="shared" si="363"/>
        <v>53.835460273337219</v>
      </c>
      <c r="AA71" s="174">
        <f t="shared" si="364"/>
        <v>55.444081011989539</v>
      </c>
      <c r="AB71" s="187"/>
      <c r="AC71" s="174">
        <f t="shared" si="365"/>
        <v>55.046351128629809</v>
      </c>
      <c r="AD71" s="174">
        <f t="shared" si="366"/>
        <v>49.220868341850824</v>
      </c>
      <c r="AE71" s="174">
        <f t="shared" si="367"/>
        <v>56.066792748382028</v>
      </c>
      <c r="AF71" s="174">
        <f t="shared" si="368"/>
        <v>57.729388642186159</v>
      </c>
      <c r="AG71" s="187"/>
      <c r="AH71" s="174">
        <f t="shared" si="369"/>
        <v>57.795694978270497</v>
      </c>
      <c r="AI71" s="174">
        <f t="shared" si="370"/>
        <v>51.67373535721439</v>
      </c>
      <c r="AJ71" s="174">
        <f t="shared" si="371"/>
        <v>58.864177499564796</v>
      </c>
      <c r="AK71" s="174">
        <f t="shared" si="372"/>
        <v>60.608174720020621</v>
      </c>
      <c r="AL71" s="187"/>
    </row>
    <row r="72" spans="1:38" outlineLevel="1" x14ac:dyDescent="0.2">
      <c r="A72" s="167"/>
      <c r="B72" s="36" t="s">
        <v>109</v>
      </c>
      <c r="C72" s="27"/>
      <c r="D72" s="126">
        <v>166.9</v>
      </c>
      <c r="E72" s="126">
        <v>173</v>
      </c>
      <c r="F72" s="126">
        <v>175.6</v>
      </c>
      <c r="G72" s="126">
        <v>180.6</v>
      </c>
      <c r="H72" s="11"/>
      <c r="I72" s="126">
        <v>189.2</v>
      </c>
      <c r="J72" s="126">
        <v>191.5</v>
      </c>
      <c r="K72" s="126">
        <v>191.3</v>
      </c>
      <c r="L72" s="174">
        <f>L242*(K72/(K72+K105+K119+K133))</f>
        <v>198.39153038038069</v>
      </c>
      <c r="M72" s="250"/>
      <c r="N72" s="174">
        <f>N242*(L72/(L72+L105+L119+L133))</f>
        <v>198.15383632963272</v>
      </c>
      <c r="O72" s="174">
        <f t="shared" ref="O72:Q72" si="373">O242*(N72/(N72+N105+N119+N133))</f>
        <v>198.15953220221539</v>
      </c>
      <c r="P72" s="174">
        <f t="shared" si="373"/>
        <v>199.44213374553556</v>
      </c>
      <c r="Q72" s="174">
        <f t="shared" si="373"/>
        <v>199.11819810102955</v>
      </c>
      <c r="R72" s="250"/>
      <c r="S72" s="174">
        <f>S242*(Q72/(Q72+Q105+Q119+Q133))</f>
        <v>202.19613930530264</v>
      </c>
      <c r="T72" s="174">
        <f t="shared" ref="T72:V72" si="374">T242*(S72/(S72+S105+S119+S133))</f>
        <v>202.19833461791831</v>
      </c>
      <c r="U72" s="174">
        <f t="shared" si="374"/>
        <v>203.93300934597585</v>
      </c>
      <c r="V72" s="174">
        <f t="shared" si="374"/>
        <v>203.94547251065487</v>
      </c>
      <c r="W72" s="250"/>
      <c r="X72" s="367">
        <f>X242*(V72/(V72+V105+V119+V133))</f>
        <v>207.87439137374838</v>
      </c>
      <c r="Y72" s="174">
        <f t="shared" ref="Y72:AA72" si="375">Y242*(X72/(X72+X105+X119+X133))</f>
        <v>207.87746406415189</v>
      </c>
      <c r="Z72" s="174">
        <f t="shared" si="375"/>
        <v>209.98287815256833</v>
      </c>
      <c r="AA72" s="174">
        <f t="shared" si="375"/>
        <v>210.25858581077981</v>
      </c>
      <c r="AB72" s="250"/>
      <c r="AC72" s="174">
        <f>AC242*(AA72/(AA72+AA105+AA119+AA133))</f>
        <v>214.87873576974917</v>
      </c>
      <c r="AD72" s="174">
        <f t="shared" ref="AD72:AF72" si="376">AD242*(AC72/(AC72+AC105+AC119+AC133))</f>
        <v>214.88244269238498</v>
      </c>
      <c r="AE72" s="174">
        <f t="shared" si="376"/>
        <v>217.32011496435231</v>
      </c>
      <c r="AF72" s="174">
        <f t="shared" si="376"/>
        <v>217.81435215272137</v>
      </c>
      <c r="AG72" s="250"/>
      <c r="AH72" s="174">
        <f>AH242*(AF72/(AF72+AF105+AF119+AF133))</f>
        <v>223.04594450739711</v>
      </c>
      <c r="AI72" s="174">
        <f t="shared" ref="AI72:AK72" si="377">AI242*(AH72/(AH72+AH105+AH119+AH133))</f>
        <v>223.05013358960065</v>
      </c>
      <c r="AJ72" s="174">
        <f t="shared" si="377"/>
        <v>225.87380810568717</v>
      </c>
      <c r="AK72" s="174">
        <f t="shared" si="377"/>
        <v>226.6240412290347</v>
      </c>
      <c r="AL72" s="250"/>
    </row>
    <row r="73" spans="1:38" outlineLevel="1" x14ac:dyDescent="0.2">
      <c r="A73" s="167"/>
      <c r="B73" s="36" t="s">
        <v>110</v>
      </c>
      <c r="C73" s="27"/>
      <c r="D73" s="102">
        <v>75.099999999999994</v>
      </c>
      <c r="E73" s="102">
        <v>70.900000000000006</v>
      </c>
      <c r="F73" s="102">
        <v>72</v>
      </c>
      <c r="G73" s="102">
        <v>106</v>
      </c>
      <c r="H73" s="103"/>
      <c r="I73" s="102">
        <v>72.400000000000006</v>
      </c>
      <c r="J73" s="102">
        <v>68.2</v>
      </c>
      <c r="K73" s="102">
        <v>62.2</v>
      </c>
      <c r="L73" s="174">
        <f>($L$68*$L$79)*(K73/$K$78)</f>
        <v>73.091833946747158</v>
      </c>
      <c r="M73" s="187"/>
      <c r="N73" s="174">
        <f t="shared" ref="N73:N74" si="378">($N$68*$N$79)*(L73/$L$78)</f>
        <v>74.768678109506794</v>
      </c>
      <c r="O73" s="174">
        <f t="shared" ref="O73:O74" si="379">($O$68*$O$79)*(N73/$N$78)</f>
        <v>66.876416668565</v>
      </c>
      <c r="P73" s="174">
        <f t="shared" ref="P73:P74" si="380">($P$68*$P$79)*(O73/$O$78)</f>
        <v>75.756402893135729</v>
      </c>
      <c r="Q73" s="174">
        <f t="shared" ref="Q73:Q74" si="381">($Q$68*$Q$79)*(P73/$P$78)</f>
        <v>78.215212547215685</v>
      </c>
      <c r="R73" s="187"/>
      <c r="S73" s="174">
        <f t="shared" ref="S73:S74" si="382">($S$68*$S$79)*(Q73/$Q$78)</f>
        <v>77.653842620494046</v>
      </c>
      <c r="T73" s="174">
        <f t="shared" ref="T73:T74" si="383">($T$68*$T$79)*(S73/$S$78)</f>
        <v>69.418398635226964</v>
      </c>
      <c r="U73" s="174">
        <f t="shared" ref="U73:U74" si="384">($U$68*$U$79)*(T73/$T$78)</f>
        <v>79.014270160184026</v>
      </c>
      <c r="V73" s="174">
        <f t="shared" si="360"/>
        <v>81.398556369574649</v>
      </c>
      <c r="W73" s="187"/>
      <c r="X73" s="174">
        <f t="shared" ref="X73:X74" si="385">($X$68*$X$79)*(V73/$V$78)</f>
        <v>80.793319788041913</v>
      </c>
      <c r="Y73" s="174">
        <f t="shared" ref="Y73:Y74" si="386">($Y$68*$Y$79)*(X73/$X$78)</f>
        <v>72.240702805133765</v>
      </c>
      <c r="Z73" s="174">
        <f t="shared" si="363"/>
        <v>82.27433977890847</v>
      </c>
      <c r="AA73" s="174">
        <f t="shared" si="364"/>
        <v>84.732723315620362</v>
      </c>
      <c r="AB73" s="187"/>
      <c r="AC73" s="174">
        <f t="shared" ref="AC73:AC74" si="387">($AC$68*$AC$79)*(AA73/$AA$78)</f>
        <v>84.124890422623437</v>
      </c>
      <c r="AD73" s="174">
        <f t="shared" ref="AD73:AD74" si="388">($AD$68*$AD$79)*(AC73/$AC$78)</f>
        <v>75.222064148971029</v>
      </c>
      <c r="AE73" s="174">
        <f t="shared" ref="AE73:AE74" si="389">($AE$68*$AE$79)*(AD73/$AD$78)</f>
        <v>85.684385969271787</v>
      </c>
      <c r="AF73" s="174">
        <f t="shared" ref="AF73:AF74" si="390">($AF$68*$AF$79)*(AE73/$AE$78)</f>
        <v>88.225257335232882</v>
      </c>
      <c r="AG73" s="187"/>
      <c r="AH73" s="174">
        <f t="shared" ref="AH73:AH74" si="391">($AH$68*$AH$79)*(AF73/$AF$78)</f>
        <v>88.326590359912146</v>
      </c>
      <c r="AI73" s="174">
        <f t="shared" ref="AI73:AI74" si="392">($AI$68*$AI$79)*(AH73/$AH$78)</f>
        <v>78.970671725276034</v>
      </c>
      <c r="AJ73" s="174">
        <f t="shared" ref="AJ73:AJ74" si="393">($AJ$68*$AJ$79)*(AI73/$AI$78)</f>
        <v>89.959504679924578</v>
      </c>
      <c r="AK73" s="174">
        <f t="shared" ref="AK73:AK74" si="394">($AK$68*$AK$79)*(AJ73/$AJ$78)</f>
        <v>92.624778073348466</v>
      </c>
      <c r="AL73" s="187"/>
    </row>
    <row r="74" spans="1:38" ht="18" outlineLevel="1" x14ac:dyDescent="0.35">
      <c r="A74" s="167"/>
      <c r="B74" s="36" t="s">
        <v>118</v>
      </c>
      <c r="C74" s="27"/>
      <c r="D74" s="204">
        <v>22.9</v>
      </c>
      <c r="E74" s="204">
        <v>18.2</v>
      </c>
      <c r="F74" s="204">
        <v>15.1</v>
      </c>
      <c r="G74" s="204">
        <v>0.7</v>
      </c>
      <c r="H74" s="251"/>
      <c r="I74" s="204">
        <v>5.2</v>
      </c>
      <c r="J74" s="204">
        <v>0.5</v>
      </c>
      <c r="K74" s="204">
        <v>56.2</v>
      </c>
      <c r="L74" s="204">
        <f>($L$68*$L$79)*3.5%</f>
        <v>124.17209735372751</v>
      </c>
      <c r="M74" s="251"/>
      <c r="N74" s="204">
        <f t="shared" si="378"/>
        <v>127.02080486839901</v>
      </c>
      <c r="O74" s="173">
        <f t="shared" si="379"/>
        <v>113.61303271289809</v>
      </c>
      <c r="P74" s="173">
        <f t="shared" si="380"/>
        <v>128.69880159346167</v>
      </c>
      <c r="Q74" s="173">
        <f t="shared" si="381"/>
        <v>132.87595156021644</v>
      </c>
      <c r="R74" s="251"/>
      <c r="S74" s="173">
        <f t="shared" si="382"/>
        <v>131.92226798944819</v>
      </c>
      <c r="T74" s="173">
        <f t="shared" si="383"/>
        <v>117.9314800029981</v>
      </c>
      <c r="U74" s="173">
        <f t="shared" si="384"/>
        <v>134.23343097140528</v>
      </c>
      <c r="V74" s="173">
        <f t="shared" si="360"/>
        <v>138.28397674820582</v>
      </c>
      <c r="W74" s="251"/>
      <c r="X74" s="173">
        <f t="shared" si="385"/>
        <v>137.25577028975417</v>
      </c>
      <c r="Y74" s="173">
        <f t="shared" si="386"/>
        <v>122.72615280328425</v>
      </c>
      <c r="Z74" s="173">
        <f t="shared" si="363"/>
        <v>139.77180181555616</v>
      </c>
      <c r="AA74" s="173">
        <f t="shared" si="364"/>
        <v>143.94822787261467</v>
      </c>
      <c r="AB74" s="251"/>
      <c r="AC74" s="173">
        <f t="shared" si="387"/>
        <v>142.91561066917987</v>
      </c>
      <c r="AD74" s="173">
        <f t="shared" si="388"/>
        <v>127.7910399602178</v>
      </c>
      <c r="AE74" s="173">
        <f t="shared" si="389"/>
        <v>145.56496043077169</v>
      </c>
      <c r="AF74" s="173">
        <f t="shared" si="390"/>
        <v>149.88152097633537</v>
      </c>
      <c r="AG74" s="251"/>
      <c r="AH74" s="173">
        <f t="shared" si="391"/>
        <v>150.05367063418618</v>
      </c>
      <c r="AI74" s="173">
        <f t="shared" si="392"/>
        <v>134.15936374923368</v>
      </c>
      <c r="AJ74" s="173">
        <f t="shared" si="393"/>
        <v>152.82774791431854</v>
      </c>
      <c r="AK74" s="173">
        <f t="shared" si="394"/>
        <v>157.35564890423836</v>
      </c>
      <c r="AL74" s="251"/>
    </row>
    <row r="75" spans="1:38" outlineLevel="1" x14ac:dyDescent="0.2">
      <c r="A75" s="167"/>
      <c r="B75" s="100" t="s">
        <v>207</v>
      </c>
      <c r="C75" s="30"/>
      <c r="D75" s="172">
        <f t="shared" ref="D75" si="395">SUM(D69:D74)</f>
        <v>3643.7999999999997</v>
      </c>
      <c r="E75" s="172">
        <f t="shared" ref="E75" si="396">SUM(E69:E74)</f>
        <v>3457.7</v>
      </c>
      <c r="F75" s="172">
        <f t="shared" ref="F75" si="397">SUM(F69:F74)</f>
        <v>3662.3999999999996</v>
      </c>
      <c r="G75" s="172">
        <f t="shared" ref="G75" si="398">SUM(G69:G74)</f>
        <v>3712.4999999999995</v>
      </c>
      <c r="H75" s="378"/>
      <c r="I75" s="172">
        <f t="shared" ref="I75" si="399">SUM(I69:I74)</f>
        <v>3912.1</v>
      </c>
      <c r="J75" s="172">
        <f t="shared" ref="J75" si="400">SUM(J69:J74)</f>
        <v>3708.8</v>
      </c>
      <c r="K75" s="172">
        <f t="shared" ref="K75:L75" si="401">SUM(K69:K74)</f>
        <v>3210.3999999999996</v>
      </c>
      <c r="L75" s="172">
        <f t="shared" si="401"/>
        <v>3804.2966631170207</v>
      </c>
      <c r="M75" s="378"/>
      <c r="N75" s="172">
        <f t="shared" ref="N75:Q75" si="402">SUM(N69:N74)</f>
        <v>3886.7842291507277</v>
      </c>
      <c r="O75" s="172">
        <f t="shared" si="402"/>
        <v>3497.4338984728511</v>
      </c>
      <c r="P75" s="172">
        <f t="shared" si="402"/>
        <v>3936.8008409993181</v>
      </c>
      <c r="Q75" s="172">
        <f t="shared" si="402"/>
        <v>4057.7795717857703</v>
      </c>
      <c r="R75" s="378"/>
      <c r="S75" s="172">
        <f t="shared" ref="S75:V75" si="403">SUM(S69:S74)</f>
        <v>4033.1629458841694</v>
      </c>
      <c r="T75" s="172">
        <f t="shared" si="403"/>
        <v>3626.8785817642279</v>
      </c>
      <c r="U75" s="172">
        <f t="shared" si="403"/>
        <v>4102.0150103754086</v>
      </c>
      <c r="V75" s="172">
        <f t="shared" si="403"/>
        <v>4219.6536078989375</v>
      </c>
      <c r="W75" s="378"/>
      <c r="X75" s="172">
        <f t="shared" ref="X75:AA75" si="404">SUM(X69:X74)</f>
        <v>4193.7238465507926</v>
      </c>
      <c r="Y75" s="172">
        <f t="shared" si="404"/>
        <v>3771.7929792682548</v>
      </c>
      <c r="Z75" s="172">
        <f t="shared" si="404"/>
        <v>4268.8968235521761</v>
      </c>
      <c r="AA75" s="172">
        <f t="shared" si="404"/>
        <v>4390.4541756102699</v>
      </c>
      <c r="AB75" s="378"/>
      <c r="AC75" s="172">
        <f t="shared" ref="AC75:AF75" si="405">SUM(AC69:AC74)</f>
        <v>4365.0875591911972</v>
      </c>
      <c r="AD75" s="172">
        <f t="shared" si="405"/>
        <v>3925.8801364626734</v>
      </c>
      <c r="AE75" s="172">
        <f t="shared" si="405"/>
        <v>4444.4649337288129</v>
      </c>
      <c r="AF75" s="172">
        <f t="shared" si="405"/>
        <v>4570.3102615303687</v>
      </c>
      <c r="AG75" s="378"/>
      <c r="AH75" s="172">
        <f t="shared" ref="AH75:AK75" si="406">SUM(AH69:AH74)</f>
        <v>4580.5410070609378</v>
      </c>
      <c r="AI75" s="172">
        <f t="shared" si="406"/>
        <v>4118.9812538472015</v>
      </c>
      <c r="AJ75" s="172">
        <f t="shared" si="406"/>
        <v>4663.9269003310783</v>
      </c>
      <c r="AK75" s="172">
        <f t="shared" si="406"/>
        <v>4796.1654610902551</v>
      </c>
      <c r="AL75" s="378"/>
    </row>
    <row r="76" spans="1:38" outlineLevel="1" x14ac:dyDescent="0.2">
      <c r="A76" s="167"/>
      <c r="B76" s="100" t="s">
        <v>208</v>
      </c>
      <c r="C76" s="90"/>
      <c r="D76" s="303">
        <f t="shared" ref="D76" si="407">+D68-D75</f>
        <v>968.70000000000027</v>
      </c>
      <c r="E76" s="303">
        <f t="shared" ref="E76" si="408">+E68-E75</f>
        <v>856.40000000000055</v>
      </c>
      <c r="F76" s="303">
        <f t="shared" ref="F76" si="409">+F68-F75</f>
        <v>1018.6999999999998</v>
      </c>
      <c r="G76" s="303">
        <f t="shared" ref="G76" si="410">+G68-G75</f>
        <v>938.90000000000009</v>
      </c>
      <c r="H76" s="252">
        <f>SUM(D76:G76)</f>
        <v>3782.7000000000007</v>
      </c>
      <c r="I76" s="303">
        <f t="shared" ref="I76" si="411">+I68-I75</f>
        <v>1098.7999999999997</v>
      </c>
      <c r="J76" s="303">
        <f t="shared" ref="J76" si="412">+J68-J75</f>
        <v>621.19999999999982</v>
      </c>
      <c r="K76" s="303">
        <f t="shared" ref="K76:L76" si="413">+K68-K75</f>
        <v>-404.89999999999964</v>
      </c>
      <c r="L76" s="303">
        <f t="shared" si="413"/>
        <v>419.24406320024127</v>
      </c>
      <c r="M76" s="252">
        <f>SUM(I76:L76)</f>
        <v>1734.3440632002412</v>
      </c>
      <c r="N76" s="303">
        <f t="shared" ref="N76:Q76" si="414">+N68-N75</f>
        <v>848.29971542063959</v>
      </c>
      <c r="O76" s="303">
        <f t="shared" si="414"/>
        <v>705.46338340056991</v>
      </c>
      <c r="P76" s="303">
        <f t="shared" si="414"/>
        <v>942.25752356175508</v>
      </c>
      <c r="Q76" s="303">
        <f t="shared" si="414"/>
        <v>999.44372268964389</v>
      </c>
      <c r="R76" s="252">
        <f>SUM(N76:Q76)</f>
        <v>3495.4643450726085</v>
      </c>
      <c r="S76" s="303">
        <f t="shared" ref="S76:V76" si="415">+S68-S75</f>
        <v>884.63783277933135</v>
      </c>
      <c r="T76" s="303">
        <f t="shared" si="415"/>
        <v>735.77141460049779</v>
      </c>
      <c r="U76" s="303">
        <f t="shared" si="415"/>
        <v>986.86488652985554</v>
      </c>
      <c r="V76" s="303">
        <f t="shared" si="415"/>
        <v>1043.3976835667017</v>
      </c>
      <c r="W76" s="252">
        <f>SUM(S76:V76)</f>
        <v>3650.6718174763864</v>
      </c>
      <c r="X76" s="303">
        <f t="shared" ref="X76:AA76" si="416">+X68-X75</f>
        <v>922.89933082667085</v>
      </c>
      <c r="Y76" s="303">
        <f t="shared" si="416"/>
        <v>768.22678532295822</v>
      </c>
      <c r="Z76" s="303">
        <f t="shared" si="416"/>
        <v>1029.946447204492</v>
      </c>
      <c r="AA76" s="303">
        <f t="shared" si="416"/>
        <v>1088.1770036813296</v>
      </c>
      <c r="AB76" s="252">
        <f>SUM(X76:AA76)</f>
        <v>3809.2495670354506</v>
      </c>
      <c r="AC76" s="303">
        <f t="shared" ref="AC76:AF76" si="417">+AC68-AC75</f>
        <v>962.52325393004503</v>
      </c>
      <c r="AD76" s="303">
        <f t="shared" si="417"/>
        <v>801.50546069692882</v>
      </c>
      <c r="AE76" s="303">
        <f t="shared" si="417"/>
        <v>1074.000887112521</v>
      </c>
      <c r="AF76" s="303">
        <f t="shared" si="417"/>
        <v>1134.1404715989202</v>
      </c>
      <c r="AG76" s="252">
        <f>SUM(AC76:AF76)</f>
        <v>3972.170073338415</v>
      </c>
      <c r="AH76" s="303">
        <f t="shared" ref="AH76:AK76" si="418">+AH68-AH75</f>
        <v>1013.1625392208844</v>
      </c>
      <c r="AI76" s="303">
        <f t="shared" si="418"/>
        <v>843.98832609878718</v>
      </c>
      <c r="AJ76" s="303">
        <f t="shared" si="418"/>
        <v>1129.8760921302655</v>
      </c>
      <c r="AK76" s="303">
        <f t="shared" si="418"/>
        <v>1192.7485885312672</v>
      </c>
      <c r="AL76" s="252">
        <f>SUM(AH76:AK76)</f>
        <v>4179.7755459812042</v>
      </c>
    </row>
    <row r="77" spans="1:38" outlineLevel="1" x14ac:dyDescent="0.2">
      <c r="A77" s="167"/>
      <c r="B77" s="100" t="s">
        <v>209</v>
      </c>
      <c r="C77" s="90"/>
      <c r="D77" s="304">
        <f t="shared" ref="D77" si="419">+D76/D68</f>
        <v>0.21001626016260169</v>
      </c>
      <c r="E77" s="304">
        <f t="shared" ref="E77" si="420">+E76/E68</f>
        <v>0.19851185647064287</v>
      </c>
      <c r="F77" s="304">
        <f t="shared" ref="F77" si="421">+F76/F68</f>
        <v>0.21761979022024736</v>
      </c>
      <c r="G77" s="304">
        <f t="shared" ref="G77" si="422">+G76/G68</f>
        <v>0.20185320548652022</v>
      </c>
      <c r="H77" s="253">
        <f>H76/H68</f>
        <v>0.20716793270205</v>
      </c>
      <c r="I77" s="304">
        <f t="shared" ref="I77" si="423">+I76/I68</f>
        <v>0.21928196531561192</v>
      </c>
      <c r="J77" s="304">
        <f t="shared" ref="J77" si="424">+J76/J68</f>
        <v>0.14346420323325632</v>
      </c>
      <c r="K77" s="304">
        <f t="shared" ref="K77:L77" si="425">+K76/K68</f>
        <v>-0.14432364997326666</v>
      </c>
      <c r="L77" s="304">
        <f t="shared" si="425"/>
        <v>9.9263648764623916E-2</v>
      </c>
      <c r="M77" s="253">
        <f>M76/M68</f>
        <v>0.10594687495795324</v>
      </c>
      <c r="N77" s="304">
        <f t="shared" ref="N77:Q77" si="426">+N76/N68</f>
        <v>0.17915199083074124</v>
      </c>
      <c r="O77" s="304">
        <f t="shared" si="426"/>
        <v>0.16785168327647376</v>
      </c>
      <c r="P77" s="304">
        <f t="shared" si="426"/>
        <v>0.19312282271632999</v>
      </c>
      <c r="Q77" s="304">
        <f t="shared" si="426"/>
        <v>0.19762697126335138</v>
      </c>
      <c r="R77" s="253">
        <f>R76/R68</f>
        <v>0.18519739638475835</v>
      </c>
      <c r="S77" s="304">
        <f t="shared" ref="S77:V77" si="427">+S76/S68</f>
        <v>0.17988484540029442</v>
      </c>
      <c r="T77" s="304">
        <f t="shared" si="427"/>
        <v>0.16865240512385718</v>
      </c>
      <c r="U77" s="304">
        <f t="shared" si="427"/>
        <v>0.19392575704724424</v>
      </c>
      <c r="V77" s="304">
        <f t="shared" si="427"/>
        <v>0.1982495753477902</v>
      </c>
      <c r="W77" s="253">
        <f>W76/W68</f>
        <v>0.18595154802317798</v>
      </c>
      <c r="X77" s="304">
        <f t="shared" ref="X77:AA77" si="428">+X76/X68</f>
        <v>0.18037273780628593</v>
      </c>
      <c r="Y77" s="304">
        <f t="shared" si="428"/>
        <v>0.16921221165479441</v>
      </c>
      <c r="Z77" s="304">
        <f t="shared" si="428"/>
        <v>0.19437194017203246</v>
      </c>
      <c r="AA77" s="304">
        <f t="shared" si="428"/>
        <v>0.19862205869861704</v>
      </c>
      <c r="AB77" s="253">
        <f>AB76/AB68</f>
        <v>0.18641615362959701</v>
      </c>
      <c r="AC77" s="304">
        <f t="shared" ref="AC77:AF77" si="429">+AC76/AC68</f>
        <v>0.18066696079966466</v>
      </c>
      <c r="AD77" s="304">
        <f t="shared" si="429"/>
        <v>0.1695451839550606</v>
      </c>
      <c r="AE77" s="304">
        <f t="shared" si="429"/>
        <v>0.19461946888506435</v>
      </c>
      <c r="AF77" s="304">
        <f t="shared" si="429"/>
        <v>0.19881677038812201</v>
      </c>
      <c r="AG77" s="253">
        <f>AG76/AG68</f>
        <v>0.18668043618807759</v>
      </c>
      <c r="AH77" s="304">
        <f t="shared" ref="AH77:AK77" si="430">+AH76/AH68</f>
        <v>0.18112553352855842</v>
      </c>
      <c r="AI77" s="304">
        <f t="shared" si="430"/>
        <v>0.17005712255604277</v>
      </c>
      <c r="AJ77" s="304">
        <f t="shared" si="430"/>
        <v>0.19501458603276872</v>
      </c>
      <c r="AK77" s="304">
        <f t="shared" si="430"/>
        <v>0.19915940997794826</v>
      </c>
      <c r="AL77" s="253">
        <f>AL76/AL68</f>
        <v>0.18710338619316402</v>
      </c>
    </row>
    <row r="78" spans="1:38" s="128" customFormat="1" outlineLevel="1" x14ac:dyDescent="0.2">
      <c r="A78" s="183"/>
      <c r="B78" s="131" t="s">
        <v>139</v>
      </c>
      <c r="C78" s="129"/>
      <c r="D78" s="206">
        <f t="shared" ref="D78:G78" si="431">+D75-D72</f>
        <v>3476.8999999999996</v>
      </c>
      <c r="E78" s="206">
        <f t="shared" si="431"/>
        <v>3284.7</v>
      </c>
      <c r="F78" s="206">
        <f t="shared" si="431"/>
        <v>3486.7999999999997</v>
      </c>
      <c r="G78" s="206">
        <f t="shared" si="431"/>
        <v>3531.8999999999996</v>
      </c>
      <c r="H78" s="246"/>
      <c r="I78" s="206">
        <f t="shared" ref="I78" si="432">+I75-I72</f>
        <v>3722.9</v>
      </c>
      <c r="J78" s="206">
        <f t="shared" ref="J78:K78" si="433">+J75-J72</f>
        <v>3517.3</v>
      </c>
      <c r="K78" s="206">
        <f t="shared" si="433"/>
        <v>3019.0999999999995</v>
      </c>
      <c r="L78" s="206">
        <f t="shared" ref="L78:Q78" si="434">+L75-L72</f>
        <v>3605.9051327366401</v>
      </c>
      <c r="M78" s="255"/>
      <c r="N78" s="206">
        <f t="shared" si="434"/>
        <v>3688.630392821095</v>
      </c>
      <c r="O78" s="206">
        <f t="shared" si="434"/>
        <v>3299.2743662706357</v>
      </c>
      <c r="P78" s="206">
        <f t="shared" si="434"/>
        <v>3737.3587072537825</v>
      </c>
      <c r="Q78" s="206">
        <f t="shared" si="434"/>
        <v>3858.6613736847407</v>
      </c>
      <c r="R78" s="255"/>
      <c r="S78" s="206">
        <f t="shared" ref="S78:V78" si="435">+S75-S72</f>
        <v>3830.9668065788669</v>
      </c>
      <c r="T78" s="206">
        <f t="shared" si="435"/>
        <v>3424.6802471463097</v>
      </c>
      <c r="U78" s="206">
        <f t="shared" si="435"/>
        <v>3898.0820010294328</v>
      </c>
      <c r="V78" s="206">
        <f t="shared" si="435"/>
        <v>4015.7081353882827</v>
      </c>
      <c r="W78" s="255"/>
      <c r="X78" s="206">
        <f t="shared" ref="X78:AA78" si="436">+X75-X72</f>
        <v>3985.8494551770441</v>
      </c>
      <c r="Y78" s="206">
        <f t="shared" si="436"/>
        <v>3563.915515204103</v>
      </c>
      <c r="Z78" s="206">
        <f t="shared" si="436"/>
        <v>4058.9139453996077</v>
      </c>
      <c r="AA78" s="206">
        <f t="shared" si="436"/>
        <v>4180.1955897994903</v>
      </c>
      <c r="AB78" s="255"/>
      <c r="AC78" s="206">
        <f t="shared" ref="AC78:AF78" si="437">+AC75-AC72</f>
        <v>4150.208823421448</v>
      </c>
      <c r="AD78" s="206">
        <f t="shared" si="437"/>
        <v>3710.9976937702886</v>
      </c>
      <c r="AE78" s="206">
        <f t="shared" si="437"/>
        <v>4227.144818764461</v>
      </c>
      <c r="AF78" s="206">
        <f t="shared" si="437"/>
        <v>4352.495909377647</v>
      </c>
      <c r="AG78" s="255"/>
      <c r="AH78" s="206">
        <f t="shared" ref="AH78:AK78" si="438">+AH75-AH72</f>
        <v>4357.4950625535403</v>
      </c>
      <c r="AI78" s="206">
        <f t="shared" si="438"/>
        <v>3895.9311202576009</v>
      </c>
      <c r="AJ78" s="206">
        <f t="shared" si="438"/>
        <v>4438.0530922253911</v>
      </c>
      <c r="AK78" s="206">
        <f t="shared" si="438"/>
        <v>4569.5414198612207</v>
      </c>
      <c r="AL78" s="255"/>
    </row>
    <row r="79" spans="1:38" s="128" customFormat="1" outlineLevel="1" x14ac:dyDescent="0.2">
      <c r="A79" s="183"/>
      <c r="B79" s="131" t="s">
        <v>140</v>
      </c>
      <c r="C79" s="129"/>
      <c r="D79" s="132">
        <f t="shared" ref="D79:K79" si="439">+D78/D68</f>
        <v>0.75379945799457981</v>
      </c>
      <c r="E79" s="132">
        <f t="shared" si="439"/>
        <v>0.76138707957627305</v>
      </c>
      <c r="F79" s="197">
        <f t="shared" si="439"/>
        <v>0.74486765931084575</v>
      </c>
      <c r="G79" s="197">
        <f t="shared" si="439"/>
        <v>0.7593197746914907</v>
      </c>
      <c r="H79" s="130"/>
      <c r="I79" s="197">
        <f t="shared" si="439"/>
        <v>0.74296034644475051</v>
      </c>
      <c r="J79" s="197">
        <f t="shared" si="439"/>
        <v>0.81230946882217092</v>
      </c>
      <c r="K79" s="197">
        <f t="shared" si="439"/>
        <v>1.076136161112101</v>
      </c>
      <c r="L79" s="346">
        <v>0.84</v>
      </c>
      <c r="M79" s="255"/>
      <c r="N79" s="346">
        <v>0.77900000000000003</v>
      </c>
      <c r="O79" s="346">
        <v>0.78500000000000003</v>
      </c>
      <c r="P79" s="346">
        <v>0.76600000000000001</v>
      </c>
      <c r="Q79" s="346">
        <v>0.76300000000000001</v>
      </c>
      <c r="R79" s="255"/>
      <c r="S79" s="346">
        <v>0.77900000000000003</v>
      </c>
      <c r="T79" s="346">
        <v>0.78500000000000003</v>
      </c>
      <c r="U79" s="346">
        <v>0.76600000000000001</v>
      </c>
      <c r="V79" s="346">
        <v>0.76300000000000001</v>
      </c>
      <c r="W79" s="255"/>
      <c r="X79" s="346">
        <v>0.77900000000000003</v>
      </c>
      <c r="Y79" s="346">
        <v>0.78500000000000003</v>
      </c>
      <c r="Z79" s="346">
        <v>0.76600000000000001</v>
      </c>
      <c r="AA79" s="346">
        <v>0.76300000000000001</v>
      </c>
      <c r="AB79" s="255"/>
      <c r="AC79" s="346">
        <v>0.77900000000000003</v>
      </c>
      <c r="AD79" s="346">
        <v>0.78500000000000003</v>
      </c>
      <c r="AE79" s="346">
        <v>0.76600000000000001</v>
      </c>
      <c r="AF79" s="346">
        <v>0.76300000000000001</v>
      </c>
      <c r="AG79" s="255"/>
      <c r="AH79" s="346">
        <v>0.77900000000000003</v>
      </c>
      <c r="AI79" s="346">
        <v>0.78500000000000003</v>
      </c>
      <c r="AJ79" s="346">
        <v>0.76600000000000001</v>
      </c>
      <c r="AK79" s="346">
        <v>0.76300000000000001</v>
      </c>
      <c r="AL79" s="255"/>
    </row>
    <row r="80" spans="1:38" ht="19" x14ac:dyDescent="0.35">
      <c r="A80" s="167"/>
      <c r="B80" s="417" t="s">
        <v>259</v>
      </c>
      <c r="C80" s="436"/>
      <c r="D80" s="23" t="s">
        <v>72</v>
      </c>
      <c r="E80" s="23" t="s">
        <v>212</v>
      </c>
      <c r="F80" s="23" t="s">
        <v>216</v>
      </c>
      <c r="G80" s="23" t="s">
        <v>226</v>
      </c>
      <c r="H80" s="78" t="s">
        <v>227</v>
      </c>
      <c r="I80" s="23" t="s">
        <v>228</v>
      </c>
      <c r="J80" s="23" t="s">
        <v>229</v>
      </c>
      <c r="K80" s="23" t="s">
        <v>230</v>
      </c>
      <c r="L80" s="21" t="s">
        <v>90</v>
      </c>
      <c r="M80" s="80" t="s">
        <v>91</v>
      </c>
      <c r="N80" s="21" t="s">
        <v>92</v>
      </c>
      <c r="O80" s="21" t="s">
        <v>93</v>
      </c>
      <c r="P80" s="21" t="s">
        <v>94</v>
      </c>
      <c r="Q80" s="21" t="s">
        <v>95</v>
      </c>
      <c r="R80" s="80" t="s">
        <v>96</v>
      </c>
      <c r="S80" s="21" t="s">
        <v>97</v>
      </c>
      <c r="T80" s="21" t="s">
        <v>98</v>
      </c>
      <c r="U80" s="21" t="s">
        <v>99</v>
      </c>
      <c r="V80" s="21" t="s">
        <v>100</v>
      </c>
      <c r="W80" s="80" t="s">
        <v>101</v>
      </c>
      <c r="X80" s="21" t="s">
        <v>102</v>
      </c>
      <c r="Y80" s="21" t="s">
        <v>103</v>
      </c>
      <c r="Z80" s="21" t="s">
        <v>104</v>
      </c>
      <c r="AA80" s="21" t="s">
        <v>105</v>
      </c>
      <c r="AB80" s="80" t="s">
        <v>106</v>
      </c>
      <c r="AC80" s="21" t="s">
        <v>221</v>
      </c>
      <c r="AD80" s="21" t="s">
        <v>222</v>
      </c>
      <c r="AE80" s="21" t="s">
        <v>223</v>
      </c>
      <c r="AF80" s="21" t="s">
        <v>224</v>
      </c>
      <c r="AG80" s="80" t="s">
        <v>225</v>
      </c>
      <c r="AH80" s="21" t="s">
        <v>254</v>
      </c>
      <c r="AI80" s="21" t="s">
        <v>255</v>
      </c>
      <c r="AJ80" s="21" t="s">
        <v>256</v>
      </c>
      <c r="AK80" s="21" t="s">
        <v>257</v>
      </c>
      <c r="AL80" s="80" t="s">
        <v>258</v>
      </c>
    </row>
    <row r="81" spans="1:38" s="13" customFormat="1" outlineLevel="1" x14ac:dyDescent="0.2">
      <c r="A81" s="182"/>
      <c r="B81" s="430" t="s">
        <v>260</v>
      </c>
      <c r="C81" s="431"/>
      <c r="D81" s="32">
        <v>5839</v>
      </c>
      <c r="E81" s="32">
        <v>5879</v>
      </c>
      <c r="F81" s="199">
        <v>5646</v>
      </c>
      <c r="G81" s="32">
        <v>5860</v>
      </c>
      <c r="H81" s="107"/>
      <c r="I81" s="32">
        <v>6059</v>
      </c>
      <c r="J81" s="32">
        <v>6137</v>
      </c>
      <c r="K81" s="32">
        <v>6254</v>
      </c>
      <c r="L81" s="199">
        <f>K81+L82</f>
        <v>6429</v>
      </c>
      <c r="M81" s="301"/>
      <c r="N81" s="199">
        <f>L81+N82</f>
        <v>6529</v>
      </c>
      <c r="O81" s="199">
        <f t="shared" ref="O81" si="440">N81+O82</f>
        <v>6629</v>
      </c>
      <c r="P81" s="199">
        <f t="shared" ref="P81" si="441">O81+P82</f>
        <v>6729</v>
      </c>
      <c r="Q81" s="199">
        <f t="shared" ref="Q81" si="442">P81+Q82</f>
        <v>6829</v>
      </c>
      <c r="R81" s="301"/>
      <c r="S81" s="199">
        <f>Q81+S82</f>
        <v>6929</v>
      </c>
      <c r="T81" s="199">
        <f t="shared" ref="T81" si="443">S81+T82</f>
        <v>7029</v>
      </c>
      <c r="U81" s="199">
        <f t="shared" ref="U81" si="444">T81+U82</f>
        <v>7129</v>
      </c>
      <c r="V81" s="199">
        <f t="shared" ref="V81" si="445">U81+V82</f>
        <v>7229</v>
      </c>
      <c r="W81" s="301"/>
      <c r="X81" s="199">
        <f>V81+X82</f>
        <v>7329</v>
      </c>
      <c r="Y81" s="199">
        <f t="shared" ref="Y81" si="446">X81+Y82</f>
        <v>7429</v>
      </c>
      <c r="Z81" s="199">
        <f t="shared" ref="Z81" si="447">Y81+Z82</f>
        <v>7529</v>
      </c>
      <c r="AA81" s="199">
        <f t="shared" ref="AA81" si="448">Z81+AA82</f>
        <v>7629</v>
      </c>
      <c r="AB81" s="301"/>
      <c r="AC81" s="199">
        <f>AA81+AC82</f>
        <v>7729</v>
      </c>
      <c r="AD81" s="199">
        <f t="shared" ref="AD81" si="449">AC81+AD82</f>
        <v>7829</v>
      </c>
      <c r="AE81" s="199">
        <f t="shared" ref="AE81" si="450">AD81+AE82</f>
        <v>7929</v>
      </c>
      <c r="AF81" s="199">
        <f t="shared" ref="AF81" si="451">AE81+AF82</f>
        <v>8029</v>
      </c>
      <c r="AG81" s="301"/>
      <c r="AH81" s="199">
        <f>AF81+AH82</f>
        <v>8129</v>
      </c>
      <c r="AI81" s="199">
        <f t="shared" ref="AI81" si="452">AH81+AI82</f>
        <v>8229</v>
      </c>
      <c r="AJ81" s="199">
        <f t="shared" ref="AJ81" si="453">AI81+AJ82</f>
        <v>8329</v>
      </c>
      <c r="AK81" s="199">
        <f t="shared" ref="AK81" si="454">AJ81+AK82</f>
        <v>8429</v>
      </c>
      <c r="AL81" s="301"/>
    </row>
    <row r="82" spans="1:38" outlineLevel="1" x14ac:dyDescent="0.2">
      <c r="A82" s="167"/>
      <c r="B82" s="36" t="s">
        <v>124</v>
      </c>
      <c r="C82" s="61"/>
      <c r="D82" s="25">
        <f>+D81-5651</f>
        <v>188</v>
      </c>
      <c r="E82" s="169">
        <f>+E81-D81</f>
        <v>40</v>
      </c>
      <c r="F82" s="169">
        <f t="shared" ref="F82:G82" si="455">+F81-E81</f>
        <v>-233</v>
      </c>
      <c r="G82" s="169">
        <f t="shared" si="455"/>
        <v>214</v>
      </c>
      <c r="H82" s="207">
        <f>+SUM(D82:G82)</f>
        <v>209</v>
      </c>
      <c r="I82" s="169">
        <f>+I81-G81</f>
        <v>199</v>
      </c>
      <c r="J82" s="169">
        <f t="shared" ref="J82:K82" si="456">+J81-I81</f>
        <v>78</v>
      </c>
      <c r="K82" s="169">
        <f t="shared" si="456"/>
        <v>117</v>
      </c>
      <c r="L82" s="336">
        <v>175</v>
      </c>
      <c r="M82" s="207">
        <f>+SUM(I82:L82)</f>
        <v>569</v>
      </c>
      <c r="N82" s="336">
        <v>100</v>
      </c>
      <c r="O82" s="336">
        <v>100</v>
      </c>
      <c r="P82" s="336">
        <v>100</v>
      </c>
      <c r="Q82" s="336">
        <v>100</v>
      </c>
      <c r="R82" s="207">
        <f>+SUM(N82:Q82)</f>
        <v>400</v>
      </c>
      <c r="S82" s="336">
        <f>AVERAGE(N82,O82,P82,Q82)</f>
        <v>100</v>
      </c>
      <c r="T82" s="336">
        <f>AVERAGE(O82,P82,Q82,S82)</f>
        <v>100</v>
      </c>
      <c r="U82" s="336">
        <f>AVERAGE(P82,Q82,T82,S82)</f>
        <v>100</v>
      </c>
      <c r="V82" s="336">
        <f>AVERAGE(Q82,U82,S82,T82)</f>
        <v>100</v>
      </c>
      <c r="W82" s="207">
        <f>+SUM(S82:V82)</f>
        <v>400</v>
      </c>
      <c r="X82" s="336">
        <f>AVERAGE(S82,T82,U82,V82)</f>
        <v>100</v>
      </c>
      <c r="Y82" s="336">
        <f>AVERAGE(T82,U82,V82,X82)</f>
        <v>100</v>
      </c>
      <c r="Z82" s="336">
        <f>AVERAGE(U82,V82,Y82,X82)</f>
        <v>100</v>
      </c>
      <c r="AA82" s="336">
        <f>AVERAGE(V82,Z82,X82,Y82)</f>
        <v>100</v>
      </c>
      <c r="AB82" s="207">
        <f>+SUM(X82:AA82)</f>
        <v>400</v>
      </c>
      <c r="AC82" s="336">
        <f>AVERAGE(X82,Y82,Z82,AA82)</f>
        <v>100</v>
      </c>
      <c r="AD82" s="336">
        <f>AVERAGE(Y82,Z82,AA82,AC82)</f>
        <v>100</v>
      </c>
      <c r="AE82" s="336">
        <f>AVERAGE(Z82,AA82,AD82,AC82)</f>
        <v>100</v>
      </c>
      <c r="AF82" s="336">
        <f>AVERAGE(AA82,AE82,AC82,AD82)</f>
        <v>100</v>
      </c>
      <c r="AG82" s="207">
        <f>+SUM(AC82:AF82)</f>
        <v>400</v>
      </c>
      <c r="AH82" s="336">
        <f>AVERAGE(AC82,AD82,AE82,AF82)</f>
        <v>100</v>
      </c>
      <c r="AI82" s="336">
        <f>AVERAGE(AD82,AE82,AF82,AH82)</f>
        <v>100</v>
      </c>
      <c r="AJ82" s="336">
        <f>AVERAGE(AE82,AF82,AI82,AH82)</f>
        <v>100</v>
      </c>
      <c r="AK82" s="336">
        <f>AVERAGE(AF82,AJ82,AH82,AI82)</f>
        <v>100</v>
      </c>
      <c r="AL82" s="207">
        <f>+SUM(AH82:AK82)</f>
        <v>400</v>
      </c>
    </row>
    <row r="83" spans="1:38" s="110" customFormat="1" outlineLevel="1" x14ac:dyDescent="0.2">
      <c r="A83" s="186"/>
      <c r="B83" s="111" t="s">
        <v>125</v>
      </c>
      <c r="C83" s="112"/>
      <c r="D83" s="206">
        <v>5186</v>
      </c>
      <c r="E83" s="206">
        <v>5313</v>
      </c>
      <c r="F83" s="206">
        <v>5476</v>
      </c>
      <c r="G83" s="206">
        <v>5651</v>
      </c>
      <c r="H83" s="246"/>
      <c r="I83" s="206">
        <f>D81</f>
        <v>5839</v>
      </c>
      <c r="J83" s="206">
        <f>E81</f>
        <v>5879</v>
      </c>
      <c r="K83" s="206">
        <f>F81</f>
        <v>5646</v>
      </c>
      <c r="L83" s="114">
        <f>G81</f>
        <v>5860</v>
      </c>
      <c r="M83" s="246"/>
      <c r="N83" s="114">
        <f t="shared" ref="N83" si="457">I81</f>
        <v>6059</v>
      </c>
      <c r="O83" s="114">
        <f t="shared" ref="O83" si="458">J81</f>
        <v>6137</v>
      </c>
      <c r="P83" s="114">
        <f t="shared" ref="P83" si="459">K81</f>
        <v>6254</v>
      </c>
      <c r="Q83" s="114">
        <f t="shared" ref="Q83" si="460">L81</f>
        <v>6429</v>
      </c>
      <c r="R83" s="246"/>
      <c r="S83" s="114">
        <f t="shared" ref="S83" si="461">N81</f>
        <v>6529</v>
      </c>
      <c r="T83" s="114">
        <f t="shared" ref="T83" si="462">O81</f>
        <v>6629</v>
      </c>
      <c r="U83" s="114">
        <f t="shared" ref="U83" si="463">P81</f>
        <v>6729</v>
      </c>
      <c r="V83" s="114">
        <f t="shared" ref="V83" si="464">Q81</f>
        <v>6829</v>
      </c>
      <c r="W83" s="246"/>
      <c r="X83" s="114">
        <f t="shared" ref="X83" si="465">S81</f>
        <v>6929</v>
      </c>
      <c r="Y83" s="114">
        <f t="shared" ref="Y83" si="466">T81</f>
        <v>7029</v>
      </c>
      <c r="Z83" s="114">
        <f t="shared" ref="Z83" si="467">U81</f>
        <v>7129</v>
      </c>
      <c r="AA83" s="114">
        <f t="shared" ref="AA83" si="468">V81</f>
        <v>7229</v>
      </c>
      <c r="AB83" s="246"/>
      <c r="AC83" s="114">
        <f t="shared" ref="AC83" si="469">X81</f>
        <v>7329</v>
      </c>
      <c r="AD83" s="114">
        <f t="shared" ref="AD83" si="470">Y81</f>
        <v>7429</v>
      </c>
      <c r="AE83" s="114">
        <f t="shared" ref="AE83" si="471">Z81</f>
        <v>7529</v>
      </c>
      <c r="AF83" s="114">
        <f t="shared" ref="AF83" si="472">AA81</f>
        <v>7629</v>
      </c>
      <c r="AG83" s="246"/>
      <c r="AH83" s="114">
        <f t="shared" ref="AH83" si="473">AC81</f>
        <v>7729</v>
      </c>
      <c r="AI83" s="114">
        <f t="shared" ref="AI83" si="474">AD81</f>
        <v>7829</v>
      </c>
      <c r="AJ83" s="114">
        <f t="shared" ref="AJ83" si="475">AE81</f>
        <v>7929</v>
      </c>
      <c r="AK83" s="114">
        <f t="shared" ref="AK83" si="476">AF81</f>
        <v>8029</v>
      </c>
      <c r="AL83" s="246"/>
    </row>
    <row r="84" spans="1:38" s="110" customFormat="1" outlineLevel="1" x14ac:dyDescent="0.2">
      <c r="A84" s="186"/>
      <c r="B84" s="111" t="s">
        <v>126</v>
      </c>
      <c r="C84" s="112"/>
      <c r="D84" s="116">
        <v>0.17928494231648628</v>
      </c>
      <c r="E84" s="116">
        <v>0.15524456521739133</v>
      </c>
      <c r="F84" s="116">
        <v>0.16818750000000002</v>
      </c>
      <c r="G84" s="116">
        <f>AVERAGE(D84,E84,F84)</f>
        <v>0.16757233584462586</v>
      </c>
      <c r="H84" s="115"/>
      <c r="I84" s="116">
        <f>+D84*(1+I87)</f>
        <v>0.18107779173965116</v>
      </c>
      <c r="J84" s="116">
        <f>+E84*(1+J87)</f>
        <v>0.10711875000000001</v>
      </c>
      <c r="K84" s="116">
        <f t="shared" ref="K84" si="477">+F84*(1+K87)</f>
        <v>0.10595812500000001</v>
      </c>
      <c r="L84" s="116">
        <f t="shared" ref="L84" si="478">+G84*(1+L87)</f>
        <v>0.14913937890171702</v>
      </c>
      <c r="M84" s="283"/>
      <c r="N84" s="116">
        <f t="shared" ref="N84" si="479">+I84*(1+N87)</f>
        <v>0.18288856965704767</v>
      </c>
      <c r="O84" s="116">
        <f t="shared" ref="O84" si="480">+J84*(1+O87)</f>
        <v>0.1231865625</v>
      </c>
      <c r="P84" s="116">
        <f t="shared" ref="P84" si="481">+K84*(1+P87)</f>
        <v>0.15363928125000001</v>
      </c>
      <c r="Q84" s="116">
        <f t="shared" ref="Q84" si="482">+L84*(1+Q87)</f>
        <v>0.16405331679188873</v>
      </c>
      <c r="R84" s="246"/>
      <c r="S84" s="116">
        <f t="shared" ref="S84" si="483">+N84*(1+S87)</f>
        <v>0.18837522674675911</v>
      </c>
      <c r="T84" s="116">
        <f t="shared" ref="T84" si="484">+O84*(1+T87)</f>
        <v>0.126882159375</v>
      </c>
      <c r="U84" s="116">
        <f t="shared" ref="U84" si="485">+P84*(1+U87)</f>
        <v>0.15824845968750001</v>
      </c>
      <c r="V84" s="116">
        <f t="shared" ref="V84" si="486">+Q84*(1+V87)</f>
        <v>0.1689749162956454</v>
      </c>
      <c r="W84" s="246"/>
      <c r="X84" s="116">
        <f t="shared" ref="X84" si="487">+S84*(1+X87)</f>
        <v>0.19402648354916188</v>
      </c>
      <c r="Y84" s="116">
        <f t="shared" ref="Y84" si="488">+T84*(1+Y87)</f>
        <v>0.13068862415624999</v>
      </c>
      <c r="Z84" s="116">
        <f t="shared" ref="Z84" si="489">+U84*(1+Z87)</f>
        <v>0.162995913478125</v>
      </c>
      <c r="AA84" s="116">
        <f t="shared" ref="AA84" si="490">+V84*(1+AA87)</f>
        <v>0.17404416378451476</v>
      </c>
      <c r="AB84" s="246"/>
      <c r="AC84" s="116">
        <f t="shared" ref="AC84" si="491">+X84*(1+AC87)</f>
        <v>0.19984727805563673</v>
      </c>
      <c r="AD84" s="116">
        <f t="shared" ref="AD84" si="492">+Y84*(1+AD87)</f>
        <v>0.13460928288093749</v>
      </c>
      <c r="AE84" s="116">
        <f t="shared" ref="AE84" si="493">+Z84*(1+AE87)</f>
        <v>0.16788579088246877</v>
      </c>
      <c r="AF84" s="116">
        <f t="shared" ref="AF84" si="494">+AA84*(1+AF87)</f>
        <v>0.1792654886980502</v>
      </c>
      <c r="AG84" s="246"/>
      <c r="AH84" s="116">
        <f t="shared" ref="AH84" si="495">+AC84*(1+AH87)</f>
        <v>0.20584269639730585</v>
      </c>
      <c r="AI84" s="116">
        <f t="shared" ref="AI84" si="496">+AD84*(1+AI87)</f>
        <v>0.13864756136736561</v>
      </c>
      <c r="AJ84" s="116">
        <f t="shared" ref="AJ84" si="497">+AE84*(1+AJ87)</f>
        <v>0.17292236460894284</v>
      </c>
      <c r="AK84" s="116">
        <f t="shared" ref="AK84" si="498">+AF84*(1+AK87)</f>
        <v>0.18464345335899171</v>
      </c>
      <c r="AL84" s="246"/>
    </row>
    <row r="85" spans="1:38" outlineLevel="1" x14ac:dyDescent="0.2">
      <c r="A85" s="167"/>
      <c r="B85" s="36" t="s">
        <v>122</v>
      </c>
      <c r="C85" s="98"/>
      <c r="D85" s="201">
        <v>0.01</v>
      </c>
      <c r="E85" s="201">
        <v>0</v>
      </c>
      <c r="F85" s="201">
        <v>0.01</v>
      </c>
      <c r="G85" s="201">
        <v>0.01</v>
      </c>
      <c r="H85" s="236"/>
      <c r="I85" s="201">
        <v>-0.01</v>
      </c>
      <c r="J85" s="201">
        <v>-0.32</v>
      </c>
      <c r="K85" s="201">
        <v>-0.44</v>
      </c>
      <c r="L85" s="201"/>
      <c r="M85" s="236"/>
      <c r="N85" s="201"/>
      <c r="O85" s="201"/>
      <c r="P85" s="201"/>
      <c r="Q85" s="201"/>
      <c r="R85" s="236"/>
      <c r="S85" s="201"/>
      <c r="T85" s="201"/>
      <c r="U85" s="201"/>
      <c r="V85" s="201"/>
      <c r="W85" s="236"/>
      <c r="X85" s="201"/>
      <c r="Y85" s="201"/>
      <c r="Z85" s="201"/>
      <c r="AA85" s="201"/>
      <c r="AB85" s="236"/>
      <c r="AC85" s="201"/>
      <c r="AD85" s="201"/>
      <c r="AE85" s="201"/>
      <c r="AF85" s="201"/>
      <c r="AG85" s="236"/>
      <c r="AH85" s="201"/>
      <c r="AI85" s="201"/>
      <c r="AJ85" s="201"/>
      <c r="AK85" s="201"/>
      <c r="AL85" s="236"/>
    </row>
    <row r="86" spans="1:38" outlineLevel="1" x14ac:dyDescent="0.2">
      <c r="A86" s="167"/>
      <c r="B86" s="36" t="s">
        <v>121</v>
      </c>
      <c r="C86" s="98"/>
      <c r="D86" s="297">
        <v>0.01</v>
      </c>
      <c r="E86" s="297">
        <v>0.02</v>
      </c>
      <c r="F86" s="297">
        <v>0.03</v>
      </c>
      <c r="G86" s="297">
        <v>0.03</v>
      </c>
      <c r="H86" s="284"/>
      <c r="I86" s="297">
        <v>0.02</v>
      </c>
      <c r="J86" s="297">
        <v>0.01</v>
      </c>
      <c r="K86" s="297">
        <v>0.13</v>
      </c>
      <c r="L86" s="297"/>
      <c r="M86" s="284"/>
      <c r="N86" s="297"/>
      <c r="O86" s="297"/>
      <c r="P86" s="297"/>
      <c r="Q86" s="297"/>
      <c r="R86" s="284"/>
      <c r="S86" s="297"/>
      <c r="T86" s="297"/>
      <c r="U86" s="297"/>
      <c r="V86" s="297"/>
      <c r="W86" s="284"/>
      <c r="X86" s="297"/>
      <c r="Y86" s="297"/>
      <c r="Z86" s="297"/>
      <c r="AA86" s="297"/>
      <c r="AB86" s="284"/>
      <c r="AC86" s="297"/>
      <c r="AD86" s="297"/>
      <c r="AE86" s="297"/>
      <c r="AF86" s="297"/>
      <c r="AG86" s="284"/>
      <c r="AH86" s="297"/>
      <c r="AI86" s="297"/>
      <c r="AJ86" s="297"/>
      <c r="AK86" s="297"/>
      <c r="AL86" s="284"/>
    </row>
    <row r="87" spans="1:38" s="13" customFormat="1" outlineLevel="1" x14ac:dyDescent="0.2">
      <c r="A87" s="182"/>
      <c r="B87" s="71" t="s">
        <v>123</v>
      </c>
      <c r="C87" s="63"/>
      <c r="D87" s="298">
        <v>0.02</v>
      </c>
      <c r="E87" s="298">
        <v>0.02</v>
      </c>
      <c r="F87" s="299">
        <v>0.05</v>
      </c>
      <c r="G87" s="298">
        <v>0.03</v>
      </c>
      <c r="H87" s="254"/>
      <c r="I87" s="298">
        <v>0.01</v>
      </c>
      <c r="J87" s="298">
        <v>-0.31</v>
      </c>
      <c r="K87" s="298">
        <v>-0.37</v>
      </c>
      <c r="L87" s="337">
        <v>-0.11</v>
      </c>
      <c r="M87" s="285"/>
      <c r="N87" s="337">
        <v>0.01</v>
      </c>
      <c r="O87" s="338">
        <v>0.15</v>
      </c>
      <c r="P87" s="338">
        <v>0.45</v>
      </c>
      <c r="Q87" s="338">
        <v>0.1</v>
      </c>
      <c r="R87" s="254"/>
      <c r="S87" s="337">
        <v>0.03</v>
      </c>
      <c r="T87" s="337">
        <v>0.03</v>
      </c>
      <c r="U87" s="337">
        <v>0.03</v>
      </c>
      <c r="V87" s="337">
        <v>0.03</v>
      </c>
      <c r="W87" s="254"/>
      <c r="X87" s="337">
        <v>0.03</v>
      </c>
      <c r="Y87" s="337">
        <v>0.03</v>
      </c>
      <c r="Z87" s="337">
        <v>0.03</v>
      </c>
      <c r="AA87" s="337">
        <v>0.03</v>
      </c>
      <c r="AB87" s="254"/>
      <c r="AC87" s="337">
        <v>0.03</v>
      </c>
      <c r="AD87" s="337">
        <v>0.03</v>
      </c>
      <c r="AE87" s="337">
        <v>0.03</v>
      </c>
      <c r="AF87" s="337">
        <v>0.03</v>
      </c>
      <c r="AG87" s="254"/>
      <c r="AH87" s="337">
        <v>0.03</v>
      </c>
      <c r="AI87" s="337">
        <v>0.03</v>
      </c>
      <c r="AJ87" s="337">
        <v>0.03</v>
      </c>
      <c r="AK87" s="337">
        <v>0.03</v>
      </c>
      <c r="AL87" s="254"/>
    </row>
    <row r="88" spans="1:38" ht="18" outlineLevel="1" x14ac:dyDescent="0.35">
      <c r="A88" s="167"/>
      <c r="B88" s="99" t="s">
        <v>155</v>
      </c>
      <c r="C88" s="98"/>
      <c r="D88" s="51">
        <v>348</v>
      </c>
      <c r="E88" s="51">
        <v>485</v>
      </c>
      <c r="F88" s="51">
        <v>432</v>
      </c>
      <c r="G88" s="51">
        <v>369</v>
      </c>
      <c r="H88" s="11"/>
      <c r="I88" s="51">
        <v>252</v>
      </c>
      <c r="J88" s="51">
        <v>272.5</v>
      </c>
      <c r="K88" s="51">
        <v>277.625</v>
      </c>
      <c r="L88" s="51">
        <v>267</v>
      </c>
      <c r="M88" s="250"/>
      <c r="N88" s="336">
        <f t="shared" ref="N88" si="499">AVERAGE(I88,J88,K88,L88)</f>
        <v>267.28125</v>
      </c>
      <c r="O88" s="336">
        <f t="shared" ref="O88" si="500">AVERAGE(J88,K88,L88,M88)</f>
        <v>272.375</v>
      </c>
      <c r="P88" s="336">
        <f t="shared" ref="P88" si="501">AVERAGE(K88,L88,M88,N88)</f>
        <v>270.63541666666669</v>
      </c>
      <c r="Q88" s="336">
        <f t="shared" ref="Q88" si="502">AVERAGE(L88,M88,N88,O88)</f>
        <v>268.88541666666669</v>
      </c>
      <c r="R88" s="250"/>
      <c r="S88" s="336">
        <f t="shared" ref="S88" si="503">AVERAGE(N88,O88,P88,Q88)</f>
        <v>269.79427083333337</v>
      </c>
      <c r="T88" s="336">
        <f t="shared" ref="T88" si="504">AVERAGE(O88,P88,Q88,R88)</f>
        <v>270.63194444444451</v>
      </c>
      <c r="U88" s="336">
        <f t="shared" ref="U88" si="505">AVERAGE(P88,Q88,R88,S88)</f>
        <v>269.77170138888891</v>
      </c>
      <c r="V88" s="336">
        <f t="shared" ref="V88" si="506">AVERAGE(Q88,R88,S88,T88)</f>
        <v>269.77054398148152</v>
      </c>
      <c r="W88" s="250"/>
      <c r="X88" s="336">
        <f t="shared" ref="X88" si="507">AVERAGE(S88,T88,U88,V88)</f>
        <v>269.99211516203707</v>
      </c>
      <c r="Y88" s="336">
        <f t="shared" ref="Y88" si="508">AVERAGE(T88,U88,V88,W88)</f>
        <v>270.05806327160502</v>
      </c>
      <c r="Z88" s="336">
        <f t="shared" ref="Z88" si="509">AVERAGE(U88,V88,W88,X88)</f>
        <v>269.84478684413585</v>
      </c>
      <c r="AA88" s="336">
        <f t="shared" ref="AA88" si="510">AVERAGE(V88,W88,X88,Y88)</f>
        <v>269.94024080504119</v>
      </c>
      <c r="AB88" s="250"/>
      <c r="AC88" s="336">
        <f t="shared" ref="AC88" si="511">AVERAGE(X88,Y88,Z88,AA88)</f>
        <v>269.95880152070475</v>
      </c>
      <c r="AD88" s="336">
        <f t="shared" ref="AD88" si="512">AVERAGE(Y88,Z88,AA88,AB88)</f>
        <v>269.94769697359402</v>
      </c>
      <c r="AE88" s="336">
        <f t="shared" ref="AE88" si="513">AVERAGE(Z88,AA88,AB88,AC88)</f>
        <v>269.91460972329395</v>
      </c>
      <c r="AF88" s="336">
        <f t="shared" ref="AF88" si="514">AVERAGE(AA88,AB88,AC88,AD88)</f>
        <v>269.94891309977999</v>
      </c>
      <c r="AG88" s="250"/>
      <c r="AH88" s="336">
        <f t="shared" ref="AH88" si="515">AVERAGE(AC88,AD88,AE88,AF88)</f>
        <v>269.94250532934319</v>
      </c>
      <c r="AI88" s="336">
        <f t="shared" ref="AI88" si="516">AVERAGE(AD88,AE88,AF88,AG88)</f>
        <v>269.93707326555597</v>
      </c>
      <c r="AJ88" s="336">
        <f t="shared" ref="AJ88" si="517">AVERAGE(AE88,AF88,AG88,AH88)</f>
        <v>269.93534271747239</v>
      </c>
      <c r="AK88" s="336">
        <f t="shared" ref="AK88" si="518">AVERAGE(AF88,AG88,AH88,AI88)</f>
        <v>269.94283056489303</v>
      </c>
      <c r="AL88" s="250"/>
    </row>
    <row r="89" spans="1:38" s="13" customFormat="1" outlineLevel="1" x14ac:dyDescent="0.2">
      <c r="A89" s="182"/>
      <c r="B89" s="428" t="s">
        <v>261</v>
      </c>
      <c r="C89" s="429"/>
      <c r="D89" s="104">
        <v>1278.0999999999999</v>
      </c>
      <c r="E89" s="104">
        <v>1309.4000000000001</v>
      </c>
      <c r="F89" s="172">
        <v>1352.8</v>
      </c>
      <c r="G89" s="104">
        <v>1315.9</v>
      </c>
      <c r="H89" s="109"/>
      <c r="I89" s="104">
        <v>1309.7</v>
      </c>
      <c r="J89" s="104">
        <v>902.4</v>
      </c>
      <c r="K89" s="172">
        <v>875.5</v>
      </c>
      <c r="L89" s="172">
        <f>(L83*L84)+L88</f>
        <v>1140.9567603640617</v>
      </c>
      <c r="M89" s="252"/>
      <c r="N89" s="172">
        <f t="shared" ref="N89" si="519">(N83*N84)+N88</f>
        <v>1375.4030935520518</v>
      </c>
      <c r="O89" s="172">
        <f t="shared" ref="O89" si="520">(O83*O84)+O88</f>
        <v>1028.3709340625001</v>
      </c>
      <c r="P89" s="172">
        <f t="shared" ref="P89" si="521">(P83*P84)+P88</f>
        <v>1231.4954816041668</v>
      </c>
      <c r="Q89" s="172">
        <f t="shared" ref="Q89" si="522">(Q83*Q84)+Q88</f>
        <v>1323.5841903217195</v>
      </c>
      <c r="R89" s="252"/>
      <c r="S89" s="172">
        <f t="shared" ref="S89" si="523">(S83*S84)+S88</f>
        <v>1499.6961262629234</v>
      </c>
      <c r="T89" s="172">
        <f t="shared" ref="T89" si="524">(T83*T84)+T88</f>
        <v>1111.7337789413195</v>
      </c>
      <c r="U89" s="172">
        <f t="shared" ref="U89" si="525">(U83*U84)+U88</f>
        <v>1334.6255866260765</v>
      </c>
      <c r="V89" s="172">
        <f t="shared" ref="V89" si="526">(V83*V84)+V88</f>
        <v>1423.7002473644441</v>
      </c>
      <c r="W89" s="252"/>
      <c r="X89" s="172">
        <f t="shared" ref="X89" si="527">(X83*X84)+X88</f>
        <v>1614.4016196741795</v>
      </c>
      <c r="Y89" s="172">
        <f t="shared" ref="Y89" si="528">(Y83*Y84)+Y88</f>
        <v>1188.6684024658862</v>
      </c>
      <c r="Z89" s="172">
        <f t="shared" ref="Z89" si="529">(Z83*Z84)+Z88</f>
        <v>1431.8426540296889</v>
      </c>
      <c r="AA89" s="172">
        <f t="shared" ref="AA89" si="530">(AA83*AA84)+AA88</f>
        <v>1528.1055008032984</v>
      </c>
      <c r="AB89" s="252"/>
      <c r="AC89" s="172">
        <f t="shared" ref="AC89" si="531">(AC83*AC84)+AC88</f>
        <v>1734.6395023904665</v>
      </c>
      <c r="AD89" s="172">
        <f t="shared" ref="AD89" si="532">(AD83*AD84)+AD88</f>
        <v>1269.9600594960787</v>
      </c>
      <c r="AE89" s="172">
        <f t="shared" ref="AE89" si="533">(AE83*AE84)+AE88</f>
        <v>1533.9267292774014</v>
      </c>
      <c r="AF89" s="172">
        <f t="shared" ref="AF89" si="534">(AF83*AF84)+AF88</f>
        <v>1637.5653263772049</v>
      </c>
      <c r="AG89" s="252"/>
      <c r="AH89" s="172">
        <f t="shared" ref="AH89" si="535">(AH83*AH84)+AH88</f>
        <v>1860.9007057841202</v>
      </c>
      <c r="AI89" s="172">
        <f t="shared" ref="AI89" si="536">(AI83*AI84)+AI88</f>
        <v>1355.4088312106612</v>
      </c>
      <c r="AJ89" s="172">
        <f t="shared" ref="AJ89" si="537">(AJ83*AJ84)+AJ88</f>
        <v>1641.03677170178</v>
      </c>
      <c r="AK89" s="172">
        <f t="shared" ref="AK89" si="538">(AK83*AK84)+AK88</f>
        <v>1752.4451175842376</v>
      </c>
      <c r="AL89" s="252"/>
    </row>
    <row r="90" spans="1:38" s="13" customFormat="1" outlineLevel="1" x14ac:dyDescent="0.2">
      <c r="A90" s="182"/>
      <c r="B90" s="117" t="s">
        <v>129</v>
      </c>
      <c r="C90" s="63"/>
      <c r="D90" s="121">
        <f t="shared" ref="D90" si="539">+D89/D81</f>
        <v>0.21889022092824112</v>
      </c>
      <c r="E90" s="121">
        <f t="shared" ref="E90" si="540">+E89/E81</f>
        <v>0.22272495322333732</v>
      </c>
      <c r="F90" s="202">
        <f t="shared" ref="F90" si="541">+F89/F81</f>
        <v>0.23960325894438539</v>
      </c>
      <c r="G90" s="121">
        <f t="shared" ref="G90" si="542">+G89/G81</f>
        <v>0.22455631399317408</v>
      </c>
      <c r="H90" s="109"/>
      <c r="I90" s="121">
        <f t="shared" ref="I90" si="543">+I89/I81</f>
        <v>0.21615778181218023</v>
      </c>
      <c r="J90" s="121">
        <f t="shared" ref="J90" si="544">+J89/J81</f>
        <v>0.14704252892292652</v>
      </c>
      <c r="K90" s="121">
        <f t="shared" ref="K90:L90" si="545">+K89/K81</f>
        <v>0.13999040614007036</v>
      </c>
      <c r="L90" s="121">
        <f t="shared" si="545"/>
        <v>0.17747033136787396</v>
      </c>
      <c r="M90" s="314"/>
      <c r="N90" s="121">
        <f t="shared" ref="N90:Q90" si="546">+N89/N81</f>
        <v>0.21066060553714991</v>
      </c>
      <c r="O90" s="121">
        <f t="shared" si="546"/>
        <v>0.1551321366816262</v>
      </c>
      <c r="P90" s="121">
        <f t="shared" si="546"/>
        <v>0.1830131492947194</v>
      </c>
      <c r="Q90" s="121">
        <f t="shared" si="546"/>
        <v>0.19381815643896902</v>
      </c>
      <c r="R90" s="314"/>
      <c r="S90" s="121">
        <f t="shared" ref="S90:V90" si="547">+S89/S81</f>
        <v>0.21643759940293308</v>
      </c>
      <c r="T90" s="121">
        <f t="shared" si="547"/>
        <v>0.15816386099606197</v>
      </c>
      <c r="U90" s="121">
        <f t="shared" si="547"/>
        <v>0.18721077102343617</v>
      </c>
      <c r="V90" s="121">
        <f t="shared" si="547"/>
        <v>0.19694290321821056</v>
      </c>
      <c r="W90" s="314"/>
      <c r="X90" s="121">
        <f t="shared" ref="X90:AA90" si="548">+X89/X81</f>
        <v>0.22027583840553686</v>
      </c>
      <c r="Y90" s="121">
        <f t="shared" si="548"/>
        <v>0.16000382318830073</v>
      </c>
      <c r="Z90" s="121">
        <f t="shared" si="548"/>
        <v>0.1901770027931583</v>
      </c>
      <c r="AA90" s="121">
        <f t="shared" si="548"/>
        <v>0.20030220222877157</v>
      </c>
      <c r="AB90" s="314"/>
      <c r="AC90" s="121">
        <f t="shared" ref="AC90:AF90" si="549">+AC89/AC81</f>
        <v>0.22443259184764738</v>
      </c>
      <c r="AD90" s="121">
        <f t="shared" si="549"/>
        <v>0.16221229524793443</v>
      </c>
      <c r="AE90" s="121">
        <f t="shared" si="549"/>
        <v>0.19345777894783722</v>
      </c>
      <c r="AF90" s="121">
        <f t="shared" si="549"/>
        <v>0.2039563241222076</v>
      </c>
      <c r="AG90" s="314"/>
      <c r="AH90" s="121">
        <f t="shared" ref="AH90:AK90" si="550">+AH89/AH81</f>
        <v>0.2289212333354804</v>
      </c>
      <c r="AI90" s="121">
        <f t="shared" si="550"/>
        <v>0.16471124452675431</v>
      </c>
      <c r="AJ90" s="121">
        <f t="shared" si="550"/>
        <v>0.19702686657483251</v>
      </c>
      <c r="AK90" s="121">
        <f t="shared" si="550"/>
        <v>0.20790664581613924</v>
      </c>
      <c r="AL90" s="314"/>
    </row>
    <row r="91" spans="1:38" s="110" customFormat="1" outlineLevel="1" x14ac:dyDescent="0.2">
      <c r="A91" s="186"/>
      <c r="B91" s="117" t="s">
        <v>127</v>
      </c>
      <c r="C91" s="118"/>
      <c r="D91" s="113">
        <f>ROUND((+D89-D88-(D83*D84)),0)</f>
        <v>0</v>
      </c>
      <c r="E91" s="119">
        <f>ROUND((+E89-E88-(E83*E84)),0)</f>
        <v>0</v>
      </c>
      <c r="F91" s="189">
        <f>ROUND((+F89-F88-(F83*F84)),0)</f>
        <v>0</v>
      </c>
      <c r="G91" s="119">
        <f>ROUND((+G89-G88-(G83*G84)),0)</f>
        <v>0</v>
      </c>
      <c r="H91" s="120"/>
      <c r="I91" s="119">
        <f>ROUND((+I89-I88-(I83*I84)),0)</f>
        <v>0</v>
      </c>
      <c r="J91" s="119">
        <f>ROUND((+J89-J88-(J83*J84)),0)</f>
        <v>0</v>
      </c>
      <c r="K91" s="119">
        <f>ROUND((+K89-K88-(K83*K84)),0)</f>
        <v>0</v>
      </c>
      <c r="L91" s="189"/>
      <c r="M91" s="315"/>
      <c r="N91" s="189"/>
      <c r="O91" s="189"/>
      <c r="P91" s="189"/>
      <c r="Q91" s="189"/>
      <c r="R91" s="315"/>
      <c r="S91" s="189"/>
      <c r="T91" s="189"/>
      <c r="U91" s="189"/>
      <c r="V91" s="189"/>
      <c r="W91" s="315"/>
      <c r="X91" s="189"/>
      <c r="Y91" s="189"/>
      <c r="Z91" s="189"/>
      <c r="AA91" s="189"/>
      <c r="AB91" s="315"/>
      <c r="AC91" s="189"/>
      <c r="AD91" s="189"/>
      <c r="AE91" s="189"/>
      <c r="AF91" s="189"/>
      <c r="AG91" s="315"/>
      <c r="AH91" s="189"/>
      <c r="AI91" s="189"/>
      <c r="AJ91" s="189"/>
      <c r="AK91" s="189"/>
      <c r="AL91" s="315"/>
    </row>
    <row r="92" spans="1:38" s="13" customFormat="1" outlineLevel="1" x14ac:dyDescent="0.2">
      <c r="A92" s="182"/>
      <c r="B92" s="419" t="s">
        <v>262</v>
      </c>
      <c r="C92" s="420"/>
      <c r="D92" s="122">
        <v>6373</v>
      </c>
      <c r="E92" s="122">
        <v>6586</v>
      </c>
      <c r="F92" s="200">
        <v>7127</v>
      </c>
      <c r="G92" s="122">
        <v>7329</v>
      </c>
      <c r="H92" s="123"/>
      <c r="I92" s="122">
        <v>7533</v>
      </c>
      <c r="J92" s="122">
        <v>7642</v>
      </c>
      <c r="K92" s="122">
        <v>7691</v>
      </c>
      <c r="L92" s="200">
        <f>+K92+L93</f>
        <v>7771</v>
      </c>
      <c r="M92" s="316"/>
      <c r="N92" s="200">
        <f>+L92+N93</f>
        <v>7851</v>
      </c>
      <c r="O92" s="200">
        <f t="shared" ref="O92" si="551">+N92+O93</f>
        <v>7951</v>
      </c>
      <c r="P92" s="200">
        <f t="shared" ref="P92" si="552">+O92+P93</f>
        <v>8081</v>
      </c>
      <c r="Q92" s="200">
        <f t="shared" ref="Q92" si="553">+P92+Q93</f>
        <v>8181</v>
      </c>
      <c r="R92" s="316"/>
      <c r="S92" s="200">
        <f>+Q92+S93</f>
        <v>8283.5</v>
      </c>
      <c r="T92" s="200">
        <f t="shared" ref="T92" si="554">+S92+T93</f>
        <v>8391.625</v>
      </c>
      <c r="U92" s="200">
        <f t="shared" ref="U92" si="555">+T92+U93</f>
        <v>8501.78125</v>
      </c>
      <c r="V92" s="200">
        <f t="shared" ref="V92" si="556">+U92+V93</f>
        <v>8606.9765625</v>
      </c>
      <c r="W92" s="316"/>
      <c r="X92" s="200">
        <f>+V92+X93</f>
        <v>8713.470703125</v>
      </c>
      <c r="Y92" s="200">
        <f t="shared" ref="Y92" si="557">+X92+Y93</f>
        <v>8820.96337890625</v>
      </c>
      <c r="Z92" s="200">
        <f t="shared" ref="Z92" si="558">+Y92+Z93</f>
        <v>8928.2979736328125</v>
      </c>
      <c r="AA92" s="200">
        <f t="shared" ref="AA92" si="559">+Z92+AA93</f>
        <v>9034.9271545410156</v>
      </c>
      <c r="AB92" s="316"/>
      <c r="AC92" s="200">
        <f>+AA92+AC93</f>
        <v>9141.9148025512695</v>
      </c>
      <c r="AD92" s="200">
        <f t="shared" ref="AD92" si="560">+AC92+AD93</f>
        <v>9249.0258274078369</v>
      </c>
      <c r="AE92" s="200">
        <f t="shared" ref="AE92" si="561">+AD92+AE93</f>
        <v>9356.0414395332336</v>
      </c>
      <c r="AF92" s="200">
        <f t="shared" ref="AF92" si="562">+AE92+AF93</f>
        <v>9462.9773060083389</v>
      </c>
      <c r="AG92" s="316"/>
      <c r="AH92" s="200">
        <f>+AF92+AH93</f>
        <v>9569.9898438751698</v>
      </c>
      <c r="AI92" s="200">
        <f t="shared" ref="AI92" si="563">+AH92+AI93</f>
        <v>9677.0086042061448</v>
      </c>
      <c r="AJ92" s="200">
        <f t="shared" ref="AJ92" si="564">+AI92+AJ93</f>
        <v>9784.0042984057218</v>
      </c>
      <c r="AK92" s="200">
        <f t="shared" ref="AK92" si="565">+AJ92+AK93</f>
        <v>9890.9950131238438</v>
      </c>
      <c r="AL92" s="316"/>
    </row>
    <row r="93" spans="1:38" outlineLevel="1" x14ac:dyDescent="0.2">
      <c r="A93" s="167"/>
      <c r="B93" s="36" t="s">
        <v>128</v>
      </c>
      <c r="C93" s="61"/>
      <c r="D93" s="25">
        <f>+D92-6201</f>
        <v>172</v>
      </c>
      <c r="E93" s="25">
        <f>+E92-D92</f>
        <v>213</v>
      </c>
      <c r="F93" s="169">
        <f t="shared" ref="F93:G93" si="566">+F92-E92</f>
        <v>541</v>
      </c>
      <c r="G93" s="169">
        <f t="shared" si="566"/>
        <v>202</v>
      </c>
      <c r="H93" s="207">
        <f>+SUM(D93:G93)</f>
        <v>1128</v>
      </c>
      <c r="I93" s="169">
        <f>+I92-G92</f>
        <v>204</v>
      </c>
      <c r="J93" s="169">
        <f t="shared" ref="J93:K93" si="567">+J92-I92</f>
        <v>109</v>
      </c>
      <c r="K93" s="169">
        <f t="shared" si="567"/>
        <v>49</v>
      </c>
      <c r="L93" s="336">
        <v>80</v>
      </c>
      <c r="M93" s="207">
        <f>SUM(I93:L93)</f>
        <v>442</v>
      </c>
      <c r="N93" s="336">
        <v>80</v>
      </c>
      <c r="O93" s="336">
        <v>100</v>
      </c>
      <c r="P93" s="336">
        <v>130</v>
      </c>
      <c r="Q93" s="336">
        <v>100</v>
      </c>
      <c r="R93" s="207">
        <f>SUM(N93:Q93)</f>
        <v>410</v>
      </c>
      <c r="S93" s="336">
        <f>AVERAGE(N93,O93,P93,Q93)</f>
        <v>102.5</v>
      </c>
      <c r="T93" s="336">
        <f>AVERAGE(O93,P93,Q93,S93)</f>
        <v>108.125</v>
      </c>
      <c r="U93" s="336">
        <f>AVERAGE(P93,Q93,T93,S93)</f>
        <v>110.15625</v>
      </c>
      <c r="V93" s="336">
        <f>AVERAGE(Q93,U93,S93,T93)</f>
        <v>105.1953125</v>
      </c>
      <c r="W93" s="207">
        <f>SUM(S93:V93)</f>
        <v>425.9765625</v>
      </c>
      <c r="X93" s="336">
        <f>AVERAGE(S93,T93,U93,V93)</f>
        <v>106.494140625</v>
      </c>
      <c r="Y93" s="336">
        <f>AVERAGE(T93,U93,V93,X93)</f>
        <v>107.49267578125</v>
      </c>
      <c r="Z93" s="336">
        <f>AVERAGE(U93,V93,Y93,X93)</f>
        <v>107.3345947265625</v>
      </c>
      <c r="AA93" s="336">
        <f>AVERAGE(V93,Z93,X93,Y93)</f>
        <v>106.62918090820312</v>
      </c>
      <c r="AB93" s="207">
        <f>SUM(X93:AA93)</f>
        <v>427.95059204101562</v>
      </c>
      <c r="AC93" s="336">
        <f>AVERAGE(X93,Y93,Z93,AA93)</f>
        <v>106.98764801025391</v>
      </c>
      <c r="AD93" s="336">
        <f>AVERAGE(Y93,Z93,AA93,AC93)</f>
        <v>107.11102485656738</v>
      </c>
      <c r="AE93" s="336">
        <f>AVERAGE(Z93,AA93,AD93,AC93)</f>
        <v>107.01561212539673</v>
      </c>
      <c r="AF93" s="336">
        <f>AVERAGE(AA93,AE93,AC93,AD93)</f>
        <v>106.93586647510529</v>
      </c>
      <c r="AG93" s="207">
        <f>SUM(AC93:AF93)</f>
        <v>428.0501514673233</v>
      </c>
      <c r="AH93" s="336">
        <f>AVERAGE(AC93,AD93,AE93,AF93)</f>
        <v>107.01253786683083</v>
      </c>
      <c r="AI93" s="336">
        <f>AVERAGE(AD93,AE93,AF93,AH93)</f>
        <v>107.01876033097506</v>
      </c>
      <c r="AJ93" s="336">
        <f>AVERAGE(AE93,AF93,AI93,AH93)</f>
        <v>106.99569419957697</v>
      </c>
      <c r="AK93" s="336">
        <f>AVERAGE(AF93,AJ93,AH93,AI93)</f>
        <v>106.99071471812204</v>
      </c>
      <c r="AL93" s="207">
        <f>SUM(AH93:AK93)</f>
        <v>428.01770711550489</v>
      </c>
    </row>
    <row r="94" spans="1:38" outlineLevel="1" x14ac:dyDescent="0.2">
      <c r="A94" s="167"/>
      <c r="B94" s="36" t="s">
        <v>131</v>
      </c>
      <c r="C94" s="61"/>
      <c r="D94" s="25">
        <f>AVERAGE(D92,6201)</f>
        <v>6287</v>
      </c>
      <c r="E94" s="25">
        <f>AVERAGE(E92,D92)</f>
        <v>6479.5</v>
      </c>
      <c r="F94" s="25">
        <f t="shared" ref="F94:G94" si="568">AVERAGE(F92,E92)</f>
        <v>6856.5</v>
      </c>
      <c r="G94" s="25">
        <f t="shared" si="568"/>
        <v>7228</v>
      </c>
      <c r="H94" s="41"/>
      <c r="I94" s="25">
        <f>AVERAGE(I92,G92)</f>
        <v>7431</v>
      </c>
      <c r="J94" s="25">
        <f>AVERAGE(J92,I92)</f>
        <v>7587.5</v>
      </c>
      <c r="K94" s="25">
        <f t="shared" ref="K94" si="569">AVERAGE(K92,J92)</f>
        <v>7666.5</v>
      </c>
      <c r="L94" s="169">
        <f>AVERAGE(K92,L92)</f>
        <v>7731</v>
      </c>
      <c r="M94" s="250"/>
      <c r="N94" s="169">
        <f>AVERAGE(N92,L92)</f>
        <v>7811</v>
      </c>
      <c r="O94" s="169">
        <f>AVERAGE(O92,N92)</f>
        <v>7901</v>
      </c>
      <c r="P94" s="169">
        <f>AVERAGE(P92,O92)</f>
        <v>8016</v>
      </c>
      <c r="Q94" s="169">
        <f>AVERAGE(Q92,P92)</f>
        <v>8131</v>
      </c>
      <c r="R94" s="250"/>
      <c r="S94" s="169">
        <f>AVERAGE(S92,Q92)</f>
        <v>8232.25</v>
      </c>
      <c r="T94" s="169">
        <f>AVERAGE(T92,S92)</f>
        <v>8337.5625</v>
      </c>
      <c r="U94" s="169">
        <f>AVERAGE(U92,T92)</f>
        <v>8446.703125</v>
      </c>
      <c r="V94" s="169">
        <f>AVERAGE(V92,U92)</f>
        <v>8554.37890625</v>
      </c>
      <c r="W94" s="250"/>
      <c r="X94" s="169">
        <f>AVERAGE(X92,V92)</f>
        <v>8660.2236328125</v>
      </c>
      <c r="Y94" s="169">
        <f>AVERAGE(Y92,X92)</f>
        <v>8767.217041015625</v>
      </c>
      <c r="Z94" s="169">
        <f>AVERAGE(Z92,Y92)</f>
        <v>8874.6306762695312</v>
      </c>
      <c r="AA94" s="169">
        <f>AVERAGE(AA92,Z92)</f>
        <v>8981.6125640869141</v>
      </c>
      <c r="AB94" s="250"/>
      <c r="AC94" s="169">
        <f>AVERAGE(AC92,AA92)</f>
        <v>9088.4209785461426</v>
      </c>
      <c r="AD94" s="169">
        <f>AVERAGE(AD92,AC92)</f>
        <v>9195.4703149795532</v>
      </c>
      <c r="AE94" s="169">
        <f>AVERAGE(AE92,AD92)</f>
        <v>9302.5336334705353</v>
      </c>
      <c r="AF94" s="169">
        <f>AVERAGE(AF92,AE92)</f>
        <v>9409.5093727707863</v>
      </c>
      <c r="AG94" s="250"/>
      <c r="AH94" s="169">
        <f>AVERAGE(AH92,AF92)</f>
        <v>9516.4835749417543</v>
      </c>
      <c r="AI94" s="169">
        <f>AVERAGE(AI92,AH92)</f>
        <v>9623.4992240406573</v>
      </c>
      <c r="AJ94" s="169">
        <f>AVERAGE(AJ92,AI92)</f>
        <v>9730.5064513059333</v>
      </c>
      <c r="AK94" s="169">
        <f>AVERAGE(AK92,AJ92)</f>
        <v>9837.4996557647828</v>
      </c>
      <c r="AL94" s="250"/>
    </row>
    <row r="95" spans="1:38" outlineLevel="1" x14ac:dyDescent="0.2">
      <c r="A95" s="167"/>
      <c r="B95" s="36" t="s">
        <v>130</v>
      </c>
      <c r="C95" s="61"/>
      <c r="D95" s="83">
        <f>+D96/D94</f>
        <v>3.5390488309209482E-2</v>
      </c>
      <c r="E95" s="193">
        <f>+E96/E94</f>
        <v>3.3197005941816495E-2</v>
      </c>
      <c r="F95" s="193">
        <f>+F96/F94</f>
        <v>3.335521038430686E-2</v>
      </c>
      <c r="G95" s="193">
        <f>+G96/G94</f>
        <v>3.468456004427227E-2</v>
      </c>
      <c r="H95" s="41"/>
      <c r="I95" s="193">
        <f t="shared" ref="I95:K95" si="570">+I96/I94</f>
        <v>3.4275333064190554E-2</v>
      </c>
      <c r="J95" s="193">
        <f t="shared" si="570"/>
        <v>2.97331136738056E-2</v>
      </c>
      <c r="K95" s="193">
        <f t="shared" si="570"/>
        <v>8.4784451835909474E-3</v>
      </c>
      <c r="L95" s="340">
        <v>2.5000000000000001E-2</v>
      </c>
      <c r="M95" s="250"/>
      <c r="N95" s="340">
        <v>3.2000000000000001E-2</v>
      </c>
      <c r="O95" s="340">
        <v>3.3000000000000002E-2</v>
      </c>
      <c r="P95" s="340">
        <v>3.4000000000000002E-2</v>
      </c>
      <c r="Q95" s="340">
        <v>3.5000000000000003E-2</v>
      </c>
      <c r="R95" s="250"/>
      <c r="S95" s="340">
        <f>N95*1.02</f>
        <v>3.2640000000000002E-2</v>
      </c>
      <c r="T95" s="340">
        <f t="shared" ref="T95" si="571">O95*1.02</f>
        <v>3.3660000000000002E-2</v>
      </c>
      <c r="U95" s="340">
        <f t="shared" ref="U95" si="572">P95*1.02</f>
        <v>3.4680000000000002E-2</v>
      </c>
      <c r="V95" s="340">
        <f t="shared" ref="V95" si="573">Q95*1.02</f>
        <v>3.5700000000000003E-2</v>
      </c>
      <c r="W95" s="250"/>
      <c r="X95" s="340">
        <f>S95*1.02</f>
        <v>3.3292800000000004E-2</v>
      </c>
      <c r="Y95" s="340">
        <f t="shared" ref="Y95" si="574">T95*1.02</f>
        <v>3.4333200000000001E-2</v>
      </c>
      <c r="Z95" s="340">
        <f t="shared" ref="Z95" si="575">U95*1.02</f>
        <v>3.5373600000000005E-2</v>
      </c>
      <c r="AA95" s="340">
        <f t="shared" ref="AA95" si="576">V95*1.02</f>
        <v>3.6414000000000002E-2</v>
      </c>
      <c r="AB95" s="250"/>
      <c r="AC95" s="340">
        <f>X95*1.02</f>
        <v>3.3958656000000004E-2</v>
      </c>
      <c r="AD95" s="340">
        <f t="shared" ref="AD95" si="577">Y95*1.02</f>
        <v>3.5019864000000005E-2</v>
      </c>
      <c r="AE95" s="340">
        <f t="shared" ref="AE95" si="578">Z95*1.02</f>
        <v>3.6081072000000006E-2</v>
      </c>
      <c r="AF95" s="340">
        <f t="shared" ref="AF95" si="579">AA95*1.02</f>
        <v>3.714228E-2</v>
      </c>
      <c r="AG95" s="250"/>
      <c r="AH95" s="340">
        <f>AC95*1.02</f>
        <v>3.4637829120000005E-2</v>
      </c>
      <c r="AI95" s="340">
        <f t="shared" ref="AI95" si="580">AD95*1.02</f>
        <v>3.5720261280000005E-2</v>
      </c>
      <c r="AJ95" s="340">
        <f t="shared" ref="AJ95" si="581">AE95*1.02</f>
        <v>3.6802693440000006E-2</v>
      </c>
      <c r="AK95" s="340">
        <f t="shared" ref="AK95" si="582">AF95*1.02</f>
        <v>3.78851256E-2</v>
      </c>
      <c r="AL95" s="250"/>
    </row>
    <row r="96" spans="1:38" s="13" customFormat="1" outlineLevel="1" x14ac:dyDescent="0.2">
      <c r="A96" s="182"/>
      <c r="B96" s="480" t="s">
        <v>263</v>
      </c>
      <c r="C96" s="481"/>
      <c r="D96" s="194">
        <v>222.5</v>
      </c>
      <c r="E96" s="194">
        <v>215.1</v>
      </c>
      <c r="F96" s="194">
        <v>228.7</v>
      </c>
      <c r="G96" s="194">
        <v>250.7</v>
      </c>
      <c r="H96" s="300"/>
      <c r="I96" s="194">
        <v>254.7</v>
      </c>
      <c r="J96" s="194">
        <v>225.6</v>
      </c>
      <c r="K96" s="194">
        <v>65</v>
      </c>
      <c r="L96" s="194">
        <f>L95*L94</f>
        <v>193.27500000000001</v>
      </c>
      <c r="M96" s="300"/>
      <c r="N96" s="194">
        <f t="shared" ref="N96" si="583">N95*N94</f>
        <v>249.952</v>
      </c>
      <c r="O96" s="194">
        <f t="shared" ref="O96" si="584">O95*O94</f>
        <v>260.733</v>
      </c>
      <c r="P96" s="194">
        <f t="shared" ref="P96" si="585">P95*P94</f>
        <v>272.54400000000004</v>
      </c>
      <c r="Q96" s="194">
        <f t="shared" ref="Q96" si="586">Q95*Q94</f>
        <v>284.58500000000004</v>
      </c>
      <c r="R96" s="300"/>
      <c r="S96" s="194">
        <f t="shared" ref="S96" si="587">S95*S94</f>
        <v>268.70064000000002</v>
      </c>
      <c r="T96" s="194">
        <f t="shared" ref="T96" si="588">T95*T94</f>
        <v>280.64235375000004</v>
      </c>
      <c r="U96" s="194">
        <f t="shared" ref="U96" si="589">U95*U94</f>
        <v>292.93166437500003</v>
      </c>
      <c r="V96" s="194">
        <f t="shared" ref="V96" si="590">V95*V94</f>
        <v>305.39132695312503</v>
      </c>
      <c r="W96" s="300"/>
      <c r="X96" s="194">
        <f t="shared" ref="X96" si="591">X95*X94</f>
        <v>288.32309336250006</v>
      </c>
      <c r="Y96" s="194">
        <f t="shared" ref="Y96" si="592">Y95*Y94</f>
        <v>301.00661611259767</v>
      </c>
      <c r="Z96" s="194">
        <f t="shared" ref="Z96" si="593">Z95*Z94</f>
        <v>313.92763569008793</v>
      </c>
      <c r="AA96" s="194">
        <f t="shared" ref="AA96" si="594">AA95*AA94</f>
        <v>327.05643990866093</v>
      </c>
      <c r="AB96" s="300"/>
      <c r="AC96" s="194">
        <f t="shared" ref="AC96" si="595">AC95*AC94</f>
        <v>308.63056159363185</v>
      </c>
      <c r="AD96" s="194">
        <f t="shared" ref="AD96" si="596">AD95*AD94</f>
        <v>322.02411984662115</v>
      </c>
      <c r="AE96" s="194">
        <f t="shared" ref="AE96" si="597">AE95*AE94</f>
        <v>335.64538581167204</v>
      </c>
      <c r="AF96" s="194">
        <f t="shared" ref="AF96" si="598">AF95*AF94</f>
        <v>349.4906317860769</v>
      </c>
      <c r="AG96" s="300"/>
      <c r="AH96" s="194">
        <f t="shared" ref="AH96" si="599">AH95*AH94</f>
        <v>329.63033189211927</v>
      </c>
      <c r="AI96" s="194">
        <f t="shared" ref="AI96" si="600">AI95*AI94</f>
        <v>343.75390671060961</v>
      </c>
      <c r="AJ96" s="194">
        <f t="shared" ref="AJ96" si="601">AJ95*AJ94</f>
        <v>358.10884594335459</v>
      </c>
      <c r="AK96" s="194">
        <f t="shared" ref="AK96" si="602">AK95*AK94</f>
        <v>372.69491004860555</v>
      </c>
      <c r="AL96" s="300"/>
    </row>
    <row r="97" spans="1:38" s="13" customFormat="1" outlineLevel="1" x14ac:dyDescent="0.2">
      <c r="A97" s="182"/>
      <c r="B97" s="428" t="s">
        <v>264</v>
      </c>
      <c r="C97" s="429"/>
      <c r="D97" s="172">
        <v>3.4</v>
      </c>
      <c r="E97" s="172">
        <v>4.9000000000000004</v>
      </c>
      <c r="F97" s="172">
        <v>3.8</v>
      </c>
      <c r="G97" s="172">
        <v>5.5</v>
      </c>
      <c r="H97" s="301"/>
      <c r="I97" s="172">
        <v>6.7</v>
      </c>
      <c r="J97" s="172">
        <v>6.6</v>
      </c>
      <c r="K97" s="172">
        <v>9.1</v>
      </c>
      <c r="L97" s="172">
        <f>G97*(1+L98)</f>
        <v>9.625</v>
      </c>
      <c r="M97" s="301"/>
      <c r="N97" s="172">
        <f t="shared" ref="N97:Q97" si="603">I97*(1+N98)</f>
        <v>11.725</v>
      </c>
      <c r="O97" s="172">
        <f t="shared" si="603"/>
        <v>11.549999999999999</v>
      </c>
      <c r="P97" s="172">
        <f t="shared" si="603"/>
        <v>15.924999999999999</v>
      </c>
      <c r="Q97" s="172">
        <f t="shared" si="603"/>
        <v>14.4375</v>
      </c>
      <c r="R97" s="301"/>
      <c r="S97" s="172">
        <f t="shared" ref="S97" si="604">N97*(1+S98)</f>
        <v>14.65625</v>
      </c>
      <c r="T97" s="172">
        <f t="shared" ref="T97" si="605">O97*(1+T98)</f>
        <v>14.437499999999998</v>
      </c>
      <c r="U97" s="172">
        <f t="shared" ref="U97" si="606">P97*(1+U98)</f>
        <v>19.90625</v>
      </c>
      <c r="V97" s="172">
        <f t="shared" ref="V97" si="607">Q97*(1+V98)</f>
        <v>18.046875</v>
      </c>
      <c r="W97" s="301"/>
      <c r="X97" s="172">
        <f t="shared" ref="X97" si="608">S97*(1+X98)</f>
        <v>16.121875000000003</v>
      </c>
      <c r="Y97" s="172">
        <f t="shared" ref="Y97" si="609">T97*(1+Y98)</f>
        <v>15.88125</v>
      </c>
      <c r="Z97" s="172">
        <f t="shared" ref="Z97" si="610">U97*(1+Z98)</f>
        <v>21.896875000000001</v>
      </c>
      <c r="AA97" s="172">
        <f t="shared" ref="AA97" si="611">V97*(1+AA98)</f>
        <v>19.8515625</v>
      </c>
      <c r="AB97" s="301"/>
      <c r="AC97" s="172">
        <f t="shared" ref="AC97" si="612">X97*(1+AC98)</f>
        <v>17.734062500000004</v>
      </c>
      <c r="AD97" s="172">
        <f t="shared" ref="AD97" si="613">Y97*(1+AD98)</f>
        <v>17.469374999999999</v>
      </c>
      <c r="AE97" s="172">
        <f t="shared" ref="AE97" si="614">Z97*(1+AE98)</f>
        <v>24.086562500000003</v>
      </c>
      <c r="AF97" s="172">
        <f t="shared" ref="AF97" si="615">AA97*(1+AF98)</f>
        <v>21.836718750000003</v>
      </c>
      <c r="AG97" s="301"/>
      <c r="AH97" s="172">
        <f t="shared" ref="AH97" si="616">AC97*(1+AH98)</f>
        <v>19.507468750000005</v>
      </c>
      <c r="AI97" s="172">
        <f t="shared" ref="AI97" si="617">AD97*(1+AI98)</f>
        <v>19.216312500000001</v>
      </c>
      <c r="AJ97" s="172">
        <f t="shared" ref="AJ97" si="618">AE97*(1+AJ98)</f>
        <v>26.495218750000006</v>
      </c>
      <c r="AK97" s="172">
        <f t="shared" ref="AK97" si="619">AF97*(1+AK98)</f>
        <v>24.020390625000005</v>
      </c>
      <c r="AL97" s="301"/>
    </row>
    <row r="98" spans="1:38" outlineLevel="1" x14ac:dyDescent="0.2">
      <c r="A98" s="167"/>
      <c r="B98" s="124" t="s">
        <v>135</v>
      </c>
      <c r="C98" s="125"/>
      <c r="D98" s="205"/>
      <c r="E98" s="205"/>
      <c r="F98" s="205"/>
      <c r="G98" s="205"/>
      <c r="H98" s="302"/>
      <c r="I98" s="205">
        <f>I97/D97-1</f>
        <v>0.97058823529411775</v>
      </c>
      <c r="J98" s="205">
        <f t="shared" ref="J98:K98" si="620">J97/E97-1</f>
        <v>0.3469387755102038</v>
      </c>
      <c r="K98" s="205">
        <f t="shared" si="620"/>
        <v>1.3947368421052633</v>
      </c>
      <c r="L98" s="341">
        <v>0.75</v>
      </c>
      <c r="M98" s="302"/>
      <c r="N98" s="341">
        <v>0.75</v>
      </c>
      <c r="O98" s="341">
        <v>0.75</v>
      </c>
      <c r="P98" s="341">
        <v>0.75</v>
      </c>
      <c r="Q98" s="341">
        <v>0.5</v>
      </c>
      <c r="R98" s="302"/>
      <c r="S98" s="341">
        <v>0.25</v>
      </c>
      <c r="T98" s="341">
        <v>0.25</v>
      </c>
      <c r="U98" s="341">
        <v>0.25</v>
      </c>
      <c r="V98" s="341">
        <v>0.25</v>
      </c>
      <c r="W98" s="302"/>
      <c r="X98" s="341">
        <v>0.1</v>
      </c>
      <c r="Y98" s="341">
        <v>0.1</v>
      </c>
      <c r="Z98" s="341">
        <v>0.1</v>
      </c>
      <c r="AA98" s="341">
        <v>0.1</v>
      </c>
      <c r="AB98" s="302"/>
      <c r="AC98" s="341">
        <v>0.1</v>
      </c>
      <c r="AD98" s="341">
        <v>0.1</v>
      </c>
      <c r="AE98" s="341">
        <v>0.1</v>
      </c>
      <c r="AF98" s="341">
        <v>0.1</v>
      </c>
      <c r="AG98" s="302"/>
      <c r="AH98" s="341">
        <v>0.1</v>
      </c>
      <c r="AI98" s="341">
        <v>0.1</v>
      </c>
      <c r="AJ98" s="341">
        <v>0.1</v>
      </c>
      <c r="AK98" s="341">
        <v>0.1</v>
      </c>
      <c r="AL98" s="302"/>
    </row>
    <row r="99" spans="1:38" outlineLevel="1" x14ac:dyDescent="0.2">
      <c r="A99" s="167"/>
      <c r="B99" s="36" t="s">
        <v>265</v>
      </c>
      <c r="C99" s="98"/>
      <c r="D99" s="169">
        <f t="shared" ref="D99:G99" si="621">+D92+D81</f>
        <v>12212</v>
      </c>
      <c r="E99" s="169">
        <f t="shared" si="621"/>
        <v>12465</v>
      </c>
      <c r="F99" s="169">
        <f t="shared" si="621"/>
        <v>12773</v>
      </c>
      <c r="G99" s="169">
        <f t="shared" si="621"/>
        <v>13189</v>
      </c>
      <c r="H99" s="207"/>
      <c r="I99" s="169">
        <f>+I92+I81</f>
        <v>13592</v>
      </c>
      <c r="J99" s="169">
        <f t="shared" ref="J99:K99" si="622">+J92+J81</f>
        <v>13779</v>
      </c>
      <c r="K99" s="169">
        <f t="shared" si="622"/>
        <v>13945</v>
      </c>
      <c r="L99" s="169">
        <f t="shared" ref="L99:AK99" si="623">+L92+L81</f>
        <v>14200</v>
      </c>
      <c r="M99" s="169"/>
      <c r="N99" s="169">
        <f t="shared" si="623"/>
        <v>14380</v>
      </c>
      <c r="O99" s="169">
        <f t="shared" si="623"/>
        <v>14580</v>
      </c>
      <c r="P99" s="169">
        <f t="shared" si="623"/>
        <v>14810</v>
      </c>
      <c r="Q99" s="169">
        <f t="shared" si="623"/>
        <v>15010</v>
      </c>
      <c r="R99" s="169"/>
      <c r="S99" s="169">
        <f t="shared" si="623"/>
        <v>15212.5</v>
      </c>
      <c r="T99" s="169">
        <f t="shared" si="623"/>
        <v>15420.625</v>
      </c>
      <c r="U99" s="169">
        <f t="shared" si="623"/>
        <v>15630.78125</v>
      </c>
      <c r="V99" s="169">
        <f t="shared" si="623"/>
        <v>15835.9765625</v>
      </c>
      <c r="W99" s="169"/>
      <c r="X99" s="169">
        <f t="shared" si="623"/>
        <v>16042.470703125</v>
      </c>
      <c r="Y99" s="169">
        <f t="shared" si="623"/>
        <v>16249.96337890625</v>
      </c>
      <c r="Z99" s="169">
        <f t="shared" si="623"/>
        <v>16457.297973632812</v>
      </c>
      <c r="AA99" s="169">
        <f t="shared" si="623"/>
        <v>16663.927154541016</v>
      </c>
      <c r="AB99" s="169"/>
      <c r="AC99" s="169">
        <f t="shared" si="623"/>
        <v>16870.91480255127</v>
      </c>
      <c r="AD99" s="169">
        <f t="shared" si="623"/>
        <v>17078.025827407837</v>
      </c>
      <c r="AE99" s="169">
        <f t="shared" si="623"/>
        <v>17285.041439533234</v>
      </c>
      <c r="AF99" s="169">
        <f t="shared" si="623"/>
        <v>17491.977306008339</v>
      </c>
      <c r="AG99" s="169"/>
      <c r="AH99" s="169">
        <f t="shared" si="623"/>
        <v>17698.98984387517</v>
      </c>
      <c r="AI99" s="169">
        <f t="shared" si="623"/>
        <v>17906.008604206145</v>
      </c>
      <c r="AJ99" s="169">
        <f t="shared" si="623"/>
        <v>18113.004298405722</v>
      </c>
      <c r="AK99" s="169">
        <f t="shared" si="623"/>
        <v>18319.995013123844</v>
      </c>
      <c r="AL99" s="250"/>
    </row>
    <row r="100" spans="1:38" outlineLevel="1" x14ac:dyDescent="0.2">
      <c r="A100" s="167"/>
      <c r="B100" s="36" t="s">
        <v>266</v>
      </c>
      <c r="C100" s="98"/>
      <c r="D100" s="169">
        <f t="shared" ref="D100:G100" si="624">+D93+D82</f>
        <v>360</v>
      </c>
      <c r="E100" s="169">
        <f t="shared" si="624"/>
        <v>253</v>
      </c>
      <c r="F100" s="169">
        <f t="shared" si="624"/>
        <v>308</v>
      </c>
      <c r="G100" s="169">
        <f t="shared" si="624"/>
        <v>416</v>
      </c>
      <c r="H100" s="207">
        <f>+H93+H82</f>
        <v>1337</v>
      </c>
      <c r="I100" s="169">
        <f>+I93+I82</f>
        <v>403</v>
      </c>
      <c r="J100" s="169">
        <f t="shared" ref="J100:K100" si="625">+J93+J82</f>
        <v>187</v>
      </c>
      <c r="K100" s="169">
        <f t="shared" si="625"/>
        <v>166</v>
      </c>
      <c r="L100" s="169">
        <f t="shared" ref="L100:AK100" si="626">+L93+L82</f>
        <v>255</v>
      </c>
      <c r="M100" s="207">
        <f>+M93+M82</f>
        <v>1011</v>
      </c>
      <c r="N100" s="169">
        <f t="shared" si="626"/>
        <v>180</v>
      </c>
      <c r="O100" s="169">
        <f t="shared" si="626"/>
        <v>200</v>
      </c>
      <c r="P100" s="169">
        <f t="shared" si="626"/>
        <v>230</v>
      </c>
      <c r="Q100" s="169">
        <f t="shared" si="626"/>
        <v>200</v>
      </c>
      <c r="R100" s="207">
        <f>+R93+R82</f>
        <v>810</v>
      </c>
      <c r="S100" s="169">
        <f t="shared" si="626"/>
        <v>202.5</v>
      </c>
      <c r="T100" s="169">
        <f t="shared" si="626"/>
        <v>208.125</v>
      </c>
      <c r="U100" s="169">
        <f t="shared" si="626"/>
        <v>210.15625</v>
      </c>
      <c r="V100" s="169">
        <f t="shared" si="626"/>
        <v>205.1953125</v>
      </c>
      <c r="W100" s="207">
        <f>+W93+W82</f>
        <v>825.9765625</v>
      </c>
      <c r="X100" s="169">
        <f t="shared" si="626"/>
        <v>206.494140625</v>
      </c>
      <c r="Y100" s="169">
        <f t="shared" si="626"/>
        <v>207.49267578125</v>
      </c>
      <c r="Z100" s="169">
        <f t="shared" si="626"/>
        <v>207.3345947265625</v>
      </c>
      <c r="AA100" s="169">
        <f t="shared" si="626"/>
        <v>206.62918090820312</v>
      </c>
      <c r="AB100" s="207">
        <f>+AB93+AB82</f>
        <v>827.95059204101562</v>
      </c>
      <c r="AC100" s="169">
        <f t="shared" si="626"/>
        <v>206.98764801025391</v>
      </c>
      <c r="AD100" s="169">
        <f t="shared" si="626"/>
        <v>207.11102485656738</v>
      </c>
      <c r="AE100" s="169">
        <f t="shared" si="626"/>
        <v>207.01561212539673</v>
      </c>
      <c r="AF100" s="169">
        <f t="shared" si="626"/>
        <v>206.93586647510529</v>
      </c>
      <c r="AG100" s="207">
        <f>+AG93+AG82</f>
        <v>828.0501514673233</v>
      </c>
      <c r="AH100" s="169">
        <f t="shared" si="626"/>
        <v>207.01253786683083</v>
      </c>
      <c r="AI100" s="169">
        <f t="shared" si="626"/>
        <v>207.01876033097506</v>
      </c>
      <c r="AJ100" s="169">
        <f t="shared" si="626"/>
        <v>206.99569419957697</v>
      </c>
      <c r="AK100" s="169">
        <f t="shared" si="626"/>
        <v>206.99071471812204</v>
      </c>
      <c r="AL100" s="207">
        <f>+AL93+AL82</f>
        <v>828.01770711550489</v>
      </c>
    </row>
    <row r="101" spans="1:38" outlineLevel="1" x14ac:dyDescent="0.2">
      <c r="A101" s="167"/>
      <c r="B101" s="478" t="s">
        <v>267</v>
      </c>
      <c r="C101" s="479"/>
      <c r="D101" s="194">
        <f t="shared" ref="D101:G101" si="627">+D97+D96+D89</f>
        <v>1504</v>
      </c>
      <c r="E101" s="194">
        <f>+E97+E96+E89</f>
        <v>1529.4</v>
      </c>
      <c r="F101" s="194">
        <f t="shared" si="627"/>
        <v>1585.3</v>
      </c>
      <c r="G101" s="194">
        <f t="shared" si="627"/>
        <v>1572.1000000000001</v>
      </c>
      <c r="H101" s="248">
        <f>SUM(D101:G101)</f>
        <v>6190.8</v>
      </c>
      <c r="I101" s="194">
        <f>+I97+I96+I89</f>
        <v>1571.1</v>
      </c>
      <c r="J101" s="194">
        <f t="shared" ref="J101:K101" si="628">+J97+J96+J89</f>
        <v>1134.5999999999999</v>
      </c>
      <c r="K101" s="194">
        <f t="shared" si="628"/>
        <v>949.6</v>
      </c>
      <c r="L101" s="194">
        <f t="shared" ref="L101:AK101" si="629">+L97+L96+L89</f>
        <v>1343.8567603640618</v>
      </c>
      <c r="M101" s="248">
        <f>SUM(I101:L101)</f>
        <v>4999.1567603640615</v>
      </c>
      <c r="N101" s="194">
        <f t="shared" si="629"/>
        <v>1637.0800935520519</v>
      </c>
      <c r="O101" s="194">
        <f t="shared" si="629"/>
        <v>1300.6539340625</v>
      </c>
      <c r="P101" s="194">
        <f t="shared" si="629"/>
        <v>1519.9644816041668</v>
      </c>
      <c r="Q101" s="194">
        <f t="shared" si="629"/>
        <v>1622.6066903217195</v>
      </c>
      <c r="R101" s="248">
        <f>SUM(N101:Q101)</f>
        <v>6080.3051995404385</v>
      </c>
      <c r="S101" s="194">
        <f t="shared" si="629"/>
        <v>1783.0530162629234</v>
      </c>
      <c r="T101" s="194">
        <f t="shared" si="629"/>
        <v>1406.8136326913195</v>
      </c>
      <c r="U101" s="194">
        <f t="shared" si="629"/>
        <v>1647.4635010010766</v>
      </c>
      <c r="V101" s="194">
        <f t="shared" si="629"/>
        <v>1747.1384493175692</v>
      </c>
      <c r="W101" s="248">
        <f>SUM(S101:V101)</f>
        <v>6584.4685992728892</v>
      </c>
      <c r="X101" s="194">
        <f t="shared" si="629"/>
        <v>1918.8465880366796</v>
      </c>
      <c r="Y101" s="194">
        <f t="shared" si="629"/>
        <v>1505.5562685784839</v>
      </c>
      <c r="Z101" s="194">
        <f t="shared" si="629"/>
        <v>1767.6671647197768</v>
      </c>
      <c r="AA101" s="194">
        <f t="shared" si="629"/>
        <v>1875.0135032119592</v>
      </c>
      <c r="AB101" s="248">
        <f>SUM(X101:AA101)</f>
        <v>7067.0835245469007</v>
      </c>
      <c r="AC101" s="194">
        <f t="shared" si="629"/>
        <v>2061.0041264840984</v>
      </c>
      <c r="AD101" s="194">
        <f t="shared" si="629"/>
        <v>1609.4535543426998</v>
      </c>
      <c r="AE101" s="194">
        <f t="shared" si="629"/>
        <v>1893.6586775890735</v>
      </c>
      <c r="AF101" s="194">
        <f t="shared" si="629"/>
        <v>2008.8926769132818</v>
      </c>
      <c r="AG101" s="248">
        <f>SUM(AC101:AF101)</f>
        <v>7573.0090353291544</v>
      </c>
      <c r="AH101" s="194">
        <f t="shared" si="629"/>
        <v>2210.0385064262396</v>
      </c>
      <c r="AI101" s="194">
        <f t="shared" si="629"/>
        <v>1718.3790504212709</v>
      </c>
      <c r="AJ101" s="194">
        <f t="shared" si="629"/>
        <v>2025.6408363951346</v>
      </c>
      <c r="AK101" s="194">
        <f t="shared" si="629"/>
        <v>2149.160418257843</v>
      </c>
      <c r="AL101" s="248">
        <f>SUM(AH101:AK101)</f>
        <v>8103.2188115004883</v>
      </c>
    </row>
    <row r="102" spans="1:38" outlineLevel="1" x14ac:dyDescent="0.2">
      <c r="A102" s="167"/>
      <c r="B102" s="474" t="s">
        <v>231</v>
      </c>
      <c r="C102" s="475"/>
      <c r="D102" s="174">
        <v>462.7</v>
      </c>
      <c r="E102" s="174">
        <v>470.2</v>
      </c>
      <c r="F102" s="174">
        <v>476.1</v>
      </c>
      <c r="G102" s="174">
        <v>486.1</v>
      </c>
      <c r="H102" s="249"/>
      <c r="I102" s="174">
        <v>488.5</v>
      </c>
      <c r="J102" s="174">
        <v>387.7</v>
      </c>
      <c r="K102" s="174">
        <v>337.7</v>
      </c>
      <c r="L102" s="174">
        <f>($L$113*$L$101)*(K102/$K$112)</f>
        <v>431.97617806160144</v>
      </c>
      <c r="M102" s="249"/>
      <c r="N102" s="174">
        <f>($N$113*$N$101)*(L102/$L$112)</f>
        <v>478.39216665659535</v>
      </c>
      <c r="O102" s="174">
        <f>($O$113*$O$101)*(N102/$N$112)</f>
        <v>370.57874543609188</v>
      </c>
      <c r="P102" s="174">
        <f>($P$113*$P$101)*(O102/$O$112)</f>
        <v>444.16831189852007</v>
      </c>
      <c r="Q102" s="174">
        <f>($Q$113*$Q$101)*(P102/$P$112)</f>
        <v>455.78890297279042</v>
      </c>
      <c r="R102" s="249"/>
      <c r="S102" s="174">
        <f>($S$113*$S$101)*(Q102/$Q$112)</f>
        <v>521.04878623427942</v>
      </c>
      <c r="T102" s="174">
        <f>($T$113*$T$101)*(S102/$S$112)</f>
        <v>400.82547510296354</v>
      </c>
      <c r="U102" s="174">
        <f>($U$113*$U$101)*(T102/$T$112)</f>
        <v>481.42643529524162</v>
      </c>
      <c r="V102" s="174">
        <f>($V$113*$V$101)*(U102/$U$112)</f>
        <v>490.76977304841938</v>
      </c>
      <c r="W102" s="249"/>
      <c r="X102" s="174">
        <f>($X$113*$X$101)*(V102/$V$112)</f>
        <v>560.73076714330921</v>
      </c>
      <c r="Y102" s="174">
        <f>($Y$113*$Y$101)*(X102/$X$112)</f>
        <v>428.95895563135105</v>
      </c>
      <c r="Z102" s="174">
        <f>($Z$113*$Z$101)*(Y102/$Y$112)</f>
        <v>516.55268925981056</v>
      </c>
      <c r="AA102" s="174">
        <f>($AA$113*$AA$101)*(Z102/$Z$112)</f>
        <v>526.68977194880256</v>
      </c>
      <c r="AB102" s="249"/>
      <c r="AC102" s="174">
        <f>($AC$113*$AC$101)*(AA102/$AA$112)</f>
        <v>602.27244436013427</v>
      </c>
      <c r="AD102" s="174">
        <f>($AD$113*$AD$101)*(AC102/$AC$112)</f>
        <v>458.56108484066351</v>
      </c>
      <c r="AE102" s="174">
        <f>($AE$113*$AE$101)*(AD102/$AD$112)</f>
        <v>553.37028484311975</v>
      </c>
      <c r="AF102" s="174">
        <f>($AF$113*$AF$101)*(AE102/$AE$112)</f>
        <v>564.29632323211501</v>
      </c>
      <c r="AG102" s="249"/>
      <c r="AH102" s="174">
        <f>($AH$113*$AH$101)*(AF102/$AF$112)</f>
        <v>645.82369161288591</v>
      </c>
      <c r="AI102" s="174">
        <f>($AI$113*$AI$101)*(AH102/$AH$112)</f>
        <v>489.59583791808046</v>
      </c>
      <c r="AJ102" s="174">
        <f>($AJ$113*$AJ$101)*(AI102/$AI$112)</f>
        <v>591.93848389454809</v>
      </c>
      <c r="AK102" s="174">
        <f>($AK$113*$AK$101)*(AJ102/$AJ$112)</f>
        <v>603.69741798369193</v>
      </c>
      <c r="AL102" s="249"/>
    </row>
    <row r="103" spans="1:38" outlineLevel="1" x14ac:dyDescent="0.2">
      <c r="A103" s="167"/>
      <c r="B103" s="36" t="s">
        <v>107</v>
      </c>
      <c r="C103" s="27"/>
      <c r="D103" s="174">
        <v>603.70000000000005</v>
      </c>
      <c r="E103" s="174">
        <v>618.4</v>
      </c>
      <c r="F103" s="174">
        <v>609.20000000000005</v>
      </c>
      <c r="G103" s="174">
        <v>597.29999999999995</v>
      </c>
      <c r="H103" s="187"/>
      <c r="I103" s="174">
        <v>607.1</v>
      </c>
      <c r="J103" s="174">
        <v>562.79999999999995</v>
      </c>
      <c r="K103" s="174">
        <v>483.4</v>
      </c>
      <c r="L103" s="174">
        <f>($L$113*$L$101)*(K103/$K$112)</f>
        <v>618.35144943730563</v>
      </c>
      <c r="M103" s="187"/>
      <c r="N103" s="174">
        <f t="shared" ref="N103:N107" si="630">($N$113*$N$101)*(L103/$L$112)</f>
        <v>684.79352490908548</v>
      </c>
      <c r="O103" s="174">
        <f t="shared" ref="O103:O107" si="631">($O$113*$O$101)*(N103/$N$112)</f>
        <v>530.46421540955521</v>
      </c>
      <c r="P103" s="174">
        <f t="shared" ref="P103:P104" si="632">($P$113*$P$101)*(O103/$O$112)</f>
        <v>635.80385540937107</v>
      </c>
      <c r="Q103" s="174">
        <f t="shared" ref="Q103:Q104" si="633">($Q$113*$Q$101)*(P103/$P$112)</f>
        <v>652.43812761932747</v>
      </c>
      <c r="R103" s="187"/>
      <c r="S103" s="174">
        <f t="shared" ref="S103:S104" si="634">($S$113*$S$101)*(Q103/$Q$112)</f>
        <v>745.85425900399957</v>
      </c>
      <c r="T103" s="174">
        <f t="shared" ref="T103:T104" si="635">($T$113*$T$101)*(S103/$S$112)</f>
        <v>573.76083702923461</v>
      </c>
      <c r="U103" s="174">
        <f t="shared" ref="U103:U104" si="636">($U$113*$U$101)*(T103/$T$112)</f>
        <v>689.13692277678354</v>
      </c>
      <c r="V103" s="174">
        <f t="shared" ref="V103:V104" si="637">($V$113*$V$101)*(U103/$U$112)</f>
        <v>702.51142520463691</v>
      </c>
      <c r="W103" s="187"/>
      <c r="X103" s="174">
        <f t="shared" ref="X103:X104" si="638">($X$113*$X$101)*(V103/$V$112)</f>
        <v>802.65695243433709</v>
      </c>
      <c r="Y103" s="174">
        <f t="shared" ref="Y103:Y104" si="639">($Y$113*$Y$101)*(X103/$X$112)</f>
        <v>614.03245233104838</v>
      </c>
      <c r="Z103" s="174">
        <f t="shared" ref="Z103:Z104" si="640">($Z$113*$Z$101)*(Y103/$Y$112)</f>
        <v>739.41832984362554</v>
      </c>
      <c r="AA103" s="174">
        <f t="shared" ref="AA103:AA104" si="641">($AA$113*$AA$101)*(Z103/$Z$112)</f>
        <v>753.92903689680509</v>
      </c>
      <c r="AB103" s="187"/>
      <c r="AC103" s="174">
        <f t="shared" ref="AC103:AC104" si="642">($AC$113*$AC$101)*(AA103/$AA$112)</f>
        <v>862.12170448234758</v>
      </c>
      <c r="AD103" s="174">
        <f t="shared" ref="AD103:AD104" si="643">($AD$113*$AD$101)*(AC103/$AC$112)</f>
        <v>656.40636189510406</v>
      </c>
      <c r="AE103" s="174">
        <f t="shared" ref="AE103:AE104" si="644">($AE$113*$AE$101)*(AD103/$AD$112)</f>
        <v>792.12080454001762</v>
      </c>
      <c r="AF103" s="174">
        <f t="shared" ref="AF103:AF104" si="645">($AF$113*$AF$101)*(AE103/$AE$112)</f>
        <v>807.76086067635254</v>
      </c>
      <c r="AG103" s="187"/>
      <c r="AH103" s="174">
        <f t="shared" ref="AH103:AH104" si="646">($AH$113*$AH$101)*(AF103/$AF$112)</f>
        <v>924.46305160103327</v>
      </c>
      <c r="AI103" s="174">
        <f t="shared" ref="AI103:AI104" si="647">($AI$113*$AI$101)*(AH103/$AH$112)</f>
        <v>700.83099807403016</v>
      </c>
      <c r="AJ103" s="174">
        <f t="shared" ref="AJ103:AJ104" si="648">($AJ$113*$AJ$101)*(AI103/$AI$112)</f>
        <v>847.32917712355459</v>
      </c>
      <c r="AK103" s="174">
        <f t="shared" ref="AK103:AK104" si="649">($AK$113*$AK$101)*(AJ103/$AJ$112)</f>
        <v>864.16148016972613</v>
      </c>
      <c r="AL103" s="187"/>
    </row>
    <row r="104" spans="1:38" outlineLevel="1" x14ac:dyDescent="0.2">
      <c r="A104" s="167"/>
      <c r="B104" s="36" t="s">
        <v>108</v>
      </c>
      <c r="C104" s="27"/>
      <c r="D104" s="174">
        <v>31.3</v>
      </c>
      <c r="E104" s="174">
        <v>26.3</v>
      </c>
      <c r="F104" s="174">
        <v>26.7</v>
      </c>
      <c r="G104" s="174">
        <v>31.9</v>
      </c>
      <c r="H104" s="187"/>
      <c r="I104" s="174">
        <v>35.9</v>
      </c>
      <c r="J104" s="174">
        <v>31.8</v>
      </c>
      <c r="K104" s="174">
        <v>37.5</v>
      </c>
      <c r="L104" s="174">
        <f>($L$113*$L$101)*(K104/$K$112)</f>
        <v>47.968927087089298</v>
      </c>
      <c r="M104" s="187"/>
      <c r="N104" s="174">
        <f t="shared" si="630"/>
        <v>53.123204766426788</v>
      </c>
      <c r="O104" s="174">
        <f t="shared" si="631"/>
        <v>41.151030363794625</v>
      </c>
      <c r="P104" s="174">
        <f t="shared" si="632"/>
        <v>49.322806325716627</v>
      </c>
      <c r="Q104" s="174">
        <f t="shared" si="633"/>
        <v>50.61321842309637</v>
      </c>
      <c r="R104" s="187"/>
      <c r="S104" s="174">
        <f t="shared" si="634"/>
        <v>57.860022161046736</v>
      </c>
      <c r="T104" s="174">
        <f t="shared" si="635"/>
        <v>44.509787729822726</v>
      </c>
      <c r="U104" s="174">
        <f t="shared" si="636"/>
        <v>53.460146057363239</v>
      </c>
      <c r="V104" s="174">
        <f t="shared" si="637"/>
        <v>54.497679861758158</v>
      </c>
      <c r="W104" s="187"/>
      <c r="X104" s="174">
        <f t="shared" si="638"/>
        <v>62.266519893023684</v>
      </c>
      <c r="Y104" s="174">
        <f t="shared" si="639"/>
        <v>47.633878697588585</v>
      </c>
      <c r="Z104" s="174">
        <f t="shared" si="640"/>
        <v>57.36075169453035</v>
      </c>
      <c r="AA104" s="174">
        <f t="shared" si="641"/>
        <v>58.486427148593727</v>
      </c>
      <c r="AB104" s="187"/>
      <c r="AC104" s="174">
        <f t="shared" si="642"/>
        <v>66.879528171468877</v>
      </c>
      <c r="AD104" s="174">
        <f t="shared" si="643"/>
        <v>50.921056208246611</v>
      </c>
      <c r="AE104" s="174">
        <f t="shared" si="644"/>
        <v>61.449172880121381</v>
      </c>
      <c r="AF104" s="174">
        <f t="shared" si="645"/>
        <v>62.662458161694737</v>
      </c>
      <c r="AG104" s="187"/>
      <c r="AH104" s="174">
        <f t="shared" si="646"/>
        <v>71.715689770456692</v>
      </c>
      <c r="AI104" s="174">
        <f t="shared" si="647"/>
        <v>54.367319875416108</v>
      </c>
      <c r="AJ104" s="174">
        <f t="shared" si="648"/>
        <v>65.731990364363512</v>
      </c>
      <c r="AK104" s="174">
        <f t="shared" si="649"/>
        <v>67.037764804229937</v>
      </c>
      <c r="AL104" s="187"/>
    </row>
    <row r="105" spans="1:38" outlineLevel="1" x14ac:dyDescent="0.2">
      <c r="A105" s="167"/>
      <c r="B105" s="36" t="s">
        <v>109</v>
      </c>
      <c r="C105" s="27"/>
      <c r="D105" s="203">
        <v>127</v>
      </c>
      <c r="E105" s="203">
        <v>130.4</v>
      </c>
      <c r="F105" s="203">
        <v>127.7</v>
      </c>
      <c r="G105" s="203">
        <v>126.5</v>
      </c>
      <c r="H105" s="250"/>
      <c r="I105" s="203">
        <v>126.6</v>
      </c>
      <c r="J105" s="203">
        <v>130</v>
      </c>
      <c r="K105" s="203">
        <v>128.5</v>
      </c>
      <c r="L105" s="174">
        <f>L242*(K105/(K72+K105+K119+K133))</f>
        <v>133.2635214525819</v>
      </c>
      <c r="M105" s="250"/>
      <c r="N105" s="174">
        <f>N242*(L105/(L72+L105+L119+L133))</f>
        <v>133.10385764954421</v>
      </c>
      <c r="O105" s="174">
        <f t="shared" ref="O105:Q105" si="650">O242*(N105/(N72+N105+N119+N133))</f>
        <v>133.10768368000356</v>
      </c>
      <c r="P105" s="174">
        <f t="shared" si="650"/>
        <v>133.96923254731482</v>
      </c>
      <c r="Q105" s="174">
        <f t="shared" si="650"/>
        <v>133.75163855714743</v>
      </c>
      <c r="R105" s="250"/>
      <c r="S105" s="174">
        <f>S242*(Q105/(Q72+Q105+Q119+Q133))</f>
        <v>135.819152643656</v>
      </c>
      <c r="T105" s="174">
        <f t="shared" ref="T105:V105" si="651">T242*(S105/(S72+S105+S119+S133))</f>
        <v>135.82062727863305</v>
      </c>
      <c r="U105" s="174">
        <f t="shared" si="651"/>
        <v>136.9858426605222</v>
      </c>
      <c r="V105" s="174">
        <f t="shared" si="651"/>
        <v>136.994214415155</v>
      </c>
      <c r="W105" s="250"/>
      <c r="X105" s="174">
        <f>X242*(V105/(V72+V105+V119+V133))</f>
        <v>139.63334705450427</v>
      </c>
      <c r="Y105" s="174">
        <f t="shared" ref="Y105:AA105" si="652">Y242*(X105/(X72+X105+X119+X133))</f>
        <v>139.63541104152387</v>
      </c>
      <c r="Z105" s="174">
        <f t="shared" si="652"/>
        <v>141.0496593967853</v>
      </c>
      <c r="AA105" s="174">
        <f t="shared" si="652"/>
        <v>141.23485769307476</v>
      </c>
      <c r="AB105" s="250"/>
      <c r="AC105" s="174">
        <f>AC242*(AA105/(AA72+AA105+AA119+AA133))</f>
        <v>144.33830395406568</v>
      </c>
      <c r="AD105" s="174">
        <f t="shared" ref="AD105:AF105" si="653">AD242*(AC105/(AC72+AC105+AC119+AC133))</f>
        <v>144.34079396744102</v>
      </c>
      <c r="AE105" s="174">
        <f t="shared" si="653"/>
        <v>145.97822672723089</v>
      </c>
      <c r="AF105" s="174">
        <f t="shared" si="653"/>
        <v>146.3102156383936</v>
      </c>
      <c r="AG105" s="250"/>
      <c r="AH105" s="174">
        <f>AH242*(AF105/(AF72+AF105+AF119+AF133))</f>
        <v>149.82437987036343</v>
      </c>
      <c r="AI105" s="174">
        <f t="shared" ref="AI105:AK105" si="654">AI242*(AH105/(AH72+AH105+AH119+AH133))</f>
        <v>149.82719375987287</v>
      </c>
      <c r="AJ105" s="174">
        <f t="shared" si="654"/>
        <v>151.72391187444222</v>
      </c>
      <c r="AK105" s="174">
        <f t="shared" si="654"/>
        <v>152.22785832687376</v>
      </c>
      <c r="AL105" s="250"/>
    </row>
    <row r="106" spans="1:38" outlineLevel="1" x14ac:dyDescent="0.2">
      <c r="A106" s="167"/>
      <c r="B106" s="36" t="s">
        <v>110</v>
      </c>
      <c r="C106" s="27"/>
      <c r="D106" s="174">
        <v>69.3</v>
      </c>
      <c r="E106" s="174">
        <v>80.2</v>
      </c>
      <c r="F106" s="174">
        <v>86</v>
      </c>
      <c r="G106" s="174">
        <v>82.4</v>
      </c>
      <c r="H106" s="187"/>
      <c r="I106" s="174">
        <v>67.2</v>
      </c>
      <c r="J106" s="174">
        <v>63.7</v>
      </c>
      <c r="K106" s="174">
        <v>66.099999999999994</v>
      </c>
      <c r="L106" s="174">
        <f t="shared" ref="L106:L107" si="655">($L$113*$L$101)*(K106/$K$112)</f>
        <v>84.553228812176059</v>
      </c>
      <c r="M106" s="187"/>
      <c r="N106" s="174">
        <f t="shared" si="630"/>
        <v>93.638502268288278</v>
      </c>
      <c r="O106" s="174">
        <f t="shared" si="631"/>
        <v>72.535549521248655</v>
      </c>
      <c r="P106" s="174">
        <f t="shared" ref="P106:P107" si="656">($P$113*$P$101)*(O106/$O$112)</f>
        <v>86.939666616796501</v>
      </c>
      <c r="Q106" s="174">
        <f t="shared" ref="Q106:Q107" si="657">($Q$113*$Q$101)*(P106/$P$112)</f>
        <v>89.21423300711119</v>
      </c>
      <c r="R106" s="187"/>
      <c r="S106" s="174">
        <f t="shared" ref="S106:S107" si="658">($S$113*$S$101)*(Q106/$Q$112)</f>
        <v>101.9879323958717</v>
      </c>
      <c r="T106" s="174">
        <f t="shared" ref="T106:T107" si="659">($T$113*$T$101)*(S106/$S$112)</f>
        <v>78.455919171767519</v>
      </c>
      <c r="U106" s="174">
        <f t="shared" ref="U106:U107" si="660">($U$113*$U$101)*(T106/$T$112)</f>
        <v>94.232417450445595</v>
      </c>
      <c r="V106" s="174">
        <f t="shared" ref="V106:V107" si="661">($V$113*$V$101)*(U106/$U$112)</f>
        <v>96.061243702992371</v>
      </c>
      <c r="W106" s="187"/>
      <c r="X106" s="174">
        <f t="shared" ref="X106:X107" si="662">($X$113*$X$101)*(V106/$V$112)</f>
        <v>109.75511906476974</v>
      </c>
      <c r="Y106" s="174">
        <f t="shared" ref="Y106:Y107" si="663">($Y$113*$Y$101)*(X106/$X$112)</f>
        <v>83.962650184282808</v>
      </c>
      <c r="Z106" s="174">
        <f t="shared" ref="Z106:Z107" si="664">($Z$113*$Z$101)*(Y106/$Y$112)</f>
        <v>101.10788498689215</v>
      </c>
      <c r="AA106" s="174">
        <f t="shared" ref="AA106:AA107" si="665">($AA$113*$AA$101)*(Z106/$Z$112)</f>
        <v>103.09207558725451</v>
      </c>
      <c r="AB106" s="187"/>
      <c r="AC106" s="174">
        <f t="shared" ref="AC106:AC107" si="666">($AC$113*$AC$101)*(AA106/$AA$112)</f>
        <v>117.88631499024243</v>
      </c>
      <c r="AD106" s="174">
        <f t="shared" ref="AD106:AD107" si="667">($AD$113*$AD$101)*(AC106/$AC$112)</f>
        <v>89.756848409735994</v>
      </c>
      <c r="AE106" s="174">
        <f t="shared" ref="AE106:AE107" si="668">($AE$113*$AE$101)*(AD106/$AD$112)</f>
        <v>108.31440873002724</v>
      </c>
      <c r="AF106" s="174">
        <f t="shared" ref="AF106:AF107" si="669">($AF$113*$AF$101)*(AE106/$AE$112)</f>
        <v>110.45302625301387</v>
      </c>
      <c r="AG106" s="187"/>
      <c r="AH106" s="174">
        <f t="shared" ref="AH106:AH107" si="670">($AH$113*$AH$101)*(AF106/$AF$112)</f>
        <v>126.4108558353916</v>
      </c>
      <c r="AI106" s="174">
        <f t="shared" ref="AI106:AI107" si="671">($AI$113*$AI$101)*(AH106/$AH$112)</f>
        <v>95.831462500400079</v>
      </c>
      <c r="AJ106" s="174">
        <f t="shared" ref="AJ106:AJ107" si="672">($AJ$113*$AJ$101)*(AI106/$AI$112)</f>
        <v>115.86358834891803</v>
      </c>
      <c r="AK106" s="174">
        <f t="shared" ref="AK106:AK107" si="673">($AK$113*$AK$101)*(AJ106/$AJ$112)</f>
        <v>118.16523342825592</v>
      </c>
      <c r="AL106" s="187"/>
    </row>
    <row r="107" spans="1:38" ht="18" outlineLevel="1" x14ac:dyDescent="0.35">
      <c r="A107" s="167"/>
      <c r="B107" s="36" t="s">
        <v>118</v>
      </c>
      <c r="C107" s="27"/>
      <c r="D107" s="204">
        <v>6.4</v>
      </c>
      <c r="E107" s="204">
        <v>24.2</v>
      </c>
      <c r="F107" s="204">
        <v>16.600000000000001</v>
      </c>
      <c r="G107" s="204">
        <v>12</v>
      </c>
      <c r="H107" s="251"/>
      <c r="I107" s="204">
        <v>0.8</v>
      </c>
      <c r="J107" s="204">
        <v>-1.2</v>
      </c>
      <c r="K107" s="204">
        <v>-0.2</v>
      </c>
      <c r="L107" s="173">
        <f t="shared" si="655"/>
        <v>-0.25583427779780959</v>
      </c>
      <c r="M107" s="251"/>
      <c r="N107" s="173">
        <f t="shared" si="630"/>
        <v>-0.28332375875427623</v>
      </c>
      <c r="O107" s="173">
        <f t="shared" si="631"/>
        <v>-0.21947216194023803</v>
      </c>
      <c r="P107" s="173">
        <f t="shared" si="656"/>
        <v>-0.2630549670704887</v>
      </c>
      <c r="Q107" s="173">
        <f t="shared" si="657"/>
        <v>-0.26993716492318065</v>
      </c>
      <c r="R107" s="251"/>
      <c r="S107" s="173">
        <f t="shared" si="658"/>
        <v>-0.30858678485891594</v>
      </c>
      <c r="T107" s="173">
        <f t="shared" si="659"/>
        <v>-0.23738553455905456</v>
      </c>
      <c r="U107" s="173">
        <f t="shared" si="660"/>
        <v>-0.28512077897260396</v>
      </c>
      <c r="V107" s="173">
        <f t="shared" si="661"/>
        <v>-0.29065429259604353</v>
      </c>
      <c r="W107" s="251"/>
      <c r="X107" s="173">
        <f t="shared" si="662"/>
        <v>-0.33208810609612638</v>
      </c>
      <c r="Y107" s="173">
        <f t="shared" si="663"/>
        <v>-0.25404735305380582</v>
      </c>
      <c r="Z107" s="173">
        <f t="shared" si="664"/>
        <v>-0.30592400903749523</v>
      </c>
      <c r="AA107" s="173">
        <f t="shared" si="665"/>
        <v>-0.31192761145916653</v>
      </c>
      <c r="AB107" s="251"/>
      <c r="AC107" s="173">
        <f t="shared" si="666"/>
        <v>-0.35669081691450066</v>
      </c>
      <c r="AD107" s="173">
        <f t="shared" si="667"/>
        <v>-0.27157896644398194</v>
      </c>
      <c r="AE107" s="173">
        <f t="shared" si="668"/>
        <v>-0.32772892202731402</v>
      </c>
      <c r="AF107" s="173">
        <f t="shared" si="669"/>
        <v>-0.3341997768623719</v>
      </c>
      <c r="AG107" s="251"/>
      <c r="AH107" s="173">
        <f t="shared" si="670"/>
        <v>-0.382483678775769</v>
      </c>
      <c r="AI107" s="173">
        <f t="shared" si="671"/>
        <v>-0.28995903933555256</v>
      </c>
      <c r="AJ107" s="173">
        <f t="shared" si="672"/>
        <v>-0.35057061527660532</v>
      </c>
      <c r="AK107" s="173">
        <f t="shared" si="673"/>
        <v>-0.3575347456225596</v>
      </c>
      <c r="AL107" s="251"/>
    </row>
    <row r="108" spans="1:38" outlineLevel="1" x14ac:dyDescent="0.2">
      <c r="A108" s="167"/>
      <c r="B108" s="100" t="s">
        <v>268</v>
      </c>
      <c r="C108" s="30"/>
      <c r="D108" s="172">
        <f t="shared" ref="D108:E108" si="674">SUM(D102:D107)</f>
        <v>1300.4000000000001</v>
      </c>
      <c r="E108" s="172">
        <f t="shared" si="674"/>
        <v>1349.7</v>
      </c>
      <c r="F108" s="172">
        <f t="shared" ref="F108" si="675">SUM(F102:F107)</f>
        <v>1342.3000000000002</v>
      </c>
      <c r="G108" s="172">
        <f t="shared" ref="G108" si="676">SUM(G102:G107)</f>
        <v>1336.2000000000003</v>
      </c>
      <c r="H108" s="250"/>
      <c r="I108" s="172">
        <f t="shared" ref="I108" si="677">SUM(I102:I107)</f>
        <v>1326.1</v>
      </c>
      <c r="J108" s="172">
        <f t="shared" ref="J108" si="678">SUM(J102:J107)</f>
        <v>1174.8</v>
      </c>
      <c r="K108" s="172">
        <f t="shared" ref="K108:L108" si="679">SUM(K102:K107)</f>
        <v>1052.9999999999998</v>
      </c>
      <c r="L108" s="172">
        <f t="shared" si="679"/>
        <v>1315.8574705729566</v>
      </c>
      <c r="M108" s="250"/>
      <c r="N108" s="172">
        <f t="shared" ref="N108:Q108" si="680">SUM(N102:N107)</f>
        <v>1442.7679324911858</v>
      </c>
      <c r="O108" s="172">
        <f t="shared" si="680"/>
        <v>1147.6177522487535</v>
      </c>
      <c r="P108" s="172">
        <f t="shared" si="680"/>
        <v>1349.9408178306485</v>
      </c>
      <c r="Q108" s="172">
        <f t="shared" si="680"/>
        <v>1381.5361834145499</v>
      </c>
      <c r="R108" s="250"/>
      <c r="S108" s="172">
        <f t="shared" ref="S108:V108" si="681">SUM(S102:S107)</f>
        <v>1562.2615656539945</v>
      </c>
      <c r="T108" s="172">
        <f t="shared" si="681"/>
        <v>1233.1352607778624</v>
      </c>
      <c r="U108" s="172">
        <f t="shared" si="681"/>
        <v>1454.9566434613835</v>
      </c>
      <c r="V108" s="172">
        <f t="shared" si="681"/>
        <v>1480.543681940366</v>
      </c>
      <c r="W108" s="250"/>
      <c r="X108" s="172">
        <f t="shared" ref="X108:AA108" si="682">SUM(X102:X107)</f>
        <v>1674.7106174838482</v>
      </c>
      <c r="Y108" s="172">
        <f t="shared" si="682"/>
        <v>1313.9693005327413</v>
      </c>
      <c r="Z108" s="172">
        <f t="shared" si="682"/>
        <v>1555.1833911726062</v>
      </c>
      <c r="AA108" s="172">
        <f t="shared" si="682"/>
        <v>1583.1202416630715</v>
      </c>
      <c r="AB108" s="250"/>
      <c r="AC108" s="172">
        <f t="shared" ref="AC108:AF108" si="683">SUM(AC102:AC107)</f>
        <v>1793.1416051413441</v>
      </c>
      <c r="AD108" s="172">
        <f t="shared" si="683"/>
        <v>1399.7145663547474</v>
      </c>
      <c r="AE108" s="172">
        <f t="shared" si="683"/>
        <v>1660.9051687984895</v>
      </c>
      <c r="AF108" s="172">
        <f t="shared" si="683"/>
        <v>1691.1486841847075</v>
      </c>
      <c r="AG108" s="250"/>
      <c r="AH108" s="172">
        <f t="shared" ref="AH108:AK108" si="684">SUM(AH102:AH107)</f>
        <v>1917.8551850113552</v>
      </c>
      <c r="AI108" s="172">
        <f t="shared" si="684"/>
        <v>1490.1628530884641</v>
      </c>
      <c r="AJ108" s="172">
        <f t="shared" si="684"/>
        <v>1772.2365809905498</v>
      </c>
      <c r="AK108" s="172">
        <f t="shared" si="684"/>
        <v>1804.9322199671551</v>
      </c>
      <c r="AL108" s="250"/>
    </row>
    <row r="109" spans="1:38" ht="18" outlineLevel="1" x14ac:dyDescent="0.35">
      <c r="A109" s="167"/>
      <c r="B109" s="36" t="s">
        <v>111</v>
      </c>
      <c r="C109" s="27"/>
      <c r="D109" s="204">
        <v>26.4</v>
      </c>
      <c r="E109" s="173">
        <v>22.1</v>
      </c>
      <c r="F109" s="173">
        <v>27.2</v>
      </c>
      <c r="G109" s="173">
        <v>26.8</v>
      </c>
      <c r="H109" s="247"/>
      <c r="I109" s="173">
        <v>30.9</v>
      </c>
      <c r="J109" s="173">
        <v>24.8</v>
      </c>
      <c r="K109" s="173">
        <v>17.399999999999999</v>
      </c>
      <c r="L109" s="51">
        <f>AVERAGE(G109,K109,I109,J109)</f>
        <v>24.974999999999998</v>
      </c>
      <c r="M109" s="252"/>
      <c r="N109" s="51">
        <f>AVERAGE(I109,J109,K109,L109)</f>
        <v>24.518749999999997</v>
      </c>
      <c r="O109" s="51">
        <f>AVERAGE(J109,K109,L109,N109)</f>
        <v>22.923437499999999</v>
      </c>
      <c r="P109" s="51">
        <f>AVERAGE(K109,L109,O109,N109)</f>
        <v>22.454296875000001</v>
      </c>
      <c r="Q109" s="51">
        <f>AVERAGE(L109,P109,N109,O109)</f>
        <v>23.717871093749999</v>
      </c>
      <c r="R109" s="247"/>
      <c r="S109" s="51">
        <f>AVERAGE(N109,O109,P109,Q109)</f>
        <v>23.403588867187501</v>
      </c>
      <c r="T109" s="51">
        <f>AVERAGE(O109,P109,Q109,S109)</f>
        <v>23.124798583984372</v>
      </c>
      <c r="U109" s="51">
        <f>AVERAGE(P109,Q109,T109,S109)</f>
        <v>23.175138854980467</v>
      </c>
      <c r="V109" s="51">
        <f>AVERAGE(Q109,U109,S109,T109)</f>
        <v>23.355349349975587</v>
      </c>
      <c r="W109" s="247"/>
      <c r="X109" s="51">
        <f>AVERAGE(S109,T109,U109,V109)</f>
        <v>23.264718914031981</v>
      </c>
      <c r="Y109" s="51">
        <f>AVERAGE(T109,U109,V109,X109)</f>
        <v>23.230001425743104</v>
      </c>
      <c r="Z109" s="51">
        <f>AVERAGE(U109,V109,Y109,X109)</f>
        <v>23.256302136182789</v>
      </c>
      <c r="AA109" s="51">
        <f>AVERAGE(V109,Z109,X109,Y109)</f>
        <v>23.276592956483363</v>
      </c>
      <c r="AB109" s="247"/>
      <c r="AC109" s="51">
        <f>AVERAGE(X109,Y109,Z109,AA109)</f>
        <v>23.256903858110313</v>
      </c>
      <c r="AD109" s="51">
        <f>AVERAGE(Y109,Z109,AA109,AC109)</f>
        <v>23.254950094129896</v>
      </c>
      <c r="AE109" s="51">
        <f>AVERAGE(Z109,AA109,AD109,AC109)</f>
        <v>23.261187261226588</v>
      </c>
      <c r="AF109" s="51">
        <f>AVERAGE(AA109,AE109,AC109,AD109)</f>
        <v>23.262408542487542</v>
      </c>
      <c r="AG109" s="247"/>
      <c r="AH109" s="51">
        <f>AVERAGE(AC109,AD109,AE109,AF109)</f>
        <v>23.258862438988587</v>
      </c>
      <c r="AI109" s="51">
        <f>AVERAGE(AD109,AE109,AF109,AH109)</f>
        <v>23.259352084208153</v>
      </c>
      <c r="AJ109" s="51">
        <f>AVERAGE(AE109,AF109,AI109,AH109)</f>
        <v>23.260452581727719</v>
      </c>
      <c r="AK109" s="51">
        <f>AVERAGE(AF109,AJ109,AH109,AI109)</f>
        <v>23.260268911853004</v>
      </c>
      <c r="AL109" s="247"/>
    </row>
    <row r="110" spans="1:38" outlineLevel="1" x14ac:dyDescent="0.2">
      <c r="A110" s="167"/>
      <c r="B110" s="100" t="s">
        <v>269</v>
      </c>
      <c r="C110" s="90"/>
      <c r="D110" s="303">
        <f t="shared" ref="D110:J110" si="685">+D101-D108+D109</f>
        <v>229.99999999999991</v>
      </c>
      <c r="E110" s="303">
        <f t="shared" si="685"/>
        <v>201.80000000000004</v>
      </c>
      <c r="F110" s="303">
        <f t="shared" si="685"/>
        <v>270.19999999999976</v>
      </c>
      <c r="G110" s="303">
        <f t="shared" si="685"/>
        <v>262.69999999999987</v>
      </c>
      <c r="H110" s="252">
        <f>SUM(D110:G110)</f>
        <v>964.69999999999959</v>
      </c>
      <c r="I110" s="303">
        <f t="shared" si="685"/>
        <v>275.89999999999998</v>
      </c>
      <c r="J110" s="303">
        <f t="shared" si="685"/>
        <v>-15.400000000000045</v>
      </c>
      <c r="K110" s="303">
        <f>+K101-K108+K109</f>
        <v>-85.999999999999744</v>
      </c>
      <c r="L110" s="303">
        <f>+L101-L108+L109</f>
        <v>52.974289791105178</v>
      </c>
      <c r="M110" s="252">
        <f>SUM(I110:L110)</f>
        <v>227.47428979110538</v>
      </c>
      <c r="N110" s="303">
        <f>+N101-N108+N109</f>
        <v>218.83091106086619</v>
      </c>
      <c r="O110" s="303">
        <f t="shared" ref="O110:Q110" si="686">+O101-O108+O109</f>
        <v>175.95961931374646</v>
      </c>
      <c r="P110" s="303">
        <f t="shared" si="686"/>
        <v>192.47796064851838</v>
      </c>
      <c r="Q110" s="303">
        <f t="shared" si="686"/>
        <v>264.78837800091958</v>
      </c>
      <c r="R110" s="252">
        <f>SUM(N110:Q110)</f>
        <v>852.05686902405057</v>
      </c>
      <c r="S110" s="303">
        <f>+S101-S108+S109</f>
        <v>244.19503947611642</v>
      </c>
      <c r="T110" s="303">
        <f t="shared" ref="T110" si="687">+T101-T108+T109</f>
        <v>196.8031704974415</v>
      </c>
      <c r="U110" s="303">
        <f t="shared" ref="U110" si="688">+U101-U108+U109</f>
        <v>215.68199639467358</v>
      </c>
      <c r="V110" s="303">
        <f t="shared" ref="V110" si="689">+V101-V108+V109</f>
        <v>289.95011672717879</v>
      </c>
      <c r="W110" s="252">
        <f>SUM(S110:V110)</f>
        <v>946.63032309541018</v>
      </c>
      <c r="X110" s="303">
        <f>+X101-X108+X109</f>
        <v>267.40068946686335</v>
      </c>
      <c r="Y110" s="303">
        <f t="shared" ref="Y110" si="690">+Y101-Y108+Y109</f>
        <v>214.81696947148575</v>
      </c>
      <c r="Z110" s="303">
        <f t="shared" ref="Z110" si="691">+Z101-Z108+Z109</f>
        <v>235.74007568335338</v>
      </c>
      <c r="AA110" s="303">
        <f t="shared" ref="AA110" si="692">+AA101-AA108+AA109</f>
        <v>315.16985450537106</v>
      </c>
      <c r="AB110" s="252">
        <f>SUM(X110:AA110)</f>
        <v>1033.1275891270734</v>
      </c>
      <c r="AC110" s="303">
        <f>+AC101-AC108+AC109</f>
        <v>291.11942520086455</v>
      </c>
      <c r="AD110" s="303">
        <f t="shared" ref="AD110" si="693">+AD101-AD108+AD109</f>
        <v>232.99393808208234</v>
      </c>
      <c r="AE110" s="303">
        <f t="shared" ref="AE110" si="694">+AE101-AE108+AE109</f>
        <v>256.01469605181057</v>
      </c>
      <c r="AF110" s="303">
        <f t="shared" ref="AF110" si="695">+AF101-AF108+AF109</f>
        <v>341.00640127106186</v>
      </c>
      <c r="AG110" s="252">
        <f>SUM(AC110:AF110)</f>
        <v>1121.1344606058194</v>
      </c>
      <c r="AH110" s="303">
        <f>+AH101-AH108+AH109</f>
        <v>315.44218385387296</v>
      </c>
      <c r="AI110" s="303">
        <f t="shared" ref="AI110" si="696">+AI101-AI108+AI109</f>
        <v>251.47554941701497</v>
      </c>
      <c r="AJ110" s="303">
        <f t="shared" ref="AJ110" si="697">+AJ101-AJ108+AJ109</f>
        <v>276.66470798631246</v>
      </c>
      <c r="AK110" s="303">
        <f t="shared" ref="AK110" si="698">+AK101-AK108+AK109</f>
        <v>367.48846720254096</v>
      </c>
      <c r="AL110" s="252">
        <f>SUM(AH110:AK110)</f>
        <v>1211.0709084597415</v>
      </c>
    </row>
    <row r="111" spans="1:38" outlineLevel="1" x14ac:dyDescent="0.2">
      <c r="A111" s="167"/>
      <c r="B111" s="100" t="s">
        <v>270</v>
      </c>
      <c r="C111" s="90"/>
      <c r="D111" s="304">
        <f t="shared" ref="D111" si="699">+D110/D101</f>
        <v>0.15292553191489355</v>
      </c>
      <c r="E111" s="304">
        <f t="shared" ref="E111" si="700">+E110/E101</f>
        <v>0.1319471688243756</v>
      </c>
      <c r="F111" s="304">
        <f t="shared" ref="F111" si="701">+F110/F101</f>
        <v>0.17044092600769556</v>
      </c>
      <c r="G111" s="304">
        <f t="shared" ref="G111" si="702">+G110/G101</f>
        <v>0.16710132943196987</v>
      </c>
      <c r="H111" s="253">
        <f>H110/H101</f>
        <v>0.15582800284292814</v>
      </c>
      <c r="I111" s="304">
        <f t="shared" ref="I111" si="703">+I110/I101</f>
        <v>0.17560944561135511</v>
      </c>
      <c r="J111" s="304">
        <f t="shared" ref="J111" si="704">+J110/J101</f>
        <v>-1.3573065397496956E-2</v>
      </c>
      <c r="K111" s="304">
        <f t="shared" ref="K111:L111" si="705">+K110/K101</f>
        <v>-9.0564448188710761E-2</v>
      </c>
      <c r="L111" s="304">
        <f t="shared" si="705"/>
        <v>3.9419595416370128E-2</v>
      </c>
      <c r="M111" s="253">
        <f>M110/M101</f>
        <v>4.550253186590205E-2</v>
      </c>
      <c r="N111" s="304">
        <f t="shared" ref="N111:Q111" si="706">+N110/N101</f>
        <v>0.13367147516042308</v>
      </c>
      <c r="O111" s="304">
        <f t="shared" si="706"/>
        <v>0.1352855011664395</v>
      </c>
      <c r="P111" s="304">
        <f t="shared" si="706"/>
        <v>0.12663319635296846</v>
      </c>
      <c r="Q111" s="304">
        <f t="shared" si="706"/>
        <v>0.16318703699441739</v>
      </c>
      <c r="R111" s="253">
        <f>R110/R101</f>
        <v>0.14013389806295426</v>
      </c>
      <c r="S111" s="304">
        <f t="shared" ref="S111:V111" si="707">+S110/S101</f>
        <v>0.13695332513887976</v>
      </c>
      <c r="T111" s="304">
        <f t="shared" si="707"/>
        <v>0.13989285142264732</v>
      </c>
      <c r="U111" s="304">
        <f t="shared" si="707"/>
        <v>0.13091761745472055</v>
      </c>
      <c r="V111" s="304">
        <f t="shared" si="707"/>
        <v>0.1659571494408088</v>
      </c>
      <c r="W111" s="253">
        <f>W110/W101</f>
        <v>0.14376715581876187</v>
      </c>
      <c r="X111" s="304">
        <f t="shared" ref="X111:AA111" si="708">+X110/X101</f>
        <v>0.13935490785663157</v>
      </c>
      <c r="Y111" s="304">
        <f t="shared" si="708"/>
        <v>0.14268279037774631</v>
      </c>
      <c r="Z111" s="304">
        <f t="shared" si="708"/>
        <v>0.13336225302387431</v>
      </c>
      <c r="AA111" s="304">
        <f t="shared" si="708"/>
        <v>0.16808937853806111</v>
      </c>
      <c r="AB111" s="253">
        <f>AB110/AB101</f>
        <v>0.14618867677714498</v>
      </c>
      <c r="AC111" s="304">
        <f t="shared" ref="AC111:AF111" si="709">+AC110/AC101</f>
        <v>0.14125125780193856</v>
      </c>
      <c r="AD111" s="304">
        <f t="shared" si="709"/>
        <v>0.1447658663112133</v>
      </c>
      <c r="AE111" s="304">
        <f t="shared" si="709"/>
        <v>0.13519579799764006</v>
      </c>
      <c r="AF111" s="304">
        <f t="shared" si="709"/>
        <v>0.16974844161163824</v>
      </c>
      <c r="AG111" s="253">
        <f>AG110/AG101</f>
        <v>0.14804346005340402</v>
      </c>
      <c r="AH111" s="304">
        <f t="shared" ref="AH111:AK111" si="710">+AH110/AH101</f>
        <v>0.14273153292879104</v>
      </c>
      <c r="AI111" s="304">
        <f t="shared" si="710"/>
        <v>0.14634463179434376</v>
      </c>
      <c r="AJ111" s="304">
        <f t="shared" si="710"/>
        <v>0.13658132429768238</v>
      </c>
      <c r="AK111" s="304">
        <f t="shared" si="710"/>
        <v>0.17099164123841218</v>
      </c>
      <c r="AL111" s="253">
        <f>AL110/AL101</f>
        <v>0.14945553571142986</v>
      </c>
    </row>
    <row r="112" spans="1:38" s="128" customFormat="1" outlineLevel="1" x14ac:dyDescent="0.2">
      <c r="A112" s="183"/>
      <c r="B112" s="131" t="s">
        <v>139</v>
      </c>
      <c r="C112" s="129"/>
      <c r="D112" s="113">
        <f t="shared" ref="D112:G112" si="711">+D108-D105</f>
        <v>1173.4000000000001</v>
      </c>
      <c r="E112" s="113">
        <f t="shared" si="711"/>
        <v>1219.3</v>
      </c>
      <c r="F112" s="113">
        <f t="shared" si="711"/>
        <v>1214.6000000000001</v>
      </c>
      <c r="G112" s="113">
        <f t="shared" si="711"/>
        <v>1209.7000000000003</v>
      </c>
      <c r="H112" s="115"/>
      <c r="I112" s="113">
        <f t="shared" ref="I112:Q112" si="712">+I108-I105</f>
        <v>1199.5</v>
      </c>
      <c r="J112" s="113">
        <f t="shared" si="712"/>
        <v>1044.8</v>
      </c>
      <c r="K112" s="113">
        <f t="shared" si="712"/>
        <v>924.49999999999977</v>
      </c>
      <c r="L112" s="113">
        <f t="shared" si="712"/>
        <v>1182.5939491203746</v>
      </c>
      <c r="M112" s="255"/>
      <c r="N112" s="113">
        <f t="shared" si="712"/>
        <v>1309.6640748416416</v>
      </c>
      <c r="O112" s="113">
        <f t="shared" si="712"/>
        <v>1014.5100685687499</v>
      </c>
      <c r="P112" s="113">
        <f t="shared" si="712"/>
        <v>1215.9715852833338</v>
      </c>
      <c r="Q112" s="113">
        <f t="shared" si="712"/>
        <v>1247.7845448574026</v>
      </c>
      <c r="R112" s="255"/>
      <c r="S112" s="113">
        <f t="shared" ref="S112:V112" si="713">+S108-S105</f>
        <v>1426.4424130103384</v>
      </c>
      <c r="T112" s="113">
        <f t="shared" si="713"/>
        <v>1097.3146334992293</v>
      </c>
      <c r="U112" s="113">
        <f t="shared" si="713"/>
        <v>1317.9708008008613</v>
      </c>
      <c r="V112" s="113">
        <f t="shared" si="713"/>
        <v>1343.549467525211</v>
      </c>
      <c r="W112" s="255"/>
      <c r="X112" s="113">
        <f t="shared" ref="X112:AA112" si="714">+X108-X105</f>
        <v>1535.077270429344</v>
      </c>
      <c r="Y112" s="113">
        <f t="shared" si="714"/>
        <v>1174.3338894912174</v>
      </c>
      <c r="Z112" s="113">
        <f t="shared" si="714"/>
        <v>1414.1337317758209</v>
      </c>
      <c r="AA112" s="113">
        <f t="shared" si="714"/>
        <v>1441.8853839699968</v>
      </c>
      <c r="AB112" s="255"/>
      <c r="AC112" s="113">
        <f t="shared" ref="AC112:AF112" si="715">+AC108-AC105</f>
        <v>1648.8033011872785</v>
      </c>
      <c r="AD112" s="113">
        <f t="shared" si="715"/>
        <v>1255.3737723873064</v>
      </c>
      <c r="AE112" s="113">
        <f t="shared" si="715"/>
        <v>1514.9269420712585</v>
      </c>
      <c r="AF112" s="113">
        <f t="shared" si="715"/>
        <v>1544.8384685463138</v>
      </c>
      <c r="AG112" s="255"/>
      <c r="AH112" s="113">
        <f t="shared" ref="AH112:AK112" si="716">+AH108-AH105</f>
        <v>1768.0308051409918</v>
      </c>
      <c r="AI112" s="113">
        <f t="shared" si="716"/>
        <v>1340.3356593285912</v>
      </c>
      <c r="AJ112" s="113">
        <f t="shared" si="716"/>
        <v>1620.5126691161076</v>
      </c>
      <c r="AK112" s="113">
        <f t="shared" si="716"/>
        <v>1652.7043616402814</v>
      </c>
      <c r="AL112" s="255"/>
    </row>
    <row r="113" spans="1:38" s="128" customFormat="1" outlineLevel="1" x14ac:dyDescent="0.2">
      <c r="A113" s="183"/>
      <c r="B113" s="131" t="s">
        <v>140</v>
      </c>
      <c r="C113" s="129"/>
      <c r="D113" s="132">
        <f t="shared" ref="D113:K113" si="717">+D112/D101</f>
        <v>0.78018617021276604</v>
      </c>
      <c r="E113" s="132">
        <f t="shared" si="717"/>
        <v>0.79724074800575384</v>
      </c>
      <c r="F113" s="197">
        <f t="shared" si="717"/>
        <v>0.7661641329716774</v>
      </c>
      <c r="G113" s="197">
        <f t="shared" si="717"/>
        <v>0.7694803129571911</v>
      </c>
      <c r="H113" s="255"/>
      <c r="I113" s="197">
        <f t="shared" si="717"/>
        <v>0.76347781808923687</v>
      </c>
      <c r="J113" s="197">
        <f t="shared" si="717"/>
        <v>0.92085316411069984</v>
      </c>
      <c r="K113" s="197">
        <f t="shared" si="717"/>
        <v>0.97356781802864334</v>
      </c>
      <c r="L113" s="346">
        <v>0.88</v>
      </c>
      <c r="M113" s="255"/>
      <c r="N113" s="346">
        <v>0.8</v>
      </c>
      <c r="O113" s="346">
        <v>0.78</v>
      </c>
      <c r="P113" s="346">
        <v>0.8</v>
      </c>
      <c r="Q113" s="346">
        <v>0.76900000000000002</v>
      </c>
      <c r="R113" s="255"/>
      <c r="S113" s="346">
        <v>0.8</v>
      </c>
      <c r="T113" s="346">
        <v>0.78</v>
      </c>
      <c r="U113" s="346">
        <v>0.8</v>
      </c>
      <c r="V113" s="346">
        <v>0.76900000000000002</v>
      </c>
      <c r="W113" s="255"/>
      <c r="X113" s="346">
        <v>0.8</v>
      </c>
      <c r="Y113" s="346">
        <v>0.78</v>
      </c>
      <c r="Z113" s="346">
        <v>0.8</v>
      </c>
      <c r="AA113" s="346">
        <v>0.76900000000000002</v>
      </c>
      <c r="AB113" s="255"/>
      <c r="AC113" s="346">
        <v>0.8</v>
      </c>
      <c r="AD113" s="346">
        <v>0.78</v>
      </c>
      <c r="AE113" s="346">
        <v>0.8</v>
      </c>
      <c r="AF113" s="346">
        <v>0.76900000000000002</v>
      </c>
      <c r="AG113" s="255"/>
      <c r="AH113" s="346">
        <v>0.8</v>
      </c>
      <c r="AI113" s="346">
        <v>0.78</v>
      </c>
      <c r="AJ113" s="346">
        <v>0.8</v>
      </c>
      <c r="AK113" s="346">
        <v>0.76900000000000002</v>
      </c>
      <c r="AL113" s="255"/>
    </row>
    <row r="114" spans="1:38" ht="19" x14ac:dyDescent="0.35">
      <c r="A114" s="167"/>
      <c r="B114" s="417" t="s">
        <v>141</v>
      </c>
      <c r="C114" s="436"/>
      <c r="D114" s="23" t="s">
        <v>72</v>
      </c>
      <c r="E114" s="23" t="s">
        <v>212</v>
      </c>
      <c r="F114" s="23" t="s">
        <v>216</v>
      </c>
      <c r="G114" s="23" t="s">
        <v>226</v>
      </c>
      <c r="H114" s="78" t="s">
        <v>227</v>
      </c>
      <c r="I114" s="23" t="s">
        <v>228</v>
      </c>
      <c r="J114" s="23" t="s">
        <v>229</v>
      </c>
      <c r="K114" s="23" t="s">
        <v>230</v>
      </c>
      <c r="L114" s="21" t="s">
        <v>90</v>
      </c>
      <c r="M114" s="80" t="s">
        <v>91</v>
      </c>
      <c r="N114" s="21" t="s">
        <v>92</v>
      </c>
      <c r="O114" s="21" t="s">
        <v>93</v>
      </c>
      <c r="P114" s="21" t="s">
        <v>94</v>
      </c>
      <c r="Q114" s="21" t="s">
        <v>95</v>
      </c>
      <c r="R114" s="80" t="s">
        <v>96</v>
      </c>
      <c r="S114" s="21" t="s">
        <v>97</v>
      </c>
      <c r="T114" s="21" t="s">
        <v>98</v>
      </c>
      <c r="U114" s="21" t="s">
        <v>99</v>
      </c>
      <c r="V114" s="21" t="s">
        <v>100</v>
      </c>
      <c r="W114" s="80" t="s">
        <v>101</v>
      </c>
      <c r="X114" s="21" t="s">
        <v>102</v>
      </c>
      <c r="Y114" s="21" t="s">
        <v>103</v>
      </c>
      <c r="Z114" s="21" t="s">
        <v>104</v>
      </c>
      <c r="AA114" s="21" t="s">
        <v>105</v>
      </c>
      <c r="AB114" s="80" t="s">
        <v>106</v>
      </c>
      <c r="AC114" s="21" t="s">
        <v>221</v>
      </c>
      <c r="AD114" s="21" t="s">
        <v>222</v>
      </c>
      <c r="AE114" s="21" t="s">
        <v>223</v>
      </c>
      <c r="AF114" s="21" t="s">
        <v>224</v>
      </c>
      <c r="AG114" s="80" t="s">
        <v>225</v>
      </c>
      <c r="AH114" s="21" t="s">
        <v>254</v>
      </c>
      <c r="AI114" s="21" t="s">
        <v>255</v>
      </c>
      <c r="AJ114" s="21" t="s">
        <v>256</v>
      </c>
      <c r="AK114" s="21" t="s">
        <v>257</v>
      </c>
      <c r="AL114" s="80" t="s">
        <v>258</v>
      </c>
    </row>
    <row r="115" spans="1:38" s="13" customFormat="1" outlineLevel="1" x14ac:dyDescent="0.2">
      <c r="A115" s="182"/>
      <c r="B115" s="428" t="s">
        <v>271</v>
      </c>
      <c r="C115" s="429"/>
      <c r="D115" s="104">
        <v>504.6</v>
      </c>
      <c r="E115" s="104">
        <v>446.6</v>
      </c>
      <c r="F115" s="172">
        <v>533.29999999999995</v>
      </c>
      <c r="G115" s="104">
        <v>508.1</v>
      </c>
      <c r="H115" s="50">
        <f>SUM(D115:G115)</f>
        <v>1992.6</v>
      </c>
      <c r="I115" s="104">
        <v>494.6</v>
      </c>
      <c r="J115" s="104">
        <v>519.1</v>
      </c>
      <c r="K115" s="104">
        <v>447.3</v>
      </c>
      <c r="L115" s="172">
        <f>G115*(1+L116)</f>
        <v>533.505</v>
      </c>
      <c r="M115" s="301"/>
      <c r="N115" s="172">
        <f t="shared" ref="N115" si="718">I115*(1+N116)</f>
        <v>519.33000000000004</v>
      </c>
      <c r="O115" s="172">
        <f t="shared" ref="O115" si="719">J115*(1+O116)</f>
        <v>545.05500000000006</v>
      </c>
      <c r="P115" s="172">
        <f t="shared" ref="P115" si="720">K115*(1+P116)</f>
        <v>478.61100000000005</v>
      </c>
      <c r="Q115" s="172">
        <f t="shared" ref="Q115" si="721">L115*(1+Q116)</f>
        <v>570.85035000000005</v>
      </c>
      <c r="R115" s="234"/>
      <c r="S115" s="172">
        <f t="shared" ref="S115" si="722">N115*(1+S116)</f>
        <v>555.68310000000008</v>
      </c>
      <c r="T115" s="172">
        <f t="shared" ref="T115" si="723">O115*(1+T116)</f>
        <v>583.2088500000001</v>
      </c>
      <c r="U115" s="172">
        <f t="shared" ref="U115" si="724">P115*(1+U116)</f>
        <v>512.11377000000005</v>
      </c>
      <c r="V115" s="172">
        <f t="shared" ref="V115" si="725">Q115*(1+V116)</f>
        <v>610.80987450000009</v>
      </c>
      <c r="W115" s="234"/>
      <c r="X115" s="172">
        <f t="shared" ref="X115" si="726">S115*(1+X116)</f>
        <v>594.58091700000011</v>
      </c>
      <c r="Y115" s="172">
        <f t="shared" ref="Y115" si="727">T115*(1+Y116)</f>
        <v>624.03346950000014</v>
      </c>
      <c r="Z115" s="172">
        <f t="shared" ref="Z115" si="728">U115*(1+Z116)</f>
        <v>547.96173390000013</v>
      </c>
      <c r="AA115" s="172">
        <f t="shared" ref="AA115" si="729">V115*(1+AA116)</f>
        <v>653.56656571500014</v>
      </c>
      <c r="AB115" s="234"/>
      <c r="AC115" s="172">
        <f t="shared" ref="AC115" si="730">X115*(1+AC116)</f>
        <v>636.20158119000018</v>
      </c>
      <c r="AD115" s="172">
        <f t="shared" ref="AD115" si="731">Y115*(1+AD116)</f>
        <v>667.71581236500015</v>
      </c>
      <c r="AE115" s="172">
        <f t="shared" ref="AE115" si="732">Z115*(1+AE116)</f>
        <v>586.31905527300012</v>
      </c>
      <c r="AF115" s="172">
        <f t="shared" ref="AF115" si="733">AA115*(1+AF116)</f>
        <v>699.31622531505013</v>
      </c>
      <c r="AG115" s="234"/>
      <c r="AH115" s="172">
        <f t="shared" ref="AH115" si="734">AC115*(1+AH116)</f>
        <v>680.7356918733002</v>
      </c>
      <c r="AI115" s="172">
        <f t="shared" ref="AI115" si="735">AD115*(1+AI116)</f>
        <v>714.45591923055019</v>
      </c>
      <c r="AJ115" s="172">
        <f t="shared" ref="AJ115" si="736">AE115*(1+AJ116)</f>
        <v>627.36138914211017</v>
      </c>
      <c r="AK115" s="172">
        <f t="shared" ref="AK115" si="737">AF115*(1+AK116)</f>
        <v>748.2683610871037</v>
      </c>
      <c r="AL115" s="234"/>
    </row>
    <row r="116" spans="1:38" outlineLevel="1" x14ac:dyDescent="0.2">
      <c r="A116" s="167"/>
      <c r="B116" s="124" t="s">
        <v>148</v>
      </c>
      <c r="C116" s="125"/>
      <c r="D116" s="205"/>
      <c r="E116" s="205"/>
      <c r="F116" s="205"/>
      <c r="G116" s="205"/>
      <c r="H116" s="108"/>
      <c r="I116" s="205">
        <f>I115/D115-1</f>
        <v>-1.9817677368212494E-2</v>
      </c>
      <c r="J116" s="205">
        <f t="shared" ref="J116" si="738">J115/E115-1</f>
        <v>0.16233766233766223</v>
      </c>
      <c r="K116" s="205">
        <f>K115/F115-1</f>
        <v>-0.1612600787549221</v>
      </c>
      <c r="L116" s="342">
        <v>0.05</v>
      </c>
      <c r="M116" s="250"/>
      <c r="N116" s="342">
        <v>0.05</v>
      </c>
      <c r="O116" s="342">
        <v>0.05</v>
      </c>
      <c r="P116" s="342">
        <v>7.0000000000000007E-2</v>
      </c>
      <c r="Q116" s="343">
        <v>7.0000000000000007E-2</v>
      </c>
      <c r="R116" s="344"/>
      <c r="S116" s="342">
        <v>7.0000000000000007E-2</v>
      </c>
      <c r="T116" s="342">
        <v>7.0000000000000007E-2</v>
      </c>
      <c r="U116" s="342">
        <v>7.0000000000000007E-2</v>
      </c>
      <c r="V116" s="342">
        <v>7.0000000000000007E-2</v>
      </c>
      <c r="W116" s="302"/>
      <c r="X116" s="342">
        <v>7.0000000000000007E-2</v>
      </c>
      <c r="Y116" s="342">
        <v>7.0000000000000007E-2</v>
      </c>
      <c r="Z116" s="342">
        <v>7.0000000000000007E-2</v>
      </c>
      <c r="AA116" s="342">
        <v>7.0000000000000007E-2</v>
      </c>
      <c r="AB116" s="302"/>
      <c r="AC116" s="342">
        <v>7.0000000000000007E-2</v>
      </c>
      <c r="AD116" s="342">
        <v>7.0000000000000007E-2</v>
      </c>
      <c r="AE116" s="342">
        <v>7.0000000000000007E-2</v>
      </c>
      <c r="AF116" s="342">
        <v>7.0000000000000007E-2</v>
      </c>
      <c r="AG116" s="302"/>
      <c r="AH116" s="342">
        <v>7.0000000000000007E-2</v>
      </c>
      <c r="AI116" s="342">
        <v>7.0000000000000007E-2</v>
      </c>
      <c r="AJ116" s="342">
        <v>7.0000000000000007E-2</v>
      </c>
      <c r="AK116" s="342">
        <v>7.0000000000000007E-2</v>
      </c>
      <c r="AL116" s="302"/>
    </row>
    <row r="117" spans="1:38" outlineLevel="1" x14ac:dyDescent="0.2">
      <c r="A117" s="167"/>
      <c r="B117" s="474" t="s">
        <v>231</v>
      </c>
      <c r="C117" s="475"/>
      <c r="D117" s="102">
        <v>348.4</v>
      </c>
      <c r="E117" s="102">
        <v>305.39999999999998</v>
      </c>
      <c r="F117" s="102">
        <v>377.1</v>
      </c>
      <c r="G117" s="102">
        <v>359.1</v>
      </c>
      <c r="H117" s="133"/>
      <c r="I117" s="102">
        <v>338.8</v>
      </c>
      <c r="J117" s="102">
        <v>351.6</v>
      </c>
      <c r="K117" s="102">
        <v>319.89999999999998</v>
      </c>
      <c r="L117" s="174">
        <f>(L115*L127)*(K117/K126)</f>
        <v>341.06255317415736</v>
      </c>
      <c r="M117" s="187"/>
      <c r="N117" s="174">
        <f>(N115*N127)*(L117/L126)</f>
        <v>325.33398674157303</v>
      </c>
      <c r="O117" s="174">
        <f t="shared" ref="O117:Q117" si="739">(O115*O127)*(N117/N126)</f>
        <v>340.51647668539334</v>
      </c>
      <c r="P117" s="174">
        <f t="shared" si="739"/>
        <v>307.19835252808991</v>
      </c>
      <c r="Q117" s="174">
        <f t="shared" si="739"/>
        <v>366.40254206460668</v>
      </c>
      <c r="R117" s="249"/>
      <c r="S117" s="174">
        <f>(S115*S127)*(Q117/Q126)</f>
        <v>348.10736581348323</v>
      </c>
      <c r="T117" s="174">
        <f t="shared" ref="T117:V117" si="740">(T115*T127)*(S117/S126)</f>
        <v>364.35263005337089</v>
      </c>
      <c r="U117" s="174">
        <f t="shared" si="740"/>
        <v>328.70223720505624</v>
      </c>
      <c r="V117" s="174">
        <f t="shared" si="740"/>
        <v>392.05072000912924</v>
      </c>
      <c r="W117" s="249"/>
      <c r="X117" s="174">
        <f>(X115*X127)*(V117/V126)</f>
        <v>372.47488142042704</v>
      </c>
      <c r="Y117" s="174">
        <f t="shared" ref="Y117:AA117" si="741">(Y115*Y127)*(X117/X126)</f>
        <v>389.85731415710683</v>
      </c>
      <c r="Z117" s="174">
        <f t="shared" si="741"/>
        <v>351.7113938094102</v>
      </c>
      <c r="AA117" s="174">
        <f t="shared" si="741"/>
        <v>419.49427040976832</v>
      </c>
      <c r="AB117" s="249"/>
      <c r="AC117" s="174">
        <f>(AC115*AC127)*(AA117/AA126)</f>
        <v>398.54812311985694</v>
      </c>
      <c r="AD117" s="174">
        <f t="shared" ref="AD117:AF117" si="742">(AD115*AD127)*(AC117/AC126)</f>
        <v>417.14732614810436</v>
      </c>
      <c r="AE117" s="174">
        <f t="shared" si="742"/>
        <v>376.33119137606889</v>
      </c>
      <c r="AF117" s="174">
        <f t="shared" si="742"/>
        <v>448.85886933845205</v>
      </c>
      <c r="AG117" s="249"/>
      <c r="AH117" s="174">
        <f>(AH115*AH127)*(AF117/AF126)</f>
        <v>426.446491738247</v>
      </c>
      <c r="AI117" s="174">
        <f t="shared" ref="AI117:AK117" si="743">(AI115*AI127)*(AH117/AH126)</f>
        <v>446.34763897847165</v>
      </c>
      <c r="AJ117" s="174">
        <f t="shared" si="743"/>
        <v>402.67437477239378</v>
      </c>
      <c r="AK117" s="174">
        <f t="shared" si="743"/>
        <v>480.27899019214391</v>
      </c>
      <c r="AL117" s="249"/>
    </row>
    <row r="118" spans="1:38" outlineLevel="1" x14ac:dyDescent="0.2">
      <c r="A118" s="167"/>
      <c r="B118" s="36" t="s">
        <v>108</v>
      </c>
      <c r="C118" s="27"/>
      <c r="D118" s="102">
        <v>18.600000000000001</v>
      </c>
      <c r="E118" s="102">
        <v>17.100000000000001</v>
      </c>
      <c r="F118" s="102">
        <v>20.2</v>
      </c>
      <c r="G118" s="102">
        <v>20.3</v>
      </c>
      <c r="H118" s="103"/>
      <c r="I118" s="102">
        <v>20.6</v>
      </c>
      <c r="J118" s="102">
        <v>17.7</v>
      </c>
      <c r="K118" s="102">
        <v>51.4</v>
      </c>
      <c r="L118" s="174">
        <f>(L115*L127)*(K118/K126)</f>
        <v>54.800297696629222</v>
      </c>
      <c r="M118" s="187"/>
      <c r="N118" s="174">
        <f>(N115*N127)*(L118/L126)</f>
        <v>52.273106966292133</v>
      </c>
      <c r="O118" s="174">
        <f t="shared" ref="O118:Q118" si="744">(O115*O127)*(N118/N126)</f>
        <v>54.712556741573053</v>
      </c>
      <c r="P118" s="174">
        <f t="shared" si="744"/>
        <v>49.359160112359554</v>
      </c>
      <c r="Q118" s="174">
        <f t="shared" si="744"/>
        <v>58.871805758426952</v>
      </c>
      <c r="R118" s="187"/>
      <c r="S118" s="174">
        <f>(S115*S127)*(Q118/Q126)</f>
        <v>55.932224453932591</v>
      </c>
      <c r="T118" s="174">
        <f t="shared" ref="T118:V118" si="745">(T115*T127)*(S118/S126)</f>
        <v>58.542435713483151</v>
      </c>
      <c r="U118" s="174">
        <f t="shared" si="745"/>
        <v>52.814301320224715</v>
      </c>
      <c r="V118" s="174">
        <f t="shared" si="745"/>
        <v>62.992832161516844</v>
      </c>
      <c r="W118" s="187"/>
      <c r="X118" s="174">
        <f>(X115*X127)*(V118/V126)</f>
        <v>59.847480165707864</v>
      </c>
      <c r="Y118" s="174">
        <f t="shared" ref="Y118:AA118" si="746">(Y115*Y127)*(X118/X126)</f>
        <v>62.640406213426964</v>
      </c>
      <c r="Z118" s="174">
        <f t="shared" si="746"/>
        <v>56.511302412640447</v>
      </c>
      <c r="AA118" s="174">
        <f t="shared" si="746"/>
        <v>67.402330412823034</v>
      </c>
      <c r="AB118" s="187"/>
      <c r="AC118" s="174">
        <f>(AC115*AC127)*(AA118/AA126)</f>
        <v>64.036803777307412</v>
      </c>
      <c r="AD118" s="174">
        <f t="shared" ref="AD118:AF118" si="747">(AD115*AD127)*(AC118/AC126)</f>
        <v>67.025234648366848</v>
      </c>
      <c r="AE118" s="174">
        <f t="shared" si="747"/>
        <v>60.467093581525262</v>
      </c>
      <c r="AF118" s="174">
        <f t="shared" si="747"/>
        <v>72.12049354172062</v>
      </c>
      <c r="AG118" s="187"/>
      <c r="AH118" s="174">
        <f>(AH115*AH127)*(AF118/AF126)</f>
        <v>68.519380041718932</v>
      </c>
      <c r="AI118" s="174">
        <f t="shared" ref="AI118:AK118" si="748">(AI115*AI127)*(AH118/AH126)</f>
        <v>71.717001073752527</v>
      </c>
      <c r="AJ118" s="174">
        <f t="shared" si="748"/>
        <v>64.699790132232039</v>
      </c>
      <c r="AK118" s="174">
        <f t="shared" si="748"/>
        <v>77.168928089641085</v>
      </c>
      <c r="AL118" s="187"/>
    </row>
    <row r="119" spans="1:38" outlineLevel="1" x14ac:dyDescent="0.2">
      <c r="A119" s="167"/>
      <c r="B119" s="36" t="s">
        <v>109</v>
      </c>
      <c r="C119" s="27"/>
      <c r="D119" s="126">
        <v>0</v>
      </c>
      <c r="E119" s="126">
        <v>12.3</v>
      </c>
      <c r="F119" s="126">
        <v>0.2</v>
      </c>
      <c r="G119" s="126">
        <v>0.3</v>
      </c>
      <c r="H119" s="11"/>
      <c r="I119" s="126">
        <v>0.3</v>
      </c>
      <c r="J119" s="126">
        <v>0.3</v>
      </c>
      <c r="K119" s="126">
        <v>0.3</v>
      </c>
      <c r="L119" s="203">
        <f>L242*(K119/(K72+K105+K119+K133))</f>
        <v>0.31112106175700049</v>
      </c>
      <c r="M119" s="250"/>
      <c r="N119" s="126">
        <v>0.3</v>
      </c>
      <c r="O119" s="126">
        <v>0.3</v>
      </c>
      <c r="P119" s="126">
        <v>0.3</v>
      </c>
      <c r="Q119" s="203">
        <f>Q242*(P119/(P72+P105+P119+P133))</f>
        <v>0.29951273739642298</v>
      </c>
      <c r="R119" s="250"/>
      <c r="S119" s="126">
        <v>0.3</v>
      </c>
      <c r="T119" s="126">
        <v>0.3</v>
      </c>
      <c r="U119" s="126">
        <v>0.3</v>
      </c>
      <c r="V119" s="203">
        <f>V242*(U119/(U72+U105+U119+U133))</f>
        <v>0.30001833420403928</v>
      </c>
      <c r="W119" s="250"/>
      <c r="X119" s="126">
        <v>0.3</v>
      </c>
      <c r="Y119" s="126">
        <v>0.3</v>
      </c>
      <c r="Z119" s="126">
        <v>0.3</v>
      </c>
      <c r="AA119" s="203">
        <f>AA242*(Z119/(Z72+Z105+Z119+Z133))</f>
        <v>0.3003939001988693</v>
      </c>
      <c r="AB119" s="250"/>
      <c r="AC119" s="126">
        <v>0.3</v>
      </c>
      <c r="AD119" s="126">
        <v>0.3</v>
      </c>
      <c r="AE119" s="126">
        <v>0.3</v>
      </c>
      <c r="AF119" s="203">
        <f>AF242*(AE119/(AE72+AE105+AE119+AE133))</f>
        <v>0.30068227074394399</v>
      </c>
      <c r="AG119" s="250"/>
      <c r="AH119" s="126">
        <v>0.3</v>
      </c>
      <c r="AI119" s="126">
        <v>0.3</v>
      </c>
      <c r="AJ119" s="126">
        <v>0.3</v>
      </c>
      <c r="AK119" s="203">
        <f>AK242*(AJ119/(AJ72+AJ105+AJ119+AJ133))</f>
        <v>0.30099644106101464</v>
      </c>
      <c r="AL119" s="250"/>
    </row>
    <row r="120" spans="1:38" outlineLevel="1" x14ac:dyDescent="0.2">
      <c r="A120" s="167"/>
      <c r="B120" s="36" t="s">
        <v>110</v>
      </c>
      <c r="C120" s="27"/>
      <c r="D120" s="102">
        <v>3.2</v>
      </c>
      <c r="E120" s="102">
        <v>3.1</v>
      </c>
      <c r="F120" s="102">
        <v>2.7</v>
      </c>
      <c r="G120" s="102">
        <v>2.6</v>
      </c>
      <c r="H120" s="103"/>
      <c r="I120" s="102">
        <v>2.4</v>
      </c>
      <c r="J120" s="102">
        <v>3</v>
      </c>
      <c r="K120" s="102">
        <v>2.5</v>
      </c>
      <c r="L120" s="174">
        <f>(L115*L127)*(K120/K126)</f>
        <v>2.6653841292134834</v>
      </c>
      <c r="M120" s="187"/>
      <c r="N120" s="174">
        <f>(N115*N127)*(L120/L126)</f>
        <v>2.5424662921348316</v>
      </c>
      <c r="O120" s="174">
        <f t="shared" ref="O120:Q120" si="749">(O115*O127)*(N120/N126)</f>
        <v>2.6611165730337087</v>
      </c>
      <c r="P120" s="174">
        <f t="shared" si="749"/>
        <v>2.4007373595505621</v>
      </c>
      <c r="Q120" s="174">
        <f t="shared" si="749"/>
        <v>2.8634146769662916</v>
      </c>
      <c r="R120" s="187"/>
      <c r="S120" s="174">
        <f>(S115*S127)*(Q120/Q126)</f>
        <v>2.7204389325842704</v>
      </c>
      <c r="T120" s="174">
        <f t="shared" ref="T120:V120" si="750">(T115*T127)*(S120/S126)</f>
        <v>2.8473947331460683</v>
      </c>
      <c r="U120" s="174">
        <f t="shared" si="750"/>
        <v>2.5687889747191015</v>
      </c>
      <c r="V120" s="174">
        <f t="shared" si="750"/>
        <v>3.0638537043539329</v>
      </c>
      <c r="W120" s="187"/>
      <c r="X120" s="174">
        <f>(X115*X127)*(V120/V126)</f>
        <v>2.9108696578651689</v>
      </c>
      <c r="Y120" s="174">
        <f t="shared" ref="Y120:AA120" si="751">(Y115*Y127)*(X120/X126)</f>
        <v>3.046712364466293</v>
      </c>
      <c r="Z120" s="174">
        <f t="shared" si="751"/>
        <v>2.7486042029494393</v>
      </c>
      <c r="AA120" s="174">
        <f t="shared" si="751"/>
        <v>3.2783234636587086</v>
      </c>
      <c r="AB120" s="187"/>
      <c r="AC120" s="174">
        <f>(AC115*AC127)*(AA120/AA126)</f>
        <v>3.1146305339157316</v>
      </c>
      <c r="AD120" s="174">
        <f t="shared" ref="AD120:AF120" si="752">(AD115*AD127)*(AC120/AC126)</f>
        <v>3.2599822299789341</v>
      </c>
      <c r="AE120" s="174">
        <f t="shared" si="752"/>
        <v>2.9410064971558998</v>
      </c>
      <c r="AF120" s="174">
        <f t="shared" si="752"/>
        <v>3.5078061061148182</v>
      </c>
      <c r="AG120" s="187"/>
      <c r="AH120" s="174">
        <f>(AH115*AH127)*(AF120/AF126)</f>
        <v>3.3326546712898337</v>
      </c>
      <c r="AI120" s="174">
        <f t="shared" ref="AI120:AK120" si="753">(AI115*AI127)*(AH120/AH126)</f>
        <v>3.48818098607746</v>
      </c>
      <c r="AJ120" s="174">
        <f t="shared" si="753"/>
        <v>3.1468769519568136</v>
      </c>
      <c r="AK120" s="174">
        <f t="shared" si="753"/>
        <v>3.7533525335428575</v>
      </c>
      <c r="AL120" s="187"/>
    </row>
    <row r="121" spans="1:38" ht="18" outlineLevel="1" x14ac:dyDescent="0.35">
      <c r="A121" s="167"/>
      <c r="B121" s="36" t="s">
        <v>118</v>
      </c>
      <c r="C121" s="27"/>
      <c r="D121" s="127">
        <v>0</v>
      </c>
      <c r="E121" s="127">
        <v>0</v>
      </c>
      <c r="F121" s="127">
        <v>0</v>
      </c>
      <c r="G121" s="127">
        <v>0</v>
      </c>
      <c r="H121" s="134"/>
      <c r="I121" s="127">
        <v>0</v>
      </c>
      <c r="J121" s="127">
        <v>0</v>
      </c>
      <c r="K121" s="127">
        <v>0</v>
      </c>
      <c r="L121" s="173">
        <f>(L115*L127)*(K121/K126)</f>
        <v>0</v>
      </c>
      <c r="M121" s="251"/>
      <c r="N121" s="173">
        <f>(N115*N127)*(L121/L126)</f>
        <v>0</v>
      </c>
      <c r="O121" s="173">
        <f t="shared" ref="O121:Q121" si="754">(O115*O127)*(N121/N126)</f>
        <v>0</v>
      </c>
      <c r="P121" s="173">
        <f t="shared" si="754"/>
        <v>0</v>
      </c>
      <c r="Q121" s="173">
        <f t="shared" si="754"/>
        <v>0</v>
      </c>
      <c r="R121" s="251"/>
      <c r="S121" s="173">
        <f>(S115*S127)*(Q121/Q126)</f>
        <v>0</v>
      </c>
      <c r="T121" s="173">
        <f t="shared" ref="T121:V121" si="755">(T115*T127)*(S121/S126)</f>
        <v>0</v>
      </c>
      <c r="U121" s="173">
        <f t="shared" si="755"/>
        <v>0</v>
      </c>
      <c r="V121" s="173">
        <f t="shared" si="755"/>
        <v>0</v>
      </c>
      <c r="W121" s="251"/>
      <c r="X121" s="173">
        <f>(X115*X127)*(V121/V126)</f>
        <v>0</v>
      </c>
      <c r="Y121" s="173">
        <f t="shared" ref="Y121:AA121" si="756">(Y115*Y127)*(X121/X126)</f>
        <v>0</v>
      </c>
      <c r="Z121" s="173">
        <f t="shared" si="756"/>
        <v>0</v>
      </c>
      <c r="AA121" s="173">
        <f t="shared" si="756"/>
        <v>0</v>
      </c>
      <c r="AB121" s="251"/>
      <c r="AC121" s="173">
        <f>(AC115*AC127)*(AA121/AA126)</f>
        <v>0</v>
      </c>
      <c r="AD121" s="173">
        <f t="shared" ref="AD121:AF121" si="757">(AD115*AD127)*(AC121/AC126)</f>
        <v>0</v>
      </c>
      <c r="AE121" s="173">
        <f t="shared" si="757"/>
        <v>0</v>
      </c>
      <c r="AF121" s="173">
        <f t="shared" si="757"/>
        <v>0</v>
      </c>
      <c r="AG121" s="251"/>
      <c r="AH121" s="173">
        <f>(AH115*AH127)*(AF121/AF126)</f>
        <v>0</v>
      </c>
      <c r="AI121" s="173">
        <f t="shared" ref="AI121:AK121" si="758">(AI115*AI127)*(AH121/AH126)</f>
        <v>0</v>
      </c>
      <c r="AJ121" s="173">
        <f t="shared" si="758"/>
        <v>0</v>
      </c>
      <c r="AK121" s="173">
        <f t="shared" si="758"/>
        <v>0</v>
      </c>
      <c r="AL121" s="251"/>
    </row>
    <row r="122" spans="1:38" outlineLevel="1" x14ac:dyDescent="0.2">
      <c r="A122" s="167"/>
      <c r="B122" s="100" t="s">
        <v>142</v>
      </c>
      <c r="C122" s="30"/>
      <c r="D122" s="104">
        <f>SUM(D117:D121)</f>
        <v>370.2</v>
      </c>
      <c r="E122" s="104">
        <f>SUM(E117:E121)</f>
        <v>337.90000000000003</v>
      </c>
      <c r="F122" s="104">
        <f>SUM(F117:F121)</f>
        <v>400.2</v>
      </c>
      <c r="G122" s="104">
        <f>SUM(G117:G121)</f>
        <v>382.30000000000007</v>
      </c>
      <c r="H122" s="11"/>
      <c r="I122" s="104">
        <f>SUM(I117:I121)</f>
        <v>362.1</v>
      </c>
      <c r="J122" s="104">
        <f>SUM(J117:J121)</f>
        <v>372.6</v>
      </c>
      <c r="K122" s="104">
        <f>SUM(K117:K121)</f>
        <v>374.09999999999997</v>
      </c>
      <c r="L122" s="104">
        <f t="shared" ref="L122:Q122" si="759">SUM(L117:L121)</f>
        <v>398.83935606175703</v>
      </c>
      <c r="M122" s="105"/>
      <c r="N122" s="104">
        <f t="shared" si="759"/>
        <v>380.44955999999996</v>
      </c>
      <c r="O122" s="104">
        <f t="shared" si="759"/>
        <v>398.19015000000013</v>
      </c>
      <c r="P122" s="104">
        <f t="shared" si="759"/>
        <v>359.25825000000009</v>
      </c>
      <c r="Q122" s="104">
        <f t="shared" si="759"/>
        <v>428.43727523739631</v>
      </c>
      <c r="R122" s="250"/>
      <c r="S122" s="104">
        <f t="shared" ref="S122" si="760">SUM(S117:S121)</f>
        <v>407.06002920000009</v>
      </c>
      <c r="T122" s="104">
        <f t="shared" ref="T122" si="761">SUM(T117:T121)</f>
        <v>426.04246050000012</v>
      </c>
      <c r="U122" s="104">
        <f t="shared" ref="U122" si="762">SUM(U117:U121)</f>
        <v>384.38532750000007</v>
      </c>
      <c r="V122" s="104">
        <f t="shared" ref="V122" si="763">SUM(V117:V121)</f>
        <v>458.40742420920407</v>
      </c>
      <c r="W122" s="250"/>
      <c r="X122" s="104">
        <f t="shared" ref="X122" si="764">SUM(X117:X121)</f>
        <v>435.53323124400009</v>
      </c>
      <c r="Y122" s="104">
        <f t="shared" ref="Y122" si="765">SUM(Y117:Y121)</f>
        <v>455.84443273500011</v>
      </c>
      <c r="Z122" s="104">
        <f t="shared" ref="Z122" si="766">SUM(Z117:Z121)</f>
        <v>411.27130042500011</v>
      </c>
      <c r="AA122" s="104">
        <f t="shared" ref="AA122" si="767">SUM(AA117:AA121)</f>
        <v>490.47531818644893</v>
      </c>
      <c r="AB122" s="250"/>
      <c r="AC122" s="104">
        <f t="shared" ref="AC122" si="768">SUM(AC117:AC121)</f>
        <v>465.99955743108006</v>
      </c>
      <c r="AD122" s="104">
        <f t="shared" ref="AD122" si="769">SUM(AD117:AD121)</f>
        <v>487.73254302645017</v>
      </c>
      <c r="AE122" s="104">
        <f t="shared" ref="AE122" si="770">SUM(AE117:AE121)</f>
        <v>440.03929145475007</v>
      </c>
      <c r="AF122" s="104">
        <f t="shared" ref="AF122" si="771">SUM(AF117:AF121)</f>
        <v>524.78785125703132</v>
      </c>
      <c r="AG122" s="250"/>
      <c r="AH122" s="104">
        <f t="shared" ref="AH122" si="772">SUM(AH117:AH121)</f>
        <v>498.59852645125579</v>
      </c>
      <c r="AI122" s="104">
        <f t="shared" ref="AI122" si="773">SUM(AI117:AI121)</f>
        <v>521.85282103830161</v>
      </c>
      <c r="AJ122" s="104">
        <f t="shared" ref="AJ122" si="774">SUM(AJ117:AJ121)</f>
        <v>470.82104185658261</v>
      </c>
      <c r="AK122" s="104">
        <f t="shared" ref="AK122" si="775">SUM(AK117:AK121)</f>
        <v>561.50226725638879</v>
      </c>
      <c r="AL122" s="250"/>
    </row>
    <row r="123" spans="1:38" ht="18" outlineLevel="1" x14ac:dyDescent="0.35">
      <c r="A123" s="167"/>
      <c r="B123" s="101" t="s">
        <v>111</v>
      </c>
      <c r="C123" s="90"/>
      <c r="D123" s="106">
        <v>41.4</v>
      </c>
      <c r="E123" s="173">
        <v>40.200000000000003</v>
      </c>
      <c r="F123" s="173">
        <v>48.8</v>
      </c>
      <c r="G123" s="173">
        <v>65.099999999999994</v>
      </c>
      <c r="H123" s="247"/>
      <c r="I123" s="173">
        <v>43</v>
      </c>
      <c r="J123" s="173">
        <v>43.1</v>
      </c>
      <c r="K123" s="173">
        <v>51</v>
      </c>
      <c r="L123" s="51">
        <f>AVERAGE(G123,K123,I123,J123)</f>
        <v>50.55</v>
      </c>
      <c r="M123" s="252"/>
      <c r="N123" s="51">
        <f>AVERAGE(I123,J123,K123,L123)</f>
        <v>46.912499999999994</v>
      </c>
      <c r="O123" s="51">
        <f>AVERAGE(J123,K123,L123,N123)</f>
        <v>47.890624999999993</v>
      </c>
      <c r="P123" s="51">
        <f>AVERAGE(K123,L123,O123,N123)</f>
        <v>49.088281249999994</v>
      </c>
      <c r="Q123" s="51">
        <f>AVERAGE(L123,P123,N123,O123)</f>
        <v>48.6103515625</v>
      </c>
      <c r="R123" s="247"/>
      <c r="S123" s="51">
        <f>AVERAGE(N123,O123,P123,Q123)</f>
        <v>48.125439453124997</v>
      </c>
      <c r="T123" s="51">
        <f>AVERAGE(O123,P123,Q123,S123)</f>
        <v>48.428674316406244</v>
      </c>
      <c r="U123" s="51">
        <f>AVERAGE(P123,Q123,T123,S123)</f>
        <v>48.563186645507812</v>
      </c>
      <c r="V123" s="51">
        <f>AVERAGE(Q123,U123,S123,T123)</f>
        <v>48.431912994384767</v>
      </c>
      <c r="W123" s="247"/>
      <c r="X123" s="51">
        <f>AVERAGE(S123,T123,U123,V123)</f>
        <v>48.38730335235595</v>
      </c>
      <c r="Y123" s="51">
        <f>AVERAGE(T123,U123,V123,X123)</f>
        <v>48.452769327163693</v>
      </c>
      <c r="Z123" s="51">
        <f>AVERAGE(U123,V123,Y123,X123)</f>
        <v>48.458793079853052</v>
      </c>
      <c r="AA123" s="51">
        <f>AVERAGE(V123,Z123,X123,Y123)</f>
        <v>48.432694688439369</v>
      </c>
      <c r="AB123" s="247"/>
      <c r="AC123" s="51">
        <f>AVERAGE(X123,Y123,Z123,AA123)</f>
        <v>48.432890111953014</v>
      </c>
      <c r="AD123" s="51">
        <f>AVERAGE(Y123,Z123,AA123,AC123)</f>
        <v>48.444286801852279</v>
      </c>
      <c r="AE123" s="51">
        <f>AVERAGE(Z123,AA123,AD123,AC123)</f>
        <v>48.44216617052443</v>
      </c>
      <c r="AF123" s="51">
        <f>AVERAGE(AA123,AE123,AC123,AD123)</f>
        <v>48.438009443192271</v>
      </c>
      <c r="AG123" s="247"/>
      <c r="AH123" s="51">
        <f>AVERAGE(AC123,AD123,AE123,AF123)</f>
        <v>48.439338131880497</v>
      </c>
      <c r="AI123" s="51">
        <f>AVERAGE(AD123,AE123,AF123,AH123)</f>
        <v>48.440950136862369</v>
      </c>
      <c r="AJ123" s="51">
        <f>AVERAGE(AE123,AF123,AI123,AH123)</f>
        <v>48.440115970614897</v>
      </c>
      <c r="AK123" s="51">
        <f>AVERAGE(AF123,AJ123,AH123,AI123)</f>
        <v>48.439603420637511</v>
      </c>
      <c r="AL123" s="247"/>
    </row>
    <row r="124" spans="1:38" outlineLevel="1" x14ac:dyDescent="0.2">
      <c r="A124" s="167"/>
      <c r="B124" s="100" t="s">
        <v>143</v>
      </c>
      <c r="C124" s="90"/>
      <c r="D124" s="303">
        <f>D115-D122+D123</f>
        <v>175.80000000000004</v>
      </c>
      <c r="E124" s="303">
        <f>E115-E122+E123</f>
        <v>148.89999999999998</v>
      </c>
      <c r="F124" s="303">
        <f>F115-F122+F123</f>
        <v>181.89999999999998</v>
      </c>
      <c r="G124" s="303">
        <f>G115-G122+G123</f>
        <v>190.89999999999995</v>
      </c>
      <c r="H124" s="234">
        <f>SUM(D124:G124)</f>
        <v>697.5</v>
      </c>
      <c r="I124" s="303">
        <f>I115-I122+I123</f>
        <v>175.5</v>
      </c>
      <c r="J124" s="303">
        <f>J115-J122+J123</f>
        <v>189.6</v>
      </c>
      <c r="K124" s="303">
        <f>K115-K122+K123</f>
        <v>124.20000000000005</v>
      </c>
      <c r="L124" s="303">
        <f t="shared" ref="L124:Q124" si="776">L115-L122+L123</f>
        <v>185.21564393824298</v>
      </c>
      <c r="M124" s="347"/>
      <c r="N124" s="303">
        <f t="shared" si="776"/>
        <v>185.79294000000007</v>
      </c>
      <c r="O124" s="303">
        <f t="shared" si="776"/>
        <v>194.75547499999993</v>
      </c>
      <c r="P124" s="303">
        <f t="shared" si="776"/>
        <v>168.44103124999995</v>
      </c>
      <c r="Q124" s="303">
        <f t="shared" si="776"/>
        <v>191.02342632510374</v>
      </c>
      <c r="R124" s="234"/>
      <c r="S124" s="303">
        <f t="shared" ref="S124" si="777">S115-S122+S123</f>
        <v>196.748510253125</v>
      </c>
      <c r="T124" s="303">
        <f t="shared" ref="T124" si="778">T115-T122+T123</f>
        <v>205.59506381640622</v>
      </c>
      <c r="U124" s="303">
        <f t="shared" ref="U124" si="779">U115-U122+U123</f>
        <v>176.29162914550778</v>
      </c>
      <c r="V124" s="303">
        <f t="shared" ref="V124" si="780">V115-V122+V123</f>
        <v>200.83436328518079</v>
      </c>
      <c r="W124" s="234"/>
      <c r="X124" s="303">
        <f t="shared" ref="X124" si="781">X115-X122+X123</f>
        <v>207.43498910835598</v>
      </c>
      <c r="Y124" s="303">
        <f t="shared" ref="Y124" si="782">Y115-Y122+Y123</f>
        <v>216.64180609216373</v>
      </c>
      <c r="Z124" s="303">
        <f t="shared" ref="Z124" si="783">Z115-Z122+Z123</f>
        <v>185.14922655485307</v>
      </c>
      <c r="AA124" s="303">
        <f t="shared" ref="AA124" si="784">AA115-AA122+AA123</f>
        <v>211.52394221699058</v>
      </c>
      <c r="AB124" s="234"/>
      <c r="AC124" s="303">
        <f t="shared" ref="AC124" si="785">AC115-AC122+AC123</f>
        <v>218.63491387087313</v>
      </c>
      <c r="AD124" s="303">
        <f t="shared" ref="AD124" si="786">AD115-AD122+AD123</f>
        <v>228.42755614040226</v>
      </c>
      <c r="AE124" s="303">
        <f t="shared" ref="AE124" si="787">AE115-AE122+AE123</f>
        <v>194.72192998877449</v>
      </c>
      <c r="AF124" s="303">
        <f t="shared" ref="AF124" si="788">AF115-AF122+AF123</f>
        <v>222.96638350121108</v>
      </c>
      <c r="AG124" s="234"/>
      <c r="AH124" s="303">
        <f t="shared" ref="AH124" si="789">AH115-AH122+AH123</f>
        <v>230.57650355392491</v>
      </c>
      <c r="AI124" s="303">
        <f t="shared" ref="AI124" si="790">AI115-AI122+AI123</f>
        <v>241.04404832911095</v>
      </c>
      <c r="AJ124" s="303">
        <f t="shared" ref="AJ124" si="791">AJ115-AJ122+AJ123</f>
        <v>204.98046325614246</v>
      </c>
      <c r="AK124" s="303">
        <f t="shared" ref="AK124" si="792">AK115-AK122+AK123</f>
        <v>235.20569725135243</v>
      </c>
      <c r="AL124" s="234"/>
    </row>
    <row r="125" spans="1:38" outlineLevel="1" x14ac:dyDescent="0.2">
      <c r="A125" s="167"/>
      <c r="B125" s="100" t="s">
        <v>144</v>
      </c>
      <c r="C125" s="90"/>
      <c r="D125" s="304">
        <f>+D124/D115</f>
        <v>0.34839476813317488</v>
      </c>
      <c r="E125" s="304">
        <f>+E124/E115</f>
        <v>0.33340797133900574</v>
      </c>
      <c r="F125" s="304">
        <f>+F124/F115</f>
        <v>0.34108381773860863</v>
      </c>
      <c r="G125" s="304">
        <f>+G124/G115</f>
        <v>0.37571344223578024</v>
      </c>
      <c r="H125" s="231">
        <f>H124/H115</f>
        <v>0.35004516711833789</v>
      </c>
      <c r="I125" s="304">
        <f>+I124/I115</f>
        <v>0.3548321876263647</v>
      </c>
      <c r="J125" s="304">
        <f>+J124/J115</f>
        <v>0.36524754382585239</v>
      </c>
      <c r="K125" s="304">
        <f>+K124/K115</f>
        <v>0.27766599597585523</v>
      </c>
      <c r="L125" s="304">
        <f t="shared" ref="L125:Q125" si="793">+L124/L115</f>
        <v>0.34716758781687701</v>
      </c>
      <c r="M125" s="348"/>
      <c r="N125" s="304">
        <f t="shared" si="793"/>
        <v>0.35775506903125193</v>
      </c>
      <c r="O125" s="304">
        <f t="shared" si="793"/>
        <v>0.35731343625872602</v>
      </c>
      <c r="P125" s="304">
        <f t="shared" si="793"/>
        <v>0.35193723347353056</v>
      </c>
      <c r="Q125" s="304">
        <f t="shared" si="793"/>
        <v>0.33462960358192601</v>
      </c>
      <c r="R125" s="231"/>
      <c r="S125" s="304">
        <f t="shared" ref="S125" si="794">+S124/S115</f>
        <v>0.35406603197600389</v>
      </c>
      <c r="T125" s="304">
        <f t="shared" ref="T125" si="795">+T124/T115</f>
        <v>0.35252390943039735</v>
      </c>
      <c r="U125" s="304">
        <f t="shared" ref="U125" si="796">+U124/U115</f>
        <v>0.34424309493866523</v>
      </c>
      <c r="V125" s="304">
        <f t="shared" ref="V125" si="797">+V124/V115</f>
        <v>0.32880012532472697</v>
      </c>
      <c r="W125" s="231"/>
      <c r="X125" s="304">
        <f t="shared" ref="X125" si="798">+X124/X115</f>
        <v>0.34887596150072192</v>
      </c>
      <c r="Y125" s="304">
        <f t="shared" ref="Y125" si="799">+Y124/Y115</f>
        <v>0.34716376072864419</v>
      </c>
      <c r="Z125" s="304">
        <f t="shared" ref="Z125" si="800">+Z124/Z115</f>
        <v>0.33788714631055194</v>
      </c>
      <c r="AA125" s="304">
        <f t="shared" ref="AA125" si="801">+AA124/AA115</f>
        <v>0.32364559834174494</v>
      </c>
      <c r="AB125" s="231"/>
      <c r="AC125" s="304">
        <f t="shared" ref="AC125" si="802">+AC124/AC115</f>
        <v>0.34365666533227041</v>
      </c>
      <c r="AD125" s="304">
        <f t="shared" ref="AD125" si="803">+AD124/AD115</f>
        <v>0.34210296043660954</v>
      </c>
      <c r="AE125" s="304">
        <f t="shared" ref="AE125" si="804">+AE124/AE115</f>
        <v>0.33210916179094446</v>
      </c>
      <c r="AF125" s="304">
        <f t="shared" ref="AF125" si="805">+AF124/AF115</f>
        <v>0.31883484957146835</v>
      </c>
      <c r="AG125" s="231"/>
      <c r="AH125" s="304">
        <f t="shared" ref="AH125" si="806">+AH124/AH115</f>
        <v>0.33871663599628066</v>
      </c>
      <c r="AI125" s="304">
        <f t="shared" ref="AI125" si="807">+AI124/AI115</f>
        <v>0.33738127411514612</v>
      </c>
      <c r="AJ125" s="304">
        <f t="shared" ref="AJ125" si="808">+AJ124/AJ115</f>
        <v>0.32673426641133346</v>
      </c>
      <c r="AK125" s="304">
        <f t="shared" ref="AK125" si="809">+AK124/AK115</f>
        <v>0.31433334547199016</v>
      </c>
      <c r="AL125" s="231"/>
    </row>
    <row r="126" spans="1:38" s="128" customFormat="1" outlineLevel="1" x14ac:dyDescent="0.2">
      <c r="A126" s="183"/>
      <c r="B126" s="131" t="s">
        <v>139</v>
      </c>
      <c r="C126" s="129"/>
      <c r="D126" s="206">
        <f t="shared" ref="D126" si="810">+D122-D119</f>
        <v>370.2</v>
      </c>
      <c r="E126" s="206">
        <f>+E122-E119</f>
        <v>325.60000000000002</v>
      </c>
      <c r="F126" s="206">
        <f>+F122-F119</f>
        <v>400</v>
      </c>
      <c r="G126" s="206">
        <f>+G122-G119</f>
        <v>382.00000000000006</v>
      </c>
      <c r="H126" s="246"/>
      <c r="I126" s="206">
        <f t="shared" ref="I126:K126" si="811">+I122-I119</f>
        <v>361.8</v>
      </c>
      <c r="J126" s="206">
        <f t="shared" si="811"/>
        <v>372.3</v>
      </c>
      <c r="K126" s="206">
        <f t="shared" si="811"/>
        <v>373.79999999999995</v>
      </c>
      <c r="L126" s="206">
        <f t="shared" ref="L126:Q126" si="812">+L122-L119</f>
        <v>398.52823500000005</v>
      </c>
      <c r="M126" s="349"/>
      <c r="N126" s="206">
        <f t="shared" si="812"/>
        <v>380.14955999999995</v>
      </c>
      <c r="O126" s="206">
        <f t="shared" si="812"/>
        <v>397.89015000000012</v>
      </c>
      <c r="P126" s="206">
        <f t="shared" si="812"/>
        <v>358.95825000000008</v>
      </c>
      <c r="Q126" s="206">
        <f t="shared" si="812"/>
        <v>428.13776249999989</v>
      </c>
      <c r="R126" s="255"/>
      <c r="S126" s="206">
        <f t="shared" ref="S126:V126" si="813">+S122-S119</f>
        <v>406.76002920000008</v>
      </c>
      <c r="T126" s="206">
        <f t="shared" si="813"/>
        <v>425.74246050000011</v>
      </c>
      <c r="U126" s="206">
        <f t="shared" si="813"/>
        <v>384.08532750000006</v>
      </c>
      <c r="V126" s="206">
        <f t="shared" si="813"/>
        <v>458.10740587500004</v>
      </c>
      <c r="W126" s="255"/>
      <c r="X126" s="206">
        <f t="shared" ref="X126:AA126" si="814">+X122-X119</f>
        <v>435.23323124400008</v>
      </c>
      <c r="Y126" s="206">
        <f t="shared" si="814"/>
        <v>455.5444327350001</v>
      </c>
      <c r="Z126" s="206">
        <f t="shared" si="814"/>
        <v>410.97130042500009</v>
      </c>
      <c r="AA126" s="206">
        <f t="shared" si="814"/>
        <v>490.17492428625008</v>
      </c>
      <c r="AB126" s="255"/>
      <c r="AC126" s="206">
        <f t="shared" ref="AC126:AF126" si="815">+AC122-AC119</f>
        <v>465.69955743108005</v>
      </c>
      <c r="AD126" s="206">
        <f t="shared" si="815"/>
        <v>487.43254302645016</v>
      </c>
      <c r="AE126" s="206">
        <f t="shared" si="815"/>
        <v>439.73929145475006</v>
      </c>
      <c r="AF126" s="206">
        <f t="shared" si="815"/>
        <v>524.48716898628743</v>
      </c>
      <c r="AG126" s="255"/>
      <c r="AH126" s="206">
        <f t="shared" ref="AH126:AK126" si="816">+AH122-AH119</f>
        <v>498.29852645125578</v>
      </c>
      <c r="AI126" s="206">
        <f t="shared" si="816"/>
        <v>521.55282103830166</v>
      </c>
      <c r="AJ126" s="206">
        <f t="shared" si="816"/>
        <v>470.5210418565826</v>
      </c>
      <c r="AK126" s="206">
        <f t="shared" si="816"/>
        <v>561.2012708153278</v>
      </c>
      <c r="AL126" s="255"/>
    </row>
    <row r="127" spans="1:38" s="128" customFormat="1" outlineLevel="1" x14ac:dyDescent="0.2">
      <c r="A127" s="183"/>
      <c r="B127" s="131" t="s">
        <v>140</v>
      </c>
      <c r="C127" s="129"/>
      <c r="D127" s="132">
        <f>+D126/D115</f>
        <v>0.73365041617122473</v>
      </c>
      <c r="E127" s="132">
        <f>+E126/E115</f>
        <v>0.72906403940886699</v>
      </c>
      <c r="F127" s="132">
        <f>+F126/F115</f>
        <v>0.75004687792987068</v>
      </c>
      <c r="G127" s="197">
        <f>+G126/G115</f>
        <v>0.75182050777406029</v>
      </c>
      <c r="H127" s="130"/>
      <c r="I127" s="197">
        <f t="shared" ref="I127:K127" si="817">+I126/I115</f>
        <v>0.73150020218358269</v>
      </c>
      <c r="J127" s="197">
        <f t="shared" si="817"/>
        <v>0.7172028510884223</v>
      </c>
      <c r="K127" s="197">
        <f t="shared" si="817"/>
        <v>0.83568075117370877</v>
      </c>
      <c r="L127" s="346">
        <v>0.747</v>
      </c>
      <c r="M127" s="255"/>
      <c r="N127" s="346">
        <v>0.73199999999999998</v>
      </c>
      <c r="O127" s="346">
        <v>0.73</v>
      </c>
      <c r="P127" s="346">
        <v>0.75</v>
      </c>
      <c r="Q127" s="346">
        <v>0.75</v>
      </c>
      <c r="R127" s="255"/>
      <c r="S127" s="346">
        <v>0.73199999999999998</v>
      </c>
      <c r="T127" s="346">
        <v>0.73</v>
      </c>
      <c r="U127" s="346">
        <v>0.75</v>
      </c>
      <c r="V127" s="346">
        <v>0.75</v>
      </c>
      <c r="W127" s="255"/>
      <c r="X127" s="346">
        <v>0.73199999999999998</v>
      </c>
      <c r="Y127" s="346">
        <v>0.73</v>
      </c>
      <c r="Z127" s="346">
        <v>0.75</v>
      </c>
      <c r="AA127" s="346">
        <v>0.75</v>
      </c>
      <c r="AB127" s="255"/>
      <c r="AC127" s="346">
        <v>0.73199999999999998</v>
      </c>
      <c r="AD127" s="346">
        <v>0.73</v>
      </c>
      <c r="AE127" s="346">
        <v>0.75</v>
      </c>
      <c r="AF127" s="346">
        <v>0.75</v>
      </c>
      <c r="AG127" s="255"/>
      <c r="AH127" s="346">
        <v>0.73199999999999998</v>
      </c>
      <c r="AI127" s="346">
        <v>0.73</v>
      </c>
      <c r="AJ127" s="346">
        <v>0.75</v>
      </c>
      <c r="AK127" s="346">
        <v>0.75</v>
      </c>
      <c r="AL127" s="255"/>
    </row>
    <row r="128" spans="1:38" ht="19" x14ac:dyDescent="0.35">
      <c r="A128" s="167"/>
      <c r="B128" s="417" t="s">
        <v>145</v>
      </c>
      <c r="C128" s="436"/>
      <c r="D128" s="23" t="s">
        <v>72</v>
      </c>
      <c r="E128" s="23" t="s">
        <v>212</v>
      </c>
      <c r="F128" s="23" t="s">
        <v>216</v>
      </c>
      <c r="G128" s="23" t="s">
        <v>226</v>
      </c>
      <c r="H128" s="78" t="s">
        <v>227</v>
      </c>
      <c r="I128" s="23" t="s">
        <v>228</v>
      </c>
      <c r="J128" s="23" t="s">
        <v>229</v>
      </c>
      <c r="K128" s="23" t="s">
        <v>230</v>
      </c>
      <c r="L128" s="21" t="s">
        <v>90</v>
      </c>
      <c r="M128" s="80" t="s">
        <v>91</v>
      </c>
      <c r="N128" s="21" t="s">
        <v>92</v>
      </c>
      <c r="O128" s="21" t="s">
        <v>93</v>
      </c>
      <c r="P128" s="21" t="s">
        <v>94</v>
      </c>
      <c r="Q128" s="21" t="s">
        <v>95</v>
      </c>
      <c r="R128" s="80" t="s">
        <v>96</v>
      </c>
      <c r="S128" s="21" t="s">
        <v>97</v>
      </c>
      <c r="T128" s="21" t="s">
        <v>98</v>
      </c>
      <c r="U128" s="21" t="s">
        <v>99</v>
      </c>
      <c r="V128" s="21" t="s">
        <v>100</v>
      </c>
      <c r="W128" s="80" t="s">
        <v>101</v>
      </c>
      <c r="X128" s="21" t="s">
        <v>102</v>
      </c>
      <c r="Y128" s="21" t="s">
        <v>103</v>
      </c>
      <c r="Z128" s="21" t="s">
        <v>104</v>
      </c>
      <c r="AA128" s="21" t="s">
        <v>105</v>
      </c>
      <c r="AB128" s="80" t="s">
        <v>106</v>
      </c>
      <c r="AC128" s="21" t="s">
        <v>221</v>
      </c>
      <c r="AD128" s="21" t="s">
        <v>222</v>
      </c>
      <c r="AE128" s="21" t="s">
        <v>223</v>
      </c>
      <c r="AF128" s="21" t="s">
        <v>224</v>
      </c>
      <c r="AG128" s="80" t="s">
        <v>225</v>
      </c>
      <c r="AH128" s="21" t="s">
        <v>254</v>
      </c>
      <c r="AI128" s="21" t="s">
        <v>255</v>
      </c>
      <c r="AJ128" s="21" t="s">
        <v>256</v>
      </c>
      <c r="AK128" s="21" t="s">
        <v>257</v>
      </c>
      <c r="AL128" s="80" t="s">
        <v>258</v>
      </c>
    </row>
    <row r="129" spans="1:38" s="13" customFormat="1" outlineLevel="1" x14ac:dyDescent="0.2">
      <c r="A129" s="182"/>
      <c r="B129" s="421" t="s">
        <v>272</v>
      </c>
      <c r="C129" s="422"/>
      <c r="D129" s="102">
        <v>11.6</v>
      </c>
      <c r="E129" s="102">
        <v>15.8</v>
      </c>
      <c r="F129" s="102">
        <v>23.3</v>
      </c>
      <c r="G129" s="102">
        <v>15.4</v>
      </c>
      <c r="H129" s="11"/>
      <c r="I129" s="102">
        <v>20.5</v>
      </c>
      <c r="J129" s="102">
        <v>12</v>
      </c>
      <c r="K129" s="102">
        <v>19.7</v>
      </c>
      <c r="L129" s="172">
        <f>G129*(1+L130)</f>
        <v>13.09</v>
      </c>
      <c r="M129" s="301"/>
      <c r="N129" s="172">
        <f t="shared" ref="N129" si="818">I129*(1+N130)</f>
        <v>19.064999999999998</v>
      </c>
      <c r="O129" s="172">
        <f t="shared" ref="O129" si="819">J129*(1+O130)</f>
        <v>11.76</v>
      </c>
      <c r="P129" s="172">
        <f t="shared" ref="P129" si="820">K129*(1+P130)</f>
        <v>20.684999999999999</v>
      </c>
      <c r="Q129" s="172">
        <f t="shared" ref="Q129" si="821">L129*(1+Q130)</f>
        <v>13.7445</v>
      </c>
      <c r="R129" s="250"/>
      <c r="S129" s="172">
        <f t="shared" ref="S129" si="822">N129*(1+S130)</f>
        <v>20.018249999999998</v>
      </c>
      <c r="T129" s="172">
        <f t="shared" ref="T129" si="823">O129*(1+T130)</f>
        <v>12.348000000000001</v>
      </c>
      <c r="U129" s="172">
        <f t="shared" ref="U129" si="824">P129*(1+U130)</f>
        <v>21.719249999999999</v>
      </c>
      <c r="V129" s="172">
        <f t="shared" ref="V129" si="825">Q129*(1+V130)</f>
        <v>14.431725</v>
      </c>
      <c r="W129" s="234"/>
      <c r="X129" s="172">
        <f t="shared" ref="X129" si="826">S129*(1+X130)</f>
        <v>21.0191625</v>
      </c>
      <c r="Y129" s="172">
        <f t="shared" ref="Y129" si="827">T129*(1+Y130)</f>
        <v>12.965400000000001</v>
      </c>
      <c r="Z129" s="172">
        <f t="shared" ref="Z129" si="828">U129*(1+Z130)</f>
        <v>22.8052125</v>
      </c>
      <c r="AA129" s="172">
        <f t="shared" ref="AA129" si="829">V129*(1+AA130)</f>
        <v>15.153311250000002</v>
      </c>
      <c r="AB129" s="234"/>
      <c r="AC129" s="172">
        <f t="shared" ref="AC129" si="830">X129*(1+AC130)</f>
        <v>22.070120625000001</v>
      </c>
      <c r="AD129" s="172">
        <f t="shared" ref="AD129" si="831">Y129*(1+AD130)</f>
        <v>13.613670000000001</v>
      </c>
      <c r="AE129" s="172">
        <f t="shared" ref="AE129" si="832">Z129*(1+AE130)</f>
        <v>23.945473124999999</v>
      </c>
      <c r="AF129" s="172">
        <f t="shared" ref="AF129" si="833">AA129*(1+AF130)</f>
        <v>15.910976812500003</v>
      </c>
      <c r="AG129" s="234"/>
      <c r="AH129" s="172">
        <f t="shared" ref="AH129" si="834">AC129*(1+AH130)</f>
        <v>23.173626656250001</v>
      </c>
      <c r="AI129" s="172">
        <f t="shared" ref="AI129" si="835">AD129*(1+AI130)</f>
        <v>14.294353500000001</v>
      </c>
      <c r="AJ129" s="172">
        <f t="shared" ref="AJ129" si="836">AE129*(1+AJ130)</f>
        <v>25.142746781250001</v>
      </c>
      <c r="AK129" s="172">
        <f t="shared" ref="AK129" si="837">AF129*(1+AK130)</f>
        <v>16.706525653125002</v>
      </c>
      <c r="AL129" s="234"/>
    </row>
    <row r="130" spans="1:38" s="13" customFormat="1" outlineLevel="1" x14ac:dyDescent="0.2">
      <c r="A130" s="182"/>
      <c r="B130" s="69" t="s">
        <v>273</v>
      </c>
      <c r="C130" s="61"/>
      <c r="D130" s="47"/>
      <c r="E130" s="47"/>
      <c r="F130" s="47"/>
      <c r="G130" s="201"/>
      <c r="H130" s="250"/>
      <c r="I130" s="201">
        <f t="shared" ref="I130:J130" si="838">I129/D129-1</f>
        <v>0.76724137931034497</v>
      </c>
      <c r="J130" s="201">
        <f t="shared" si="838"/>
        <v>-0.24050632911392411</v>
      </c>
      <c r="K130" s="201">
        <f>K129/F129-1</f>
        <v>-0.15450643776824036</v>
      </c>
      <c r="L130" s="343">
        <v>-0.15</v>
      </c>
      <c r="M130" s="345"/>
      <c r="N130" s="354">
        <v>-7.0000000000000007E-2</v>
      </c>
      <c r="O130" s="342">
        <v>-0.02</v>
      </c>
      <c r="P130" s="342">
        <v>0.05</v>
      </c>
      <c r="Q130" s="343">
        <v>0.05</v>
      </c>
      <c r="R130" s="250"/>
      <c r="S130" s="342">
        <v>0.05</v>
      </c>
      <c r="T130" s="342">
        <v>0.05</v>
      </c>
      <c r="U130" s="342">
        <v>0.05</v>
      </c>
      <c r="V130" s="343">
        <v>0.05</v>
      </c>
      <c r="W130" s="302"/>
      <c r="X130" s="342">
        <v>0.05</v>
      </c>
      <c r="Y130" s="342">
        <v>0.05</v>
      </c>
      <c r="Z130" s="342">
        <v>0.05</v>
      </c>
      <c r="AA130" s="343">
        <v>0.05</v>
      </c>
      <c r="AB130" s="302"/>
      <c r="AC130" s="342">
        <v>0.05</v>
      </c>
      <c r="AD130" s="342">
        <v>0.05</v>
      </c>
      <c r="AE130" s="342">
        <v>0.05</v>
      </c>
      <c r="AF130" s="343">
        <v>0.05</v>
      </c>
      <c r="AG130" s="302"/>
      <c r="AH130" s="342">
        <v>0.05</v>
      </c>
      <c r="AI130" s="342">
        <v>0.05</v>
      </c>
      <c r="AJ130" s="342">
        <v>0.05</v>
      </c>
      <c r="AK130" s="343">
        <v>0.05</v>
      </c>
      <c r="AL130" s="302"/>
    </row>
    <row r="131" spans="1:38" outlineLevel="1" x14ac:dyDescent="0.2">
      <c r="A131" s="167"/>
      <c r="B131" s="474" t="s">
        <v>231</v>
      </c>
      <c r="C131" s="475"/>
      <c r="D131" s="102">
        <v>13.4</v>
      </c>
      <c r="E131" s="102">
        <v>15.9</v>
      </c>
      <c r="F131" s="102">
        <v>22.4</v>
      </c>
      <c r="G131" s="174">
        <v>15.5</v>
      </c>
      <c r="H131" s="187"/>
      <c r="I131" s="174">
        <v>20.7</v>
      </c>
      <c r="J131" s="174">
        <v>10.199999999999999</v>
      </c>
      <c r="K131" s="174">
        <v>20.8</v>
      </c>
      <c r="L131" s="352">
        <f>AVERAGE(G131,K131,I131,J131)</f>
        <v>16.8</v>
      </c>
      <c r="M131" s="250"/>
      <c r="N131" s="352">
        <f>AVERAGE(I131,J131,K131,L131)</f>
        <v>17.125</v>
      </c>
      <c r="O131" s="352">
        <f>AVERAGE(J131,K131,L131,N131)</f>
        <v>16.231249999999999</v>
      </c>
      <c r="P131" s="352">
        <f>AVERAGE(K131,L131,O131,N131)</f>
        <v>17.739062499999999</v>
      </c>
      <c r="Q131" s="352">
        <f>AVERAGE(L131,P131,N131,O131)</f>
        <v>16.973828125000001</v>
      </c>
      <c r="R131" s="250"/>
      <c r="S131" s="352">
        <f>AVERAGE(N131,O131,P131,Q131)</f>
        <v>17.017285156250001</v>
      </c>
      <c r="T131" s="352">
        <f>AVERAGE(O131,P131,Q131,S131)</f>
        <v>16.9903564453125</v>
      </c>
      <c r="U131" s="352">
        <f>AVERAGE(P131,Q131,T131,S131)</f>
        <v>17.180133056640624</v>
      </c>
      <c r="V131" s="352">
        <f>AVERAGE(Q131,U131,S131,T131)</f>
        <v>17.040400695800781</v>
      </c>
      <c r="W131" s="250"/>
      <c r="X131" s="352">
        <f>AVERAGE(S131,T131,U131,V131)</f>
        <v>17.057043838500977</v>
      </c>
      <c r="Y131" s="352">
        <f>AVERAGE(T131,U131,V131,X131)</f>
        <v>17.066983509063721</v>
      </c>
      <c r="Z131" s="352">
        <f>AVERAGE(U131,V131,Y131,X131)</f>
        <v>17.086140275001526</v>
      </c>
      <c r="AA131" s="352">
        <f>AVERAGE(V131,Z131,X131,Y131)</f>
        <v>17.06264207959175</v>
      </c>
      <c r="AB131" s="250"/>
      <c r="AC131" s="352">
        <f>AVERAGE(X131,Y131,Z131,AA131)</f>
        <v>17.068202425539493</v>
      </c>
      <c r="AD131" s="352">
        <f>AVERAGE(Y131,Z131,AA131,AC131)</f>
        <v>17.070992072299124</v>
      </c>
      <c r="AE131" s="352">
        <f>AVERAGE(Z131,AA131,AD131,AC131)</f>
        <v>17.071994213107974</v>
      </c>
      <c r="AF131" s="352">
        <f>AVERAGE(AA131,AE131,AC131,AD131)</f>
        <v>17.068457697634585</v>
      </c>
      <c r="AG131" s="250"/>
      <c r="AH131" s="352">
        <f>AVERAGE(AC131,AD131,AE131,AF131)</f>
        <v>17.069911602145293</v>
      </c>
      <c r="AI131" s="352">
        <f>AVERAGE(AD131,AE131,AF131,AH131)</f>
        <v>17.070338896296743</v>
      </c>
      <c r="AJ131" s="352">
        <f>AVERAGE(AE131,AF131,AI131,AH131)</f>
        <v>17.07017560229615</v>
      </c>
      <c r="AK131" s="352">
        <f>AVERAGE(AF131,AJ131,AH131,AI131)</f>
        <v>17.069720949593194</v>
      </c>
      <c r="AL131" s="250"/>
    </row>
    <row r="132" spans="1:38" outlineLevel="1" x14ac:dyDescent="0.2">
      <c r="A132" s="167"/>
      <c r="B132" s="36" t="s">
        <v>108</v>
      </c>
      <c r="C132" s="27"/>
      <c r="D132" s="102">
        <v>3.2</v>
      </c>
      <c r="E132" s="102">
        <v>4.3</v>
      </c>
      <c r="F132" s="102">
        <v>5.8</v>
      </c>
      <c r="G132" s="174">
        <f>5.2+0.1</f>
        <v>5.3</v>
      </c>
      <c r="H132" s="187"/>
      <c r="I132" s="174">
        <v>2.8</v>
      </c>
      <c r="J132" s="174">
        <v>3.7</v>
      </c>
      <c r="K132" s="174">
        <v>4</v>
      </c>
      <c r="L132" s="352">
        <f t="shared" ref="L132:L135" si="839">AVERAGE(G132,K132,I132,J132)</f>
        <v>3.95</v>
      </c>
      <c r="M132" s="250"/>
      <c r="N132" s="352">
        <f t="shared" ref="N132:N135" si="840">AVERAGE(I132,J132,K132,L132)</f>
        <v>3.6124999999999998</v>
      </c>
      <c r="O132" s="352">
        <f t="shared" ref="O132:O135" si="841">AVERAGE(J132,K132,L132,N132)</f>
        <v>3.8156249999999998</v>
      </c>
      <c r="P132" s="352">
        <f t="shared" ref="P132:P135" si="842">AVERAGE(K132,L132,O132,N132)</f>
        <v>3.8445312500000002</v>
      </c>
      <c r="Q132" s="352">
        <f t="shared" ref="Q132:Q135" si="843">AVERAGE(L132,P132,N132,O132)</f>
        <v>3.8056640625</v>
      </c>
      <c r="R132" s="250"/>
      <c r="S132" s="352">
        <f t="shared" ref="S132:S135" si="844">AVERAGE(N132,O132,P132,Q132)</f>
        <v>3.7695800781250002</v>
      </c>
      <c r="T132" s="352">
        <f t="shared" ref="T132:T135" si="845">AVERAGE(O132,P132,Q132,S132)</f>
        <v>3.8088500976562498</v>
      </c>
      <c r="U132" s="352">
        <f t="shared" ref="U132:U135" si="846">AVERAGE(P132,Q132,T132,S132)</f>
        <v>3.8071563720703123</v>
      </c>
      <c r="V132" s="352">
        <f t="shared" ref="V132:V135" si="847">AVERAGE(Q132,U132,S132,T132)</f>
        <v>3.7978126525878908</v>
      </c>
      <c r="W132" s="250"/>
      <c r="X132" s="352">
        <f t="shared" ref="X132:X135" si="848">AVERAGE(S132,T132,U132,V132)</f>
        <v>3.7958498001098633</v>
      </c>
      <c r="Y132" s="352">
        <f t="shared" ref="Y132:Y135" si="849">AVERAGE(T132,U132,V132,X132)</f>
        <v>3.8024172306060793</v>
      </c>
      <c r="Z132" s="352">
        <f t="shared" ref="Z132:Z135" si="850">AVERAGE(U132,V132,Y132,X132)</f>
        <v>3.8008090138435362</v>
      </c>
      <c r="AA132" s="352">
        <f t="shared" ref="AA132:AA135" si="851">AVERAGE(V132,Z132,X132,Y132)</f>
        <v>3.7992221742868422</v>
      </c>
      <c r="AB132" s="250"/>
      <c r="AC132" s="352">
        <f t="shared" ref="AC132:AC135" si="852">AVERAGE(X132,Y132,Z132,AA132)</f>
        <v>3.7995745547115805</v>
      </c>
      <c r="AD132" s="352">
        <f t="shared" ref="AD132:AD135" si="853">AVERAGE(Y132,Z132,AA132,AC132)</f>
        <v>3.8005057433620095</v>
      </c>
      <c r="AE132" s="352">
        <f t="shared" ref="AE132:AE135" si="854">AVERAGE(Z132,AA132,AD132,AC132)</f>
        <v>3.8000278715509923</v>
      </c>
      <c r="AF132" s="352">
        <f t="shared" ref="AF132:AF135" si="855">AVERAGE(AA132,AE132,AC132,AD132)</f>
        <v>3.7998325859778559</v>
      </c>
      <c r="AG132" s="250"/>
      <c r="AH132" s="352">
        <f t="shared" ref="AH132:AH135" si="856">AVERAGE(AC132,AD132,AE132,AF132)</f>
        <v>3.7999851889006093</v>
      </c>
      <c r="AI132" s="352">
        <f t="shared" ref="AI132:AI135" si="857">AVERAGE(AD132,AE132,AF132,AH132)</f>
        <v>3.800087847447867</v>
      </c>
      <c r="AJ132" s="352">
        <f t="shared" ref="AJ132:AJ135" si="858">AVERAGE(AE132,AF132,AI132,AH132)</f>
        <v>3.7999833734693311</v>
      </c>
      <c r="AK132" s="352">
        <f t="shared" ref="AK132:AK135" si="859">AVERAGE(AF132,AJ132,AH132,AI132)</f>
        <v>3.7999722489489161</v>
      </c>
      <c r="AL132" s="250"/>
    </row>
    <row r="133" spans="1:38" outlineLevel="1" x14ac:dyDescent="0.2">
      <c r="A133" s="167"/>
      <c r="B133" s="36" t="s">
        <v>109</v>
      </c>
      <c r="C133" s="27"/>
      <c r="D133" s="126">
        <v>39.5</v>
      </c>
      <c r="E133" s="126">
        <v>40.5</v>
      </c>
      <c r="F133" s="126">
        <v>39.6</v>
      </c>
      <c r="G133" s="203">
        <v>37.299999999999997</v>
      </c>
      <c r="H133" s="250"/>
      <c r="I133" s="203">
        <v>34.9</v>
      </c>
      <c r="J133" s="203">
        <v>34.5</v>
      </c>
      <c r="K133" s="203">
        <v>40.9</v>
      </c>
      <c r="L133" s="203">
        <f>L242*(K133/(K72+K105+K119+K133))</f>
        <v>42.41617141953774</v>
      </c>
      <c r="M133" s="250"/>
      <c r="N133" s="203">
        <f>N242*(L133/(L72+L105+L119+L133))</f>
        <v>42.365352356936633</v>
      </c>
      <c r="O133" s="203">
        <f t="shared" ref="O133:Q133" si="860">O242*(N133/(N72+N105+N119+N133))</f>
        <v>42.366570136281275</v>
      </c>
      <c r="P133" s="203">
        <f t="shared" si="860"/>
        <v>42.640790748522754</v>
      </c>
      <c r="Q133" s="203">
        <f t="shared" si="860"/>
        <v>42.571533206127057</v>
      </c>
      <c r="R133" s="250"/>
      <c r="S133" s="203">
        <f>S242*(Q133/(Q72+Q105+Q119+Q133))</f>
        <v>43.229598000976871</v>
      </c>
      <c r="T133" s="203">
        <f t="shared" ref="T133:V133" si="861">T242*(S133/(S72+S105+S119+S133))</f>
        <v>43.230067359502648</v>
      </c>
      <c r="U133" s="203">
        <f t="shared" si="861"/>
        <v>43.600941360430788</v>
      </c>
      <c r="V133" s="203">
        <f t="shared" si="861"/>
        <v>43.603605988948154</v>
      </c>
      <c r="W133" s="250"/>
      <c r="X133" s="203">
        <f>X242*(V133/(V72+V105+V119+V133))</f>
        <v>44.443610074157377</v>
      </c>
      <c r="Y133" s="203">
        <f t="shared" ref="Y133:AA133" si="862">Y242*(X133/(X72+X105+X119+X133))</f>
        <v>44.44426701632937</v>
      </c>
      <c r="Z133" s="203">
        <f t="shared" si="862"/>
        <v>44.894405208782231</v>
      </c>
      <c r="AA133" s="203">
        <f t="shared" si="862"/>
        <v>44.953351592581761</v>
      </c>
      <c r="AB133" s="250"/>
      <c r="AC133" s="203">
        <f>AC242*(AA133/(AA72+AA105+AA119+AA133))</f>
        <v>45.941141102889375</v>
      </c>
      <c r="AD133" s="203">
        <f t="shared" ref="AD133:AF133" si="863">AD242*(AC133/(AC72+AC105+AC119+AC133))</f>
        <v>45.941933644111558</v>
      </c>
      <c r="AE133" s="203">
        <f t="shared" si="863"/>
        <v>46.463108740418214</v>
      </c>
      <c r="AF133" s="203">
        <f t="shared" si="863"/>
        <v>46.568776806305799</v>
      </c>
      <c r="AG133" s="250"/>
      <c r="AH133" s="203">
        <f>AH242*(AF133/(AF72+AF105+AF119+AF133))</f>
        <v>47.687292892590364</v>
      </c>
      <c r="AI133" s="203">
        <f t="shared" ref="AI133:AK133" si="864">AI242*(AH133/(AH72+AH105+AH119+AH133))</f>
        <v>47.688188519679358</v>
      </c>
      <c r="AJ133" s="203">
        <f t="shared" si="864"/>
        <v>48.291891016845788</v>
      </c>
      <c r="AK133" s="203">
        <f t="shared" si="864"/>
        <v>48.452291093923215</v>
      </c>
      <c r="AL133" s="250"/>
    </row>
    <row r="134" spans="1:38" outlineLevel="1" x14ac:dyDescent="0.2">
      <c r="A134" s="167"/>
      <c r="B134" s="36" t="s">
        <v>110</v>
      </c>
      <c r="C134" s="27"/>
      <c r="D134" s="102">
        <v>300.39999999999998</v>
      </c>
      <c r="E134" s="102">
        <v>303.89999999999998</v>
      </c>
      <c r="F134" s="102">
        <v>299</v>
      </c>
      <c r="G134" s="174">
        <v>267.39999999999998</v>
      </c>
      <c r="H134" s="187"/>
      <c r="I134" s="174">
        <v>292.2</v>
      </c>
      <c r="J134" s="174">
        <v>271.60000000000002</v>
      </c>
      <c r="K134" s="174">
        <v>269.10000000000002</v>
      </c>
      <c r="L134" s="352">
        <f t="shared" si="839"/>
        <v>275.07500000000005</v>
      </c>
      <c r="M134" s="250"/>
      <c r="N134" s="352">
        <f t="shared" si="840"/>
        <v>276.99374999999998</v>
      </c>
      <c r="O134" s="352">
        <f t="shared" si="841"/>
        <v>273.19218750000005</v>
      </c>
      <c r="P134" s="352">
        <f t="shared" si="842"/>
        <v>273.59023437500002</v>
      </c>
      <c r="Q134" s="352">
        <f t="shared" si="843"/>
        <v>274.71279296875002</v>
      </c>
      <c r="R134" s="250"/>
      <c r="S134" s="352">
        <f t="shared" si="844"/>
        <v>274.62224121093755</v>
      </c>
      <c r="T134" s="352">
        <f t="shared" si="845"/>
        <v>274.02936401367191</v>
      </c>
      <c r="U134" s="352">
        <f t="shared" si="846"/>
        <v>274.23865814208989</v>
      </c>
      <c r="V134" s="352">
        <f t="shared" si="847"/>
        <v>274.40076408386233</v>
      </c>
      <c r="W134" s="250"/>
      <c r="X134" s="352">
        <f t="shared" si="848"/>
        <v>274.3227568626404</v>
      </c>
      <c r="Y134" s="352">
        <f t="shared" si="849"/>
        <v>274.24788577556615</v>
      </c>
      <c r="Z134" s="352">
        <f t="shared" si="850"/>
        <v>274.30251621603969</v>
      </c>
      <c r="AA134" s="352">
        <f t="shared" si="851"/>
        <v>274.31848073452716</v>
      </c>
      <c r="AB134" s="250"/>
      <c r="AC134" s="352">
        <f t="shared" si="852"/>
        <v>274.29790989719334</v>
      </c>
      <c r="AD134" s="352">
        <f t="shared" si="853"/>
        <v>274.29169815583157</v>
      </c>
      <c r="AE134" s="352">
        <f t="shared" si="854"/>
        <v>274.30265125089795</v>
      </c>
      <c r="AF134" s="352">
        <f t="shared" si="855"/>
        <v>274.3026850096125</v>
      </c>
      <c r="AG134" s="250"/>
      <c r="AH134" s="352">
        <f t="shared" si="856"/>
        <v>274.29873607838385</v>
      </c>
      <c r="AI134" s="352">
        <f t="shared" si="857"/>
        <v>274.29894262368146</v>
      </c>
      <c r="AJ134" s="352">
        <f t="shared" si="858"/>
        <v>274.30075374064393</v>
      </c>
      <c r="AK134" s="352">
        <f t="shared" si="859"/>
        <v>274.30027936308045</v>
      </c>
      <c r="AL134" s="250"/>
    </row>
    <row r="135" spans="1:38" ht="18" outlineLevel="1" x14ac:dyDescent="0.35">
      <c r="A135" s="167"/>
      <c r="B135" s="36" t="s">
        <v>118</v>
      </c>
      <c r="C135" s="27"/>
      <c r="D135" s="204">
        <v>13.9</v>
      </c>
      <c r="E135" s="204">
        <v>0.6</v>
      </c>
      <c r="F135" s="204">
        <v>6</v>
      </c>
      <c r="G135" s="204">
        <v>-0.9</v>
      </c>
      <c r="H135" s="251"/>
      <c r="I135" s="204">
        <v>0.3</v>
      </c>
      <c r="J135" s="204">
        <v>0</v>
      </c>
      <c r="K135" s="204">
        <v>22.1</v>
      </c>
      <c r="L135" s="353">
        <f t="shared" si="839"/>
        <v>5.3750000000000009</v>
      </c>
      <c r="M135" s="250"/>
      <c r="N135" s="353">
        <f t="shared" si="840"/>
        <v>6.9437500000000005</v>
      </c>
      <c r="O135" s="353">
        <f t="shared" si="841"/>
        <v>8.6046875000000007</v>
      </c>
      <c r="P135" s="353">
        <f t="shared" si="842"/>
        <v>10.755859375000002</v>
      </c>
      <c r="Q135" s="353">
        <f t="shared" si="843"/>
        <v>7.9198242187500014</v>
      </c>
      <c r="R135" s="250"/>
      <c r="S135" s="353">
        <f t="shared" si="844"/>
        <v>8.5560302734375018</v>
      </c>
      <c r="T135" s="353">
        <f t="shared" si="845"/>
        <v>8.9591003417968764</v>
      </c>
      <c r="U135" s="353">
        <f t="shared" si="846"/>
        <v>9.0477035522460945</v>
      </c>
      <c r="V135" s="353">
        <f t="shared" si="847"/>
        <v>8.620664596557619</v>
      </c>
      <c r="W135" s="250"/>
      <c r="X135" s="353">
        <f t="shared" si="848"/>
        <v>8.7958746910095229</v>
      </c>
      <c r="Y135" s="353">
        <f t="shared" si="849"/>
        <v>8.8558357954025286</v>
      </c>
      <c r="Z135" s="353">
        <f t="shared" si="850"/>
        <v>8.8300196588039412</v>
      </c>
      <c r="AA135" s="353">
        <f t="shared" si="851"/>
        <v>8.775598685443402</v>
      </c>
      <c r="AB135" s="250"/>
      <c r="AC135" s="353">
        <f t="shared" si="852"/>
        <v>8.8143322076648474</v>
      </c>
      <c r="AD135" s="353">
        <f t="shared" si="853"/>
        <v>8.8189465868286803</v>
      </c>
      <c r="AE135" s="353">
        <f t="shared" si="854"/>
        <v>8.8097242846852168</v>
      </c>
      <c r="AF135" s="353">
        <f t="shared" si="855"/>
        <v>8.8046504411555375</v>
      </c>
      <c r="AG135" s="250"/>
      <c r="AH135" s="353">
        <f t="shared" si="856"/>
        <v>8.8119133800835705</v>
      </c>
      <c r="AI135" s="353">
        <f t="shared" si="857"/>
        <v>8.8113086731882504</v>
      </c>
      <c r="AJ135" s="353">
        <f t="shared" si="858"/>
        <v>8.8093991947781447</v>
      </c>
      <c r="AK135" s="353">
        <f t="shared" si="859"/>
        <v>8.8093179223013749</v>
      </c>
      <c r="AL135" s="250"/>
    </row>
    <row r="136" spans="1:38" outlineLevel="1" x14ac:dyDescent="0.2">
      <c r="A136" s="167"/>
      <c r="B136" s="100" t="s">
        <v>146</v>
      </c>
      <c r="C136" s="30"/>
      <c r="D136" s="172">
        <f t="shared" ref="D136:J136" si="865">SUM(D131:D135)</f>
        <v>370.4</v>
      </c>
      <c r="E136" s="172">
        <f t="shared" si="865"/>
        <v>365.2</v>
      </c>
      <c r="F136" s="172">
        <f t="shared" si="865"/>
        <v>372.8</v>
      </c>
      <c r="G136" s="172">
        <f t="shared" si="865"/>
        <v>324.60000000000002</v>
      </c>
      <c r="H136" s="250"/>
      <c r="I136" s="172">
        <f t="shared" si="865"/>
        <v>350.9</v>
      </c>
      <c r="J136" s="172">
        <f t="shared" si="865"/>
        <v>320</v>
      </c>
      <c r="K136" s="172">
        <f>SUM(K131:K135)</f>
        <v>356.90000000000003</v>
      </c>
      <c r="L136" s="172">
        <f t="shared" ref="L136:Q136" si="866">SUM(L131:L135)</f>
        <v>343.61617141953781</v>
      </c>
      <c r="M136" s="188"/>
      <c r="N136" s="172">
        <f t="shared" si="866"/>
        <v>347.04035235693664</v>
      </c>
      <c r="O136" s="172">
        <f t="shared" si="866"/>
        <v>344.21032013628133</v>
      </c>
      <c r="P136" s="172">
        <f t="shared" si="866"/>
        <v>348.57047824852276</v>
      </c>
      <c r="Q136" s="172">
        <f t="shared" si="866"/>
        <v>345.98364258112713</v>
      </c>
      <c r="R136" s="318"/>
      <c r="S136" s="172">
        <f t="shared" ref="S136" si="867">SUM(S131:S135)</f>
        <v>347.19473471972691</v>
      </c>
      <c r="T136" s="172">
        <f t="shared" ref="T136" si="868">SUM(T131:T135)</f>
        <v>347.01773825794021</v>
      </c>
      <c r="U136" s="172">
        <f t="shared" ref="U136" si="869">SUM(U131:U135)</f>
        <v>347.87459248347773</v>
      </c>
      <c r="V136" s="172">
        <f t="shared" ref="V136" si="870">SUM(V131:V135)</f>
        <v>347.46324801775677</v>
      </c>
      <c r="W136" s="318"/>
      <c r="X136" s="172">
        <f t="shared" ref="X136" si="871">SUM(X131:X135)</f>
        <v>348.41513526641813</v>
      </c>
      <c r="Y136" s="172">
        <f t="shared" ref="Y136" si="872">SUM(Y131:Y135)</f>
        <v>348.41738932696785</v>
      </c>
      <c r="Z136" s="172">
        <f t="shared" ref="Z136" si="873">SUM(Z131:Z135)</f>
        <v>348.91389037247097</v>
      </c>
      <c r="AA136" s="172">
        <f t="shared" ref="AA136" si="874">SUM(AA131:AA135)</f>
        <v>348.90929526643089</v>
      </c>
      <c r="AB136" s="318"/>
      <c r="AC136" s="172">
        <f t="shared" ref="AC136" si="875">SUM(AC131:AC135)</f>
        <v>349.92116018799862</v>
      </c>
      <c r="AD136" s="172">
        <f t="shared" ref="AD136" si="876">SUM(AD131:AD135)</f>
        <v>349.92407620243296</v>
      </c>
      <c r="AE136" s="172">
        <f t="shared" ref="AE136" si="877">SUM(AE131:AE135)</f>
        <v>350.44750636066033</v>
      </c>
      <c r="AF136" s="172">
        <f t="shared" ref="AF136" si="878">SUM(AF131:AF135)</f>
        <v>350.54440254068629</v>
      </c>
      <c r="AG136" s="318"/>
      <c r="AH136" s="172">
        <f t="shared" ref="AH136" si="879">SUM(AH131:AH135)</f>
        <v>351.66783914210367</v>
      </c>
      <c r="AI136" s="172">
        <f t="shared" ref="AI136" si="880">SUM(AI131:AI135)</f>
        <v>351.66886656029368</v>
      </c>
      <c r="AJ136" s="172">
        <f t="shared" ref="AJ136" si="881">SUM(AJ131:AJ135)</f>
        <v>352.27220292803338</v>
      </c>
      <c r="AK136" s="172">
        <f t="shared" ref="AK136" si="882">SUM(AK131:AK135)</f>
        <v>352.43158157784717</v>
      </c>
      <c r="AL136" s="318"/>
    </row>
    <row r="137" spans="1:38" outlineLevel="1" x14ac:dyDescent="0.2">
      <c r="A137" s="167"/>
      <c r="B137" s="100" t="s">
        <v>147</v>
      </c>
      <c r="C137" s="90"/>
      <c r="D137" s="303">
        <f t="shared" ref="D137:J137" si="883">D129-D136</f>
        <v>-358.79999999999995</v>
      </c>
      <c r="E137" s="303">
        <f t="shared" si="883"/>
        <v>-349.4</v>
      </c>
      <c r="F137" s="303">
        <f t="shared" si="883"/>
        <v>-349.5</v>
      </c>
      <c r="G137" s="303">
        <f t="shared" si="883"/>
        <v>-309.20000000000005</v>
      </c>
      <c r="H137" s="305"/>
      <c r="I137" s="303">
        <f t="shared" si="883"/>
        <v>-330.4</v>
      </c>
      <c r="J137" s="303">
        <f t="shared" si="883"/>
        <v>-308</v>
      </c>
      <c r="K137" s="303">
        <f>K129-K136</f>
        <v>-337.20000000000005</v>
      </c>
      <c r="L137" s="303">
        <f t="shared" ref="L137:Q137" si="884">L129-L136</f>
        <v>-330.52617141953783</v>
      </c>
      <c r="M137" s="347"/>
      <c r="N137" s="303">
        <f t="shared" si="884"/>
        <v>-327.97535235693664</v>
      </c>
      <c r="O137" s="303">
        <f t="shared" si="884"/>
        <v>-332.45032013628133</v>
      </c>
      <c r="P137" s="303">
        <f t="shared" si="884"/>
        <v>-327.88547824852276</v>
      </c>
      <c r="Q137" s="303">
        <f t="shared" si="884"/>
        <v>-332.23914258112711</v>
      </c>
      <c r="R137" s="318"/>
      <c r="S137" s="303">
        <f t="shared" ref="S137" si="885">S129-S136</f>
        <v>-327.17648471972689</v>
      </c>
      <c r="T137" s="303">
        <f t="shared" ref="T137" si="886">T129-T136</f>
        <v>-334.6697382579402</v>
      </c>
      <c r="U137" s="303">
        <f t="shared" ref="U137" si="887">U129-U136</f>
        <v>-326.15534248347774</v>
      </c>
      <c r="V137" s="303">
        <f t="shared" ref="V137" si="888">V129-V136</f>
        <v>-333.03152301775674</v>
      </c>
      <c r="W137" s="318"/>
      <c r="X137" s="303">
        <f t="shared" ref="X137" si="889">X129-X136</f>
        <v>-327.39597276641814</v>
      </c>
      <c r="Y137" s="303">
        <f t="shared" ref="Y137" si="890">Y129-Y136</f>
        <v>-335.45198932696786</v>
      </c>
      <c r="Z137" s="303">
        <f t="shared" ref="Z137" si="891">Z129-Z136</f>
        <v>-326.10867787247099</v>
      </c>
      <c r="AA137" s="303">
        <f t="shared" ref="AA137" si="892">AA129-AA136</f>
        <v>-333.75598401643089</v>
      </c>
      <c r="AB137" s="318"/>
      <c r="AC137" s="303">
        <f t="shared" ref="AC137" si="893">AC129-AC136</f>
        <v>-327.85103956299861</v>
      </c>
      <c r="AD137" s="303">
        <f t="shared" ref="AD137" si="894">AD129-AD136</f>
        <v>-336.31040620243294</v>
      </c>
      <c r="AE137" s="303">
        <f t="shared" ref="AE137" si="895">AE129-AE136</f>
        <v>-326.50203323566035</v>
      </c>
      <c r="AF137" s="303">
        <f t="shared" ref="AF137" si="896">AF129-AF136</f>
        <v>-334.6334257281863</v>
      </c>
      <c r="AG137" s="318"/>
      <c r="AH137" s="303">
        <f t="shared" ref="AH137" si="897">AH129-AH136</f>
        <v>-328.49421248585367</v>
      </c>
      <c r="AI137" s="303">
        <f t="shared" ref="AI137" si="898">AI129-AI136</f>
        <v>-337.37451306029368</v>
      </c>
      <c r="AJ137" s="303">
        <f t="shared" ref="AJ137" si="899">AJ129-AJ136</f>
        <v>-327.12945614678335</v>
      </c>
      <c r="AK137" s="303">
        <f t="shared" ref="AK137" si="900">AK129-AK136</f>
        <v>-335.72505592472214</v>
      </c>
      <c r="AL137" s="318"/>
    </row>
    <row r="138" spans="1:38" s="128" customFormat="1" outlineLevel="1" x14ac:dyDescent="0.2">
      <c r="A138" s="183"/>
      <c r="B138" s="131" t="s">
        <v>139</v>
      </c>
      <c r="C138" s="129"/>
      <c r="D138" s="113">
        <f t="shared" ref="D138:J138" si="901">D136-D133</f>
        <v>330.9</v>
      </c>
      <c r="E138" s="113">
        <f t="shared" si="901"/>
        <v>324.7</v>
      </c>
      <c r="F138" s="113">
        <f t="shared" si="901"/>
        <v>333.2</v>
      </c>
      <c r="G138" s="113">
        <f t="shared" si="901"/>
        <v>287.3</v>
      </c>
      <c r="H138" s="115"/>
      <c r="I138" s="113">
        <f t="shared" si="901"/>
        <v>316</v>
      </c>
      <c r="J138" s="113">
        <f t="shared" si="901"/>
        <v>285.5</v>
      </c>
      <c r="K138" s="113">
        <f>K136-K133</f>
        <v>316.00000000000006</v>
      </c>
      <c r="L138" s="113">
        <f t="shared" ref="L138:Q138" si="902">L136-L133</f>
        <v>301.20000000000005</v>
      </c>
      <c r="M138" s="350"/>
      <c r="N138" s="113">
        <f t="shared" si="902"/>
        <v>304.67500000000001</v>
      </c>
      <c r="O138" s="113">
        <f t="shared" si="902"/>
        <v>301.84375000000006</v>
      </c>
      <c r="P138" s="113">
        <f t="shared" si="902"/>
        <v>305.9296875</v>
      </c>
      <c r="Q138" s="113">
        <f t="shared" si="902"/>
        <v>303.41210937500006</v>
      </c>
      <c r="R138" s="255"/>
      <c r="S138" s="113">
        <f t="shared" ref="S138:V138" si="903">S136-S133</f>
        <v>303.96513671875005</v>
      </c>
      <c r="T138" s="113">
        <f t="shared" si="903"/>
        <v>303.78767089843757</v>
      </c>
      <c r="U138" s="113">
        <f t="shared" si="903"/>
        <v>304.27365112304693</v>
      </c>
      <c r="V138" s="113">
        <f t="shared" si="903"/>
        <v>303.85964202880859</v>
      </c>
      <c r="W138" s="255"/>
      <c r="X138" s="113">
        <f t="shared" ref="X138:AA138" si="904">X136-X133</f>
        <v>303.97152519226074</v>
      </c>
      <c r="Y138" s="113">
        <f t="shared" si="904"/>
        <v>303.97312231063847</v>
      </c>
      <c r="Z138" s="113">
        <f t="shared" si="904"/>
        <v>304.01948516368873</v>
      </c>
      <c r="AA138" s="113">
        <f t="shared" si="904"/>
        <v>303.95594367384911</v>
      </c>
      <c r="AB138" s="255"/>
      <c r="AC138" s="113">
        <f t="shared" ref="AC138:AF138" si="905">AC136-AC133</f>
        <v>303.98001908510923</v>
      </c>
      <c r="AD138" s="113">
        <f t="shared" si="905"/>
        <v>303.98214255832141</v>
      </c>
      <c r="AE138" s="113">
        <f t="shared" si="905"/>
        <v>303.98439762024213</v>
      </c>
      <c r="AF138" s="113">
        <f t="shared" si="905"/>
        <v>303.97562573438051</v>
      </c>
      <c r="AG138" s="255"/>
      <c r="AH138" s="113">
        <f t="shared" ref="AH138:AK138" si="906">AH136-AH133</f>
        <v>303.98054624951328</v>
      </c>
      <c r="AI138" s="113">
        <f t="shared" si="906"/>
        <v>303.98067804061429</v>
      </c>
      <c r="AJ138" s="113">
        <f t="shared" si="906"/>
        <v>303.98031191118758</v>
      </c>
      <c r="AK138" s="113">
        <f t="shared" si="906"/>
        <v>303.97929048392393</v>
      </c>
      <c r="AL138" s="255"/>
    </row>
    <row r="139" spans="1:38" s="128" customFormat="1" outlineLevel="1" x14ac:dyDescent="0.2">
      <c r="A139" s="183"/>
      <c r="B139" s="131" t="s">
        <v>140</v>
      </c>
      <c r="C139" s="129"/>
      <c r="D139" s="132">
        <f t="shared" ref="D139:J139" si="907">+D138/D129</f>
        <v>28.525862068965516</v>
      </c>
      <c r="E139" s="132">
        <f t="shared" si="907"/>
        <v>20.550632911392402</v>
      </c>
      <c r="F139" s="132">
        <f t="shared" si="907"/>
        <v>14.300429184549355</v>
      </c>
      <c r="G139" s="197">
        <f t="shared" si="907"/>
        <v>18.655844155844157</v>
      </c>
      <c r="H139" s="130"/>
      <c r="I139" s="197">
        <f t="shared" si="907"/>
        <v>15.414634146341463</v>
      </c>
      <c r="J139" s="197">
        <f t="shared" si="907"/>
        <v>23.791666666666668</v>
      </c>
      <c r="K139" s="197">
        <f>+K138/K129</f>
        <v>16.040609137055842</v>
      </c>
      <c r="L139" s="197">
        <f t="shared" ref="L139:Q139" si="908">+L138/L129</f>
        <v>23.009931245225367</v>
      </c>
      <c r="M139" s="351"/>
      <c r="N139" s="197">
        <f t="shared" si="908"/>
        <v>15.980854969840024</v>
      </c>
      <c r="O139" s="197">
        <f t="shared" si="908"/>
        <v>25.666985544217692</v>
      </c>
      <c r="P139" s="197">
        <f t="shared" si="908"/>
        <v>14.789929296591733</v>
      </c>
      <c r="Q139" s="197">
        <f t="shared" si="908"/>
        <v>22.075165293390086</v>
      </c>
      <c r="R139" s="255"/>
      <c r="S139" s="197">
        <f t="shared" ref="S139" si="909">+S138/S129</f>
        <v>15.184401069961163</v>
      </c>
      <c r="T139" s="197">
        <f t="shared" ref="T139" si="910">+T138/T129</f>
        <v>24.602176133660315</v>
      </c>
      <c r="U139" s="197">
        <f t="shared" ref="U139" si="911">+U138/U129</f>
        <v>14.009399547546391</v>
      </c>
      <c r="V139" s="197">
        <f t="shared" ref="V139" si="912">+V138/V129</f>
        <v>21.054977282951871</v>
      </c>
      <c r="W139" s="255"/>
      <c r="X139" s="197">
        <f t="shared" ref="X139" si="913">+X138/X129</f>
        <v>14.461638288026972</v>
      </c>
      <c r="Y139" s="197">
        <f t="shared" ref="Y139" si="914">+Y138/Y129</f>
        <v>23.444947499547908</v>
      </c>
      <c r="Z139" s="197">
        <f t="shared" ref="Z139" si="915">+Z138/Z129</f>
        <v>13.331140201552111</v>
      </c>
      <c r="AA139" s="197">
        <f t="shared" ref="AA139" si="916">+AA138/AA129</f>
        <v>20.058714472313703</v>
      </c>
      <c r="AB139" s="255"/>
      <c r="AC139" s="197">
        <f t="shared" ref="AC139" si="917">+AC138/AC129</f>
        <v>13.773373705115816</v>
      </c>
      <c r="AD139" s="197">
        <f t="shared" ref="AD139" si="918">+AD138/AD129</f>
        <v>22.32918401564908</v>
      </c>
      <c r="AE139" s="197">
        <f t="shared" ref="AE139" si="919">+AE138/AE129</f>
        <v>12.694858691385416</v>
      </c>
      <c r="AF139" s="197">
        <f t="shared" ref="AF139" si="920">+AF138/AF129</f>
        <v>19.104774604131833</v>
      </c>
      <c r="AG139" s="255"/>
      <c r="AH139" s="197">
        <f t="shared" ref="AH139" si="921">+AH138/AH129</f>
        <v>13.117521515240636</v>
      </c>
      <c r="AI139" s="197">
        <f t="shared" ref="AI139" si="922">+AI138/AI129</f>
        <v>21.265787084432624</v>
      </c>
      <c r="AJ139" s="197">
        <f t="shared" ref="AJ139" si="923">+AJ138/AJ129</f>
        <v>12.090179110338033</v>
      </c>
      <c r="AK139" s="197">
        <f t="shared" ref="AK139" si="924">+AK138/AK129</f>
        <v>18.195242792870207</v>
      </c>
      <c r="AL139" s="255"/>
    </row>
    <row r="140" spans="1:38" ht="19" x14ac:dyDescent="0.35">
      <c r="A140" s="167"/>
      <c r="B140" s="417" t="s">
        <v>58</v>
      </c>
      <c r="C140" s="436"/>
      <c r="D140" s="23" t="s">
        <v>72</v>
      </c>
      <c r="E140" s="23" t="s">
        <v>212</v>
      </c>
      <c r="F140" s="23" t="s">
        <v>216</v>
      </c>
      <c r="G140" s="23" t="s">
        <v>226</v>
      </c>
      <c r="H140" s="78" t="s">
        <v>227</v>
      </c>
      <c r="I140" s="23" t="s">
        <v>228</v>
      </c>
      <c r="J140" s="23" t="s">
        <v>229</v>
      </c>
      <c r="K140" s="23" t="s">
        <v>230</v>
      </c>
      <c r="L140" s="21" t="s">
        <v>90</v>
      </c>
      <c r="M140" s="80" t="s">
        <v>91</v>
      </c>
      <c r="N140" s="21" t="s">
        <v>92</v>
      </c>
      <c r="O140" s="21" t="s">
        <v>93</v>
      </c>
      <c r="P140" s="21" t="s">
        <v>94</v>
      </c>
      <c r="Q140" s="21" t="s">
        <v>95</v>
      </c>
      <c r="R140" s="80" t="s">
        <v>96</v>
      </c>
      <c r="S140" s="21" t="s">
        <v>97</v>
      </c>
      <c r="T140" s="21" t="s">
        <v>98</v>
      </c>
      <c r="U140" s="21" t="s">
        <v>99</v>
      </c>
      <c r="V140" s="21" t="s">
        <v>100</v>
      </c>
      <c r="W140" s="80" t="s">
        <v>101</v>
      </c>
      <c r="X140" s="21" t="s">
        <v>102</v>
      </c>
      <c r="Y140" s="21" t="s">
        <v>103</v>
      </c>
      <c r="Z140" s="21" t="s">
        <v>104</v>
      </c>
      <c r="AA140" s="21" t="s">
        <v>105</v>
      </c>
      <c r="AB140" s="80" t="s">
        <v>106</v>
      </c>
      <c r="AC140" s="21" t="s">
        <v>221</v>
      </c>
      <c r="AD140" s="21" t="s">
        <v>222</v>
      </c>
      <c r="AE140" s="21" t="s">
        <v>223</v>
      </c>
      <c r="AF140" s="21" t="s">
        <v>224</v>
      </c>
      <c r="AG140" s="80" t="s">
        <v>225</v>
      </c>
      <c r="AH140" s="21" t="s">
        <v>254</v>
      </c>
      <c r="AI140" s="21" t="s">
        <v>255</v>
      </c>
      <c r="AJ140" s="21" t="s">
        <v>256</v>
      </c>
      <c r="AK140" s="21" t="s">
        <v>257</v>
      </c>
      <c r="AL140" s="80" t="s">
        <v>258</v>
      </c>
    </row>
    <row r="141" spans="1:38" s="135" customFormat="1" ht="15.5" customHeight="1" outlineLevel="1" x14ac:dyDescent="0.2">
      <c r="A141" s="263"/>
      <c r="B141" s="111" t="s">
        <v>149</v>
      </c>
      <c r="C141" s="136"/>
      <c r="D141" s="113">
        <f>+D56+D89-D13</f>
        <v>0</v>
      </c>
      <c r="E141" s="113">
        <f t="shared" ref="E141:G141" si="925">+E56+E89-E13</f>
        <v>0</v>
      </c>
      <c r="F141" s="206">
        <f t="shared" si="925"/>
        <v>0</v>
      </c>
      <c r="G141" s="113">
        <f t="shared" si="925"/>
        <v>0</v>
      </c>
      <c r="H141" s="115"/>
      <c r="I141" s="113">
        <f>+I56+I89-I13</f>
        <v>0</v>
      </c>
      <c r="J141" s="113">
        <f t="shared" ref="J141" si="926">+J56+J89-J13</f>
        <v>0</v>
      </c>
      <c r="K141" s="206">
        <f>+K56+K89-K13</f>
        <v>0</v>
      </c>
      <c r="L141" s="206">
        <f t="shared" ref="L141:AK141" si="927">+L56+L89-L13</f>
        <v>0</v>
      </c>
      <c r="M141" s="206"/>
      <c r="N141" s="206">
        <f t="shared" si="927"/>
        <v>0</v>
      </c>
      <c r="O141" s="206">
        <f t="shared" si="927"/>
        <v>0</v>
      </c>
      <c r="P141" s="206">
        <f t="shared" si="927"/>
        <v>0</v>
      </c>
      <c r="Q141" s="206">
        <f t="shared" si="927"/>
        <v>0</v>
      </c>
      <c r="R141" s="206"/>
      <c r="S141" s="206">
        <f t="shared" si="927"/>
        <v>0</v>
      </c>
      <c r="T141" s="206">
        <f t="shared" si="927"/>
        <v>0</v>
      </c>
      <c r="U141" s="206">
        <f t="shared" si="927"/>
        <v>0</v>
      </c>
      <c r="V141" s="206">
        <f t="shared" si="927"/>
        <v>0</v>
      </c>
      <c r="W141" s="206"/>
      <c r="X141" s="206">
        <f t="shared" si="927"/>
        <v>0</v>
      </c>
      <c r="Y141" s="206">
        <f t="shared" si="927"/>
        <v>0</v>
      </c>
      <c r="Z141" s="206">
        <f t="shared" si="927"/>
        <v>0</v>
      </c>
      <c r="AA141" s="206">
        <f t="shared" si="927"/>
        <v>0</v>
      </c>
      <c r="AB141" s="206"/>
      <c r="AC141" s="206">
        <f t="shared" si="927"/>
        <v>0</v>
      </c>
      <c r="AD141" s="206">
        <f t="shared" si="927"/>
        <v>0</v>
      </c>
      <c r="AE141" s="206">
        <f t="shared" si="927"/>
        <v>0</v>
      </c>
      <c r="AF141" s="206">
        <f t="shared" si="927"/>
        <v>0</v>
      </c>
      <c r="AG141" s="206"/>
      <c r="AH141" s="206">
        <f t="shared" si="927"/>
        <v>0</v>
      </c>
      <c r="AI141" s="206">
        <f t="shared" si="927"/>
        <v>0</v>
      </c>
      <c r="AJ141" s="206">
        <f t="shared" si="927"/>
        <v>0</v>
      </c>
      <c r="AK141" s="206">
        <f t="shared" si="927"/>
        <v>0</v>
      </c>
      <c r="AL141" s="206"/>
    </row>
    <row r="142" spans="1:38" s="135" customFormat="1" ht="15.5" customHeight="1" outlineLevel="1" x14ac:dyDescent="0.2">
      <c r="A142" s="263"/>
      <c r="B142" s="111" t="s">
        <v>150</v>
      </c>
      <c r="C142" s="136"/>
      <c r="D142" s="113">
        <f>+D63+D96-D14</f>
        <v>0</v>
      </c>
      <c r="E142" s="113">
        <f t="shared" ref="E142:G142" si="928">+E63+E96-E14</f>
        <v>0</v>
      </c>
      <c r="F142" s="206">
        <f t="shared" si="928"/>
        <v>0</v>
      </c>
      <c r="G142" s="113">
        <f t="shared" si="928"/>
        <v>0</v>
      </c>
      <c r="H142" s="115"/>
      <c r="I142" s="113">
        <f>+I63+I96-I14</f>
        <v>0</v>
      </c>
      <c r="J142" s="113">
        <f t="shared" ref="J142:K142" si="929">+J63+J96-J14</f>
        <v>0</v>
      </c>
      <c r="K142" s="206">
        <f t="shared" si="929"/>
        <v>0</v>
      </c>
      <c r="L142" s="206">
        <f t="shared" ref="L142:AK142" si="930">+L63+L96-L14</f>
        <v>0</v>
      </c>
      <c r="M142" s="206"/>
      <c r="N142" s="206">
        <f t="shared" si="930"/>
        <v>0</v>
      </c>
      <c r="O142" s="206">
        <f t="shared" si="930"/>
        <v>0</v>
      </c>
      <c r="P142" s="206">
        <f t="shared" si="930"/>
        <v>0</v>
      </c>
      <c r="Q142" s="206">
        <f t="shared" si="930"/>
        <v>0</v>
      </c>
      <c r="R142" s="206"/>
      <c r="S142" s="206">
        <f t="shared" si="930"/>
        <v>0</v>
      </c>
      <c r="T142" s="206">
        <f t="shared" si="930"/>
        <v>0</v>
      </c>
      <c r="U142" s="206">
        <f t="shared" si="930"/>
        <v>0</v>
      </c>
      <c r="V142" s="206">
        <f t="shared" si="930"/>
        <v>0</v>
      </c>
      <c r="W142" s="206"/>
      <c r="X142" s="206">
        <f t="shared" si="930"/>
        <v>0</v>
      </c>
      <c r="Y142" s="206">
        <f t="shared" si="930"/>
        <v>0</v>
      </c>
      <c r="Z142" s="206">
        <f t="shared" si="930"/>
        <v>0</v>
      </c>
      <c r="AA142" s="206">
        <f t="shared" si="930"/>
        <v>0</v>
      </c>
      <c r="AB142" s="206"/>
      <c r="AC142" s="206">
        <f t="shared" si="930"/>
        <v>0</v>
      </c>
      <c r="AD142" s="206">
        <f t="shared" si="930"/>
        <v>0</v>
      </c>
      <c r="AE142" s="206">
        <f t="shared" si="930"/>
        <v>0</v>
      </c>
      <c r="AF142" s="206">
        <f t="shared" si="930"/>
        <v>0</v>
      </c>
      <c r="AG142" s="206"/>
      <c r="AH142" s="206">
        <f t="shared" si="930"/>
        <v>0</v>
      </c>
      <c r="AI142" s="206">
        <f t="shared" si="930"/>
        <v>0</v>
      </c>
      <c r="AJ142" s="206">
        <f t="shared" si="930"/>
        <v>0</v>
      </c>
      <c r="AK142" s="206">
        <f t="shared" si="930"/>
        <v>0</v>
      </c>
      <c r="AL142" s="206"/>
    </row>
    <row r="143" spans="1:38" s="135" customFormat="1" ht="15.5" customHeight="1" outlineLevel="1" x14ac:dyDescent="0.2">
      <c r="A143" s="263"/>
      <c r="B143" s="111" t="s">
        <v>151</v>
      </c>
      <c r="C143" s="136"/>
      <c r="D143" s="113">
        <f>+D64+D97+D115+D129-D15</f>
        <v>0</v>
      </c>
      <c r="E143" s="113">
        <f t="shared" ref="E143:G143" si="931">+E64+E97+E115+E129-E15</f>
        <v>0</v>
      </c>
      <c r="F143" s="206">
        <f t="shared" si="931"/>
        <v>0</v>
      </c>
      <c r="G143" s="113">
        <f t="shared" si="931"/>
        <v>0</v>
      </c>
      <c r="H143" s="115"/>
      <c r="I143" s="113">
        <f>+I64+I97+I115+I129-I15</f>
        <v>0</v>
      </c>
      <c r="J143" s="113">
        <f t="shared" ref="J143:K143" si="932">+J64+J97+J115+J129-J15</f>
        <v>0</v>
      </c>
      <c r="K143" s="206">
        <f t="shared" si="932"/>
        <v>0</v>
      </c>
      <c r="L143" s="206">
        <f t="shared" ref="L143:AK143" si="933">+L64+L97+L115+L129-L15</f>
        <v>0</v>
      </c>
      <c r="M143" s="206"/>
      <c r="N143" s="206">
        <f t="shared" si="933"/>
        <v>0</v>
      </c>
      <c r="O143" s="206">
        <f t="shared" si="933"/>
        <v>0</v>
      </c>
      <c r="P143" s="206">
        <f t="shared" si="933"/>
        <v>0</v>
      </c>
      <c r="Q143" s="206">
        <f t="shared" si="933"/>
        <v>0</v>
      </c>
      <c r="R143" s="206"/>
      <c r="S143" s="206">
        <f t="shared" si="933"/>
        <v>0</v>
      </c>
      <c r="T143" s="206">
        <f t="shared" si="933"/>
        <v>0</v>
      </c>
      <c r="U143" s="206">
        <f t="shared" si="933"/>
        <v>0</v>
      </c>
      <c r="V143" s="206">
        <f t="shared" si="933"/>
        <v>0</v>
      </c>
      <c r="W143" s="206"/>
      <c r="X143" s="206">
        <f t="shared" si="933"/>
        <v>0</v>
      </c>
      <c r="Y143" s="206">
        <f t="shared" si="933"/>
        <v>0</v>
      </c>
      <c r="Z143" s="206">
        <f t="shared" si="933"/>
        <v>0</v>
      </c>
      <c r="AA143" s="206">
        <f t="shared" si="933"/>
        <v>0</v>
      </c>
      <c r="AB143" s="206"/>
      <c r="AC143" s="206">
        <f t="shared" si="933"/>
        <v>0</v>
      </c>
      <c r="AD143" s="206">
        <f t="shared" si="933"/>
        <v>0</v>
      </c>
      <c r="AE143" s="206">
        <f t="shared" si="933"/>
        <v>0</v>
      </c>
      <c r="AF143" s="206">
        <f t="shared" si="933"/>
        <v>0</v>
      </c>
      <c r="AG143" s="206"/>
      <c r="AH143" s="206">
        <f t="shared" si="933"/>
        <v>0</v>
      </c>
      <c r="AI143" s="206">
        <f t="shared" si="933"/>
        <v>0</v>
      </c>
      <c r="AJ143" s="206">
        <f t="shared" si="933"/>
        <v>0</v>
      </c>
      <c r="AK143" s="206">
        <f t="shared" si="933"/>
        <v>0</v>
      </c>
      <c r="AL143" s="206"/>
    </row>
    <row r="144" spans="1:38" s="135" customFormat="1" ht="15.5" customHeight="1" outlineLevel="1" x14ac:dyDescent="0.2">
      <c r="A144" s="263"/>
      <c r="B144" s="111" t="s">
        <v>111</v>
      </c>
      <c r="C144" s="136"/>
      <c r="D144" s="113">
        <f>+D123+D109-D24</f>
        <v>0</v>
      </c>
      <c r="E144" s="113">
        <f t="shared" ref="E144:G144" si="934">+E123+E109-E24</f>
        <v>0</v>
      </c>
      <c r="F144" s="206">
        <f t="shared" si="934"/>
        <v>0</v>
      </c>
      <c r="G144" s="113">
        <f t="shared" si="934"/>
        <v>0</v>
      </c>
      <c r="H144" s="115"/>
      <c r="I144" s="113">
        <f>+I123+I109-I24</f>
        <v>0</v>
      </c>
      <c r="J144" s="113">
        <f t="shared" ref="J144:K144" si="935">+J123+J109-J24</f>
        <v>0</v>
      </c>
      <c r="K144" s="206">
        <f t="shared" si="935"/>
        <v>0</v>
      </c>
      <c r="L144" s="206">
        <f t="shared" ref="L144:AK144" si="936">+L123+L109-L24</f>
        <v>0</v>
      </c>
      <c r="M144" s="206"/>
      <c r="N144" s="206">
        <f t="shared" si="936"/>
        <v>0</v>
      </c>
      <c r="O144" s="206">
        <f t="shared" si="936"/>
        <v>0</v>
      </c>
      <c r="P144" s="206">
        <f t="shared" si="936"/>
        <v>0</v>
      </c>
      <c r="Q144" s="206">
        <f t="shared" si="936"/>
        <v>0</v>
      </c>
      <c r="R144" s="206"/>
      <c r="S144" s="206">
        <f t="shared" si="936"/>
        <v>0</v>
      </c>
      <c r="T144" s="206">
        <f t="shared" si="936"/>
        <v>0</v>
      </c>
      <c r="U144" s="206">
        <f t="shared" si="936"/>
        <v>0</v>
      </c>
      <c r="V144" s="206">
        <f t="shared" si="936"/>
        <v>0</v>
      </c>
      <c r="W144" s="206"/>
      <c r="X144" s="206">
        <f t="shared" si="936"/>
        <v>0</v>
      </c>
      <c r="Y144" s="206">
        <f t="shared" si="936"/>
        <v>0</v>
      </c>
      <c r="Z144" s="206">
        <f t="shared" si="936"/>
        <v>0</v>
      </c>
      <c r="AA144" s="206">
        <f t="shared" si="936"/>
        <v>0</v>
      </c>
      <c r="AB144" s="206"/>
      <c r="AC144" s="206">
        <f t="shared" si="936"/>
        <v>0</v>
      </c>
      <c r="AD144" s="206">
        <f t="shared" si="936"/>
        <v>0</v>
      </c>
      <c r="AE144" s="206">
        <f t="shared" si="936"/>
        <v>0</v>
      </c>
      <c r="AF144" s="206">
        <f t="shared" si="936"/>
        <v>0</v>
      </c>
      <c r="AG144" s="206"/>
      <c r="AH144" s="206">
        <f t="shared" si="936"/>
        <v>0</v>
      </c>
      <c r="AI144" s="206">
        <f t="shared" si="936"/>
        <v>0</v>
      </c>
      <c r="AJ144" s="206">
        <f t="shared" si="936"/>
        <v>0</v>
      </c>
      <c r="AK144" s="206">
        <f t="shared" si="936"/>
        <v>0</v>
      </c>
      <c r="AL144" s="206"/>
    </row>
    <row r="145" spans="1:42" s="135" customFormat="1" ht="15.5" customHeight="1" outlineLevel="1" x14ac:dyDescent="0.2">
      <c r="A145" s="263"/>
      <c r="B145" s="111" t="s">
        <v>152</v>
      </c>
      <c r="C145" s="136"/>
      <c r="D145" s="113">
        <f>+D76+D110+D124+D137-D25</f>
        <v>0</v>
      </c>
      <c r="E145" s="113">
        <f>+E76+E110+E124+E137-E25</f>
        <v>0</v>
      </c>
      <c r="F145" s="206">
        <f>+F76+F110+F124+F137-F25</f>
        <v>0</v>
      </c>
      <c r="G145" s="113">
        <f>+G76+G110+G124+G137-G25</f>
        <v>9.9999999998544808E-2</v>
      </c>
      <c r="H145" s="115"/>
      <c r="I145" s="113">
        <f>+I76+I110+I124+I137-I25</f>
        <v>0</v>
      </c>
      <c r="J145" s="113">
        <f>+J76+J110+J124+J137-J25</f>
        <v>6.8212102632969618E-13</v>
      </c>
      <c r="K145" s="206">
        <f>+K76+K110+K124+K137-K25</f>
        <v>0</v>
      </c>
      <c r="L145" s="206">
        <f t="shared" ref="L145:AK145" si="937">+L76+L110+L124+L137-L25</f>
        <v>1.0231815394945443E-12</v>
      </c>
      <c r="M145" s="206"/>
      <c r="N145" s="206">
        <f t="shared" si="937"/>
        <v>0</v>
      </c>
      <c r="O145" s="206">
        <f t="shared" si="937"/>
        <v>1.0231815394945443E-12</v>
      </c>
      <c r="P145" s="206">
        <f t="shared" si="937"/>
        <v>0</v>
      </c>
      <c r="Q145" s="206">
        <f t="shared" si="937"/>
        <v>0</v>
      </c>
      <c r="R145" s="206"/>
      <c r="S145" s="206">
        <f t="shared" si="937"/>
        <v>0</v>
      </c>
      <c r="T145" s="206">
        <f t="shared" si="937"/>
        <v>0</v>
      </c>
      <c r="U145" s="206">
        <f t="shared" si="937"/>
        <v>0</v>
      </c>
      <c r="V145" s="206">
        <f t="shared" si="937"/>
        <v>0</v>
      </c>
      <c r="W145" s="206"/>
      <c r="X145" s="206">
        <f t="shared" si="937"/>
        <v>0</v>
      </c>
      <c r="Y145" s="206">
        <f t="shared" si="937"/>
        <v>0</v>
      </c>
      <c r="Z145" s="206">
        <f t="shared" si="937"/>
        <v>0</v>
      </c>
      <c r="AA145" s="206">
        <f t="shared" si="937"/>
        <v>0</v>
      </c>
      <c r="AB145" s="206"/>
      <c r="AC145" s="206">
        <f t="shared" si="937"/>
        <v>0</v>
      </c>
      <c r="AD145" s="206">
        <f t="shared" si="937"/>
        <v>0</v>
      </c>
      <c r="AE145" s="206">
        <f t="shared" si="937"/>
        <v>0</v>
      </c>
      <c r="AF145" s="206">
        <f t="shared" si="937"/>
        <v>0</v>
      </c>
      <c r="AG145" s="206"/>
      <c r="AH145" s="206">
        <f t="shared" si="937"/>
        <v>0</v>
      </c>
      <c r="AI145" s="206">
        <f t="shared" si="937"/>
        <v>0</v>
      </c>
      <c r="AJ145" s="206">
        <f t="shared" si="937"/>
        <v>0</v>
      </c>
      <c r="AK145" s="206">
        <f t="shared" si="937"/>
        <v>0</v>
      </c>
      <c r="AL145" s="206"/>
    </row>
    <row r="146" spans="1:42" ht="15" customHeight="1" x14ac:dyDescent="0.35">
      <c r="A146" s="167"/>
      <c r="B146" s="417" t="s">
        <v>38</v>
      </c>
      <c r="C146" s="436"/>
      <c r="D146" s="23" t="s">
        <v>72</v>
      </c>
      <c r="E146" s="23" t="s">
        <v>212</v>
      </c>
      <c r="F146" s="23" t="s">
        <v>216</v>
      </c>
      <c r="G146" s="23" t="s">
        <v>226</v>
      </c>
      <c r="H146" s="78" t="s">
        <v>227</v>
      </c>
      <c r="I146" s="23" t="s">
        <v>228</v>
      </c>
      <c r="J146" s="23" t="s">
        <v>229</v>
      </c>
      <c r="K146" s="23" t="s">
        <v>230</v>
      </c>
      <c r="L146" s="21" t="s">
        <v>90</v>
      </c>
      <c r="M146" s="80" t="s">
        <v>91</v>
      </c>
      <c r="N146" s="21" t="s">
        <v>92</v>
      </c>
      <c r="O146" s="21" t="s">
        <v>93</v>
      </c>
      <c r="P146" s="21" t="s">
        <v>94</v>
      </c>
      <c r="Q146" s="21" t="s">
        <v>95</v>
      </c>
      <c r="R146" s="80" t="s">
        <v>96</v>
      </c>
      <c r="S146" s="21" t="s">
        <v>97</v>
      </c>
      <c r="T146" s="21" t="s">
        <v>98</v>
      </c>
      <c r="U146" s="21" t="s">
        <v>99</v>
      </c>
      <c r="V146" s="21" t="s">
        <v>100</v>
      </c>
      <c r="W146" s="80" t="s">
        <v>101</v>
      </c>
      <c r="X146" s="21" t="s">
        <v>102</v>
      </c>
      <c r="Y146" s="21" t="s">
        <v>103</v>
      </c>
      <c r="Z146" s="21" t="s">
        <v>104</v>
      </c>
      <c r="AA146" s="21" t="s">
        <v>105</v>
      </c>
      <c r="AB146" s="80" t="s">
        <v>106</v>
      </c>
      <c r="AC146" s="21" t="s">
        <v>221</v>
      </c>
      <c r="AD146" s="21" t="s">
        <v>222</v>
      </c>
      <c r="AE146" s="21" t="s">
        <v>223</v>
      </c>
      <c r="AF146" s="21" t="s">
        <v>224</v>
      </c>
      <c r="AG146" s="80" t="s">
        <v>225</v>
      </c>
      <c r="AH146" s="21" t="s">
        <v>254</v>
      </c>
      <c r="AI146" s="21" t="s">
        <v>255</v>
      </c>
      <c r="AJ146" s="21" t="s">
        <v>256</v>
      </c>
      <c r="AK146" s="21" t="s">
        <v>257</v>
      </c>
      <c r="AL146" s="80" t="s">
        <v>258</v>
      </c>
    </row>
    <row r="147" spans="1:42" s="34" customFormat="1" outlineLevel="1" x14ac:dyDescent="0.2">
      <c r="A147" s="232"/>
      <c r="B147" s="421" t="s">
        <v>68</v>
      </c>
      <c r="C147" s="422"/>
      <c r="D147" s="47"/>
      <c r="E147" s="47"/>
      <c r="F147" s="47"/>
      <c r="G147" s="47"/>
      <c r="H147" s="264"/>
      <c r="I147" s="47">
        <f t="shared" ref="I147:K147" si="938">I16/D16-1</f>
        <v>7.0016735266180907E-2</v>
      </c>
      <c r="J147" s="47">
        <f t="shared" si="938"/>
        <v>-4.9192026514851106E-2</v>
      </c>
      <c r="K147" s="47">
        <f t="shared" si="938"/>
        <v>-0.38119595485856661</v>
      </c>
      <c r="L147" s="372">
        <f>L16/G16-1</f>
        <v>-9.3820588901538104E-2</v>
      </c>
      <c r="M147" s="236">
        <f>M16/H16-1</f>
        <v>-0.11617767491752407</v>
      </c>
      <c r="N147" s="201">
        <f>N16/I16-1</f>
        <v>-2.6284110675709904E-2</v>
      </c>
      <c r="O147" s="201">
        <f t="shared" ref="O147:Q147" si="939">O16/J16-1</f>
        <v>1.0785432215741464E-2</v>
      </c>
      <c r="P147" s="201">
        <f t="shared" si="939"/>
        <v>0.63385965423965307</v>
      </c>
      <c r="Q147" s="201">
        <f t="shared" si="939"/>
        <v>0.18816384721144241</v>
      </c>
      <c r="R147" s="236">
        <f>R16/M16-1</f>
        <v>0.15812853511733227</v>
      </c>
      <c r="S147" s="201">
        <f>S16/N16-1</f>
        <v>5.2961866729438034E-2</v>
      </c>
      <c r="T147" s="201">
        <f t="shared" ref="T147" si="940">T16/O16-1</f>
        <v>5.0269942816166369E-2</v>
      </c>
      <c r="U147" s="201">
        <f t="shared" ref="U147" si="941">U16/P16-1</f>
        <v>5.3905535541868277E-2</v>
      </c>
      <c r="V147" s="201">
        <f t="shared" ref="V147" si="942">V16/Q16-1</f>
        <v>5.1071697198782351E-2</v>
      </c>
      <c r="W147" s="236">
        <f>W16/R16-1</f>
        <v>5.2094482708376688E-2</v>
      </c>
      <c r="X147" s="201">
        <f>X16/S16-1</f>
        <v>5.1468681612184097E-2</v>
      </c>
      <c r="Y147" s="201">
        <f t="shared" ref="Y147" si="943">Y16/T16-1</f>
        <v>4.9890558036467691E-2</v>
      </c>
      <c r="Z147" s="201">
        <f t="shared" ref="Z147" si="944">Z16/U16-1</f>
        <v>5.0494092972206417E-2</v>
      </c>
      <c r="AA147" s="201">
        <f t="shared" ref="AA147" si="945">AA16/V16-1</f>
        <v>5.0676013173474255E-2</v>
      </c>
      <c r="AB147" s="236">
        <f>AB16/W16-1</f>
        <v>5.0656601998077644E-2</v>
      </c>
      <c r="AC147" s="201">
        <f>AC16/X16-1</f>
        <v>5.1733522831360235E-2</v>
      </c>
      <c r="AD147" s="201">
        <f t="shared" ref="AD147" si="946">AD16/Y16-1</f>
        <v>5.0219224787668937E-2</v>
      </c>
      <c r="AE147" s="201">
        <f t="shared" ref="AE147" si="947">AE16/Z16-1</f>
        <v>5.0425253096849199E-2</v>
      </c>
      <c r="AF147" s="201">
        <f t="shared" ref="AF147" si="948">AF16/AA16-1</f>
        <v>5.0634205126234066E-2</v>
      </c>
      <c r="AG147" s="236">
        <f>AG16/AB16-1</f>
        <v>5.0768968441174511E-2</v>
      </c>
      <c r="AH147" s="201">
        <f>AH16/AC16-1</f>
        <v>5.7260000090661345E-2</v>
      </c>
      <c r="AI147" s="201">
        <f t="shared" ref="AI147" si="949">AI16/AD16-1</f>
        <v>5.5845091458644358E-2</v>
      </c>
      <c r="AJ147" s="201">
        <f t="shared" ref="AJ147" si="950">AJ16/AE16-1</f>
        <v>5.6038037603015844E-2</v>
      </c>
      <c r="AK147" s="201">
        <f t="shared" ref="AK147" si="951">AK16/AF16-1</f>
        <v>5.629409353993764E-2</v>
      </c>
      <c r="AL147" s="236">
        <f>AL16/AG16-1</f>
        <v>5.6375550153813681E-2</v>
      </c>
    </row>
    <row r="148" spans="1:42" s="34" customFormat="1" outlineLevel="1" x14ac:dyDescent="0.2">
      <c r="A148" s="232"/>
      <c r="B148" s="421" t="s">
        <v>23</v>
      </c>
      <c r="C148" s="422"/>
      <c r="D148" s="45">
        <f t="shared" ref="D148:K148" si="952">D25/D16</f>
        <v>0.15313522396610738</v>
      </c>
      <c r="E148" s="45">
        <f t="shared" si="952"/>
        <v>0.13601547756862614</v>
      </c>
      <c r="F148" s="45">
        <f t="shared" si="952"/>
        <v>0.16434119888612064</v>
      </c>
      <c r="G148" s="45">
        <f t="shared" si="952"/>
        <v>0.16054542759745088</v>
      </c>
      <c r="H148" s="46">
        <f t="shared" si="952"/>
        <v>0.15383309567461143</v>
      </c>
      <c r="I148" s="45">
        <f t="shared" si="952"/>
        <v>0.1718730185568752</v>
      </c>
      <c r="J148" s="45">
        <f t="shared" si="952"/>
        <v>8.1291592307820446E-2</v>
      </c>
      <c r="K148" s="45">
        <f t="shared" si="952"/>
        <v>-0.16671798394164022</v>
      </c>
      <c r="L148" s="192">
        <f>L25/L16</f>
        <v>5.3468797389297461E-2</v>
      </c>
      <c r="M148" s="264">
        <f>M25/M16</f>
        <v>5.6776385237426161E-2</v>
      </c>
      <c r="N148" s="192">
        <f t="shared" ref="N148:AK148" si="953">N25/N16</f>
        <v>0.13384564244685776</v>
      </c>
      <c r="O148" s="192">
        <f t="shared" si="953"/>
        <v>0.12272000256723389</v>
      </c>
      <c r="P148" s="192">
        <f t="shared" si="953"/>
        <v>0.14138097396786928</v>
      </c>
      <c r="Q148" s="192">
        <f t="shared" si="953"/>
        <v>0.15459123192454388</v>
      </c>
      <c r="R148" s="264">
        <f>R25/R16</f>
        <v>0.13883060939417627</v>
      </c>
      <c r="S148" s="192">
        <f t="shared" si="953"/>
        <v>0.13720845618616437</v>
      </c>
      <c r="T148" s="192">
        <f t="shared" si="953"/>
        <v>0.12623681468116307</v>
      </c>
      <c r="U148" s="192">
        <f t="shared" si="953"/>
        <v>0.14479472148623732</v>
      </c>
      <c r="V148" s="192">
        <f t="shared" si="953"/>
        <v>0.15731274200898684</v>
      </c>
      <c r="W148" s="264">
        <f>W25/W16</f>
        <v>0.14207141083929006</v>
      </c>
      <c r="X148" s="192">
        <f t="shared" si="953"/>
        <v>0.13989403551804641</v>
      </c>
      <c r="Y148" s="192">
        <f t="shared" si="953"/>
        <v>0.12932643242268455</v>
      </c>
      <c r="Z148" s="192">
        <f t="shared" si="953"/>
        <v>0.14726806626655309</v>
      </c>
      <c r="AA148" s="192">
        <f t="shared" si="953"/>
        <v>0.1596929193245398</v>
      </c>
      <c r="AB148" s="264">
        <f>AB25/AB16</f>
        <v>0.14471286662140778</v>
      </c>
      <c r="AC148" s="192">
        <f t="shared" si="953"/>
        <v>0.14221979312446026</v>
      </c>
      <c r="AD148" s="192">
        <f t="shared" si="953"/>
        <v>0.13203110341997829</v>
      </c>
      <c r="AE148" s="192">
        <f t="shared" si="953"/>
        <v>0.14936142786273723</v>
      </c>
      <c r="AF148" s="192">
        <f t="shared" si="953"/>
        <v>0.16176880913523595</v>
      </c>
      <c r="AG148" s="264">
        <f>AG25/AG16</f>
        <v>0.14699696092021414</v>
      </c>
      <c r="AH148" s="192">
        <f t="shared" si="953"/>
        <v>0.1446564933659007</v>
      </c>
      <c r="AI148" s="192">
        <f t="shared" si="953"/>
        <v>0.1348340182567509</v>
      </c>
      <c r="AJ148" s="192">
        <f t="shared" si="953"/>
        <v>0.15160525212920334</v>
      </c>
      <c r="AK148" s="192">
        <f t="shared" si="953"/>
        <v>0.16395704875015926</v>
      </c>
      <c r="AL148" s="264">
        <f>AL25/AL16</f>
        <v>0.14939980292133756</v>
      </c>
      <c r="AM148" s="192"/>
      <c r="AN148" s="192"/>
      <c r="AO148" s="192"/>
      <c r="AP148" s="192"/>
    </row>
    <row r="149" spans="1:42" s="34" customFormat="1" outlineLevel="1" x14ac:dyDescent="0.2">
      <c r="A149" s="232"/>
      <c r="B149" s="421" t="s">
        <v>196</v>
      </c>
      <c r="C149" s="422"/>
      <c r="D149" s="45">
        <f t="shared" ref="D149:K149" si="954">+D27/D16</f>
        <v>0.17394123056975294</v>
      </c>
      <c r="E149" s="45">
        <f t="shared" si="954"/>
        <v>0.15843892227913536</v>
      </c>
      <c r="F149" s="45">
        <f t="shared" si="954"/>
        <v>0.18270555474131628</v>
      </c>
      <c r="G149" s="45">
        <f t="shared" si="954"/>
        <v>0.17201719282644154</v>
      </c>
      <c r="H149" s="46">
        <f t="shared" si="954"/>
        <v>0.17201964645435841</v>
      </c>
      <c r="I149" s="45">
        <f t="shared" si="954"/>
        <v>0.1819616463062376</v>
      </c>
      <c r="J149" s="45">
        <f t="shared" si="954"/>
        <v>9.2432910252347358E-2</v>
      </c>
      <c r="K149" s="45">
        <f t="shared" si="954"/>
        <v>-0.12558205632268285</v>
      </c>
      <c r="L149" s="192">
        <f>+L27/L16</f>
        <v>8.4060918725306077E-2</v>
      </c>
      <c r="M149" s="373">
        <f>+M27/M16</f>
        <v>7.807999573816693E-2</v>
      </c>
      <c r="N149" s="373">
        <f t="shared" ref="N149:AK149" si="955">+N27/N16</f>
        <v>0.15159420653890357</v>
      </c>
      <c r="O149" s="375">
        <f t="shared" si="955"/>
        <v>0.1426419112767317</v>
      </c>
      <c r="P149" s="375">
        <f t="shared" si="955"/>
        <v>0.15850845429275739</v>
      </c>
      <c r="Q149" s="374">
        <f t="shared" si="955"/>
        <v>0.15884088662231885</v>
      </c>
      <c r="R149" s="373">
        <f>+R27/R16</f>
        <v>0.15329266687995333</v>
      </c>
      <c r="S149" s="373">
        <f t="shared" si="955"/>
        <v>0.15400752071922699</v>
      </c>
      <c r="T149" s="375">
        <f t="shared" si="955"/>
        <v>0.1464361580789279</v>
      </c>
      <c r="U149" s="375">
        <f t="shared" si="955"/>
        <v>0.16354122512724384</v>
      </c>
      <c r="V149" s="374">
        <f t="shared" si="955"/>
        <v>0.17455036505993152</v>
      </c>
      <c r="W149" s="373">
        <f>+W27/W16</f>
        <v>0.16024187700641543</v>
      </c>
      <c r="X149" s="373">
        <f t="shared" si="955"/>
        <v>0.15619094244897078</v>
      </c>
      <c r="Y149" s="375">
        <f t="shared" si="955"/>
        <v>0.14802331336340152</v>
      </c>
      <c r="Z149" s="375">
        <f t="shared" si="955"/>
        <v>0.16369662538036273</v>
      </c>
      <c r="AA149" s="374">
        <f t="shared" si="955"/>
        <v>0.17544691458714332</v>
      </c>
      <c r="AB149" s="373">
        <f>+AB27/AB16</f>
        <v>0.16143280271643318</v>
      </c>
      <c r="AC149" s="373">
        <f t="shared" si="955"/>
        <v>0.15806755996884125</v>
      </c>
      <c r="AD149" s="375">
        <f t="shared" si="955"/>
        <v>0.15029597036548173</v>
      </c>
      <c r="AE149" s="375">
        <f t="shared" si="955"/>
        <v>0.16533397682648457</v>
      </c>
      <c r="AF149" s="374">
        <f t="shared" si="955"/>
        <v>0.17685072029105198</v>
      </c>
      <c r="AG149" s="373">
        <f>+AG27/AG16</f>
        <v>0.16320992615980062</v>
      </c>
      <c r="AH149" s="373">
        <f t="shared" si="955"/>
        <v>0.15953213070156341</v>
      </c>
      <c r="AI149" s="375">
        <f t="shared" si="955"/>
        <v>0.15194448242650799</v>
      </c>
      <c r="AJ149" s="375">
        <f t="shared" si="955"/>
        <v>0.1665983915888965</v>
      </c>
      <c r="AK149" s="374">
        <f t="shared" si="955"/>
        <v>0.17824597904397035</v>
      </c>
      <c r="AL149" s="373">
        <f>+AL27/AL16</f>
        <v>0.1646458596093667</v>
      </c>
      <c r="AM149" s="373"/>
      <c r="AN149" s="375"/>
      <c r="AO149" s="375"/>
      <c r="AP149" s="374"/>
    </row>
    <row r="150" spans="1:42" s="34" customFormat="1" outlineLevel="1" x14ac:dyDescent="0.2">
      <c r="A150" s="232"/>
      <c r="B150" s="421" t="s">
        <v>2</v>
      </c>
      <c r="C150" s="422"/>
      <c r="D150" s="45">
        <f t="shared" ref="D150:K150" si="956">D32/D31</f>
        <v>0.2124287933713101</v>
      </c>
      <c r="E150" s="45">
        <f t="shared" si="956"/>
        <v>0.1965853658536586</v>
      </c>
      <c r="F150" s="45">
        <f t="shared" si="956"/>
        <v>0.18110799689903978</v>
      </c>
      <c r="G150" s="201">
        <f t="shared" si="956"/>
        <v>0.20083682008368189</v>
      </c>
      <c r="H150" s="264">
        <f t="shared" si="956"/>
        <v>0.19515471765706843</v>
      </c>
      <c r="I150" s="201">
        <f t="shared" si="956"/>
        <v>0.22600104913446431</v>
      </c>
      <c r="J150" s="201">
        <f t="shared" si="956"/>
        <v>0.16760635571501836</v>
      </c>
      <c r="K150" s="201">
        <f t="shared" si="956"/>
        <v>0.16490147783251249</v>
      </c>
      <c r="L150" s="356">
        <v>0.25</v>
      </c>
      <c r="M150" s="264">
        <f>M32/M31</f>
        <v>0.26024910738176771</v>
      </c>
      <c r="N150" s="356">
        <v>0.25</v>
      </c>
      <c r="O150" s="356">
        <v>0.25</v>
      </c>
      <c r="P150" s="356">
        <v>0.25</v>
      </c>
      <c r="Q150" s="356">
        <v>0.25</v>
      </c>
      <c r="R150" s="264">
        <f>R32/R31</f>
        <v>0.24999999999999983</v>
      </c>
      <c r="S150" s="356">
        <v>0.25</v>
      </c>
      <c r="T150" s="356">
        <v>0.25</v>
      </c>
      <c r="U150" s="356">
        <v>0.25</v>
      </c>
      <c r="V150" s="356">
        <v>0.25</v>
      </c>
      <c r="W150" s="264">
        <f>W32/W31</f>
        <v>0.25000000000000011</v>
      </c>
      <c r="X150" s="356">
        <v>0.25</v>
      </c>
      <c r="Y150" s="356">
        <v>0.25</v>
      </c>
      <c r="Z150" s="356">
        <v>0.25</v>
      </c>
      <c r="AA150" s="356">
        <v>0.25</v>
      </c>
      <c r="AB150" s="264">
        <f>AB32/AB31</f>
        <v>0.24999999999999972</v>
      </c>
      <c r="AC150" s="356">
        <v>0.25</v>
      </c>
      <c r="AD150" s="356">
        <v>0.25</v>
      </c>
      <c r="AE150" s="356">
        <v>0.25</v>
      </c>
      <c r="AF150" s="356">
        <v>0.25</v>
      </c>
      <c r="AG150" s="264">
        <f>AG32/AG31</f>
        <v>0.2500000000000005</v>
      </c>
      <c r="AH150" s="356">
        <v>0.25</v>
      </c>
      <c r="AI150" s="356">
        <v>0.25</v>
      </c>
      <c r="AJ150" s="356">
        <v>0.25</v>
      </c>
      <c r="AK150" s="356">
        <v>0.25</v>
      </c>
      <c r="AL150" s="264">
        <f>AL32/AL31</f>
        <v>0.25000000000000022</v>
      </c>
    </row>
    <row r="151" spans="1:42" s="34" customFormat="1" outlineLevel="1" x14ac:dyDescent="0.2">
      <c r="A151" s="232"/>
      <c r="B151" s="421" t="s">
        <v>197</v>
      </c>
      <c r="C151" s="422"/>
      <c r="D151" s="45"/>
      <c r="E151" s="45">
        <f>+E29/((E184+E185+E190)+(D184+D185+D190)/2)</f>
        <v>3.0327214684756584E-3</v>
      </c>
      <c r="F151" s="45">
        <f>+F29/((F184+F185+F190)+(E184+E185+E190)/2)</f>
        <v>6.4321029136466161E-3</v>
      </c>
      <c r="G151" s="45">
        <f>+G29/((G184+G185+G190)+(F184+F185+F190)/2)</f>
        <v>2.9603261807251862E-3</v>
      </c>
      <c r="H151" s="46"/>
      <c r="I151" s="45">
        <f>+I29/((I184+I185+I190)+(G184+G185+G190)/2)</f>
        <v>3.3143988743550958E-3</v>
      </c>
      <c r="J151" s="45">
        <f t="shared" ref="J151" si="957">+J29/((J184+J185+J190)+(I184+I185+I190)/2)</f>
        <v>4.4659305324505627E-4</v>
      </c>
      <c r="K151" s="45">
        <f>+K29/((K184+K185+K190)+(J184+J185+J190)/2)</f>
        <v>2.1779393606804753E-3</v>
      </c>
      <c r="L151" s="192">
        <f>AVERAGE(K151,J151,I151,G151)</f>
        <v>2.2248143672514535E-3</v>
      </c>
      <c r="M151" s="264">
        <f>+M29/((M184+M185+M190)+(H184+H185+H190)/2)</f>
        <v>7.6525502287246331E-3</v>
      </c>
      <c r="N151" s="192">
        <f>AVERAGE(L151,K151,J151,I151)</f>
        <v>2.04093641388302E-3</v>
      </c>
      <c r="O151" s="192">
        <f>AVERAGE(N151,L151,K151,J151)</f>
        <v>1.7225707987650013E-3</v>
      </c>
      <c r="P151" s="192">
        <f>AVERAGE(O151,N151,L151,K151)</f>
        <v>2.0415652351449876E-3</v>
      </c>
      <c r="Q151" s="192">
        <f>AVERAGE(P151,N151,O151,L151)</f>
        <v>2.0074717037611156E-3</v>
      </c>
      <c r="R151" s="264">
        <f>+R29/((R184+R185+R190)+(M184+M185+M190)/2)</f>
        <v>6.198159230209499E-3</v>
      </c>
      <c r="S151" s="192">
        <f>AVERAGE(Q151,P151,O151,N151)</f>
        <v>1.9531360378885311E-3</v>
      </c>
      <c r="T151" s="192">
        <f>AVERAGE(S151,Q151,P151,O151)</f>
        <v>1.9311859438899091E-3</v>
      </c>
      <c r="U151" s="192">
        <f>AVERAGE(T151,S151,Q151,P151)</f>
        <v>1.983339730171136E-3</v>
      </c>
      <c r="V151" s="192">
        <f>AVERAGE(U151,S151,T151,Q151)</f>
        <v>1.9687833539276728E-3</v>
      </c>
      <c r="W151" s="264">
        <f>+W29/((W184+W185+W190)+(R184+R185+R190)/2)</f>
        <v>6.2438520805965965E-3</v>
      </c>
      <c r="X151" s="192">
        <f>AVERAGE(V151,U151,T151,S151)</f>
        <v>1.9591112664693123E-3</v>
      </c>
      <c r="Y151" s="192">
        <f>AVERAGE(X151,V151,U151,T151)</f>
        <v>1.9606050736145075E-3</v>
      </c>
      <c r="Z151" s="192">
        <f>AVERAGE(Y151,X151,V151,U151)</f>
        <v>1.9679598560456571E-3</v>
      </c>
      <c r="AA151" s="192">
        <f>AVERAGE(Z151,X151,Y151,V151)</f>
        <v>1.9641148875142872E-3</v>
      </c>
      <c r="AB151" s="264">
        <f>+AB29/((AB184+AB185+AB190)+(W184+W185+W190)/2)</f>
        <v>6.5763497017637777E-3</v>
      </c>
      <c r="AC151" s="192">
        <f>AVERAGE(AA151,Z151,Y151,X151)</f>
        <v>1.962947770910941E-3</v>
      </c>
      <c r="AD151" s="192">
        <f>AVERAGE(AC151,AA151,Z151,Y151)</f>
        <v>1.9639068970213483E-3</v>
      </c>
      <c r="AE151" s="192">
        <f>AVERAGE(AD151,AC151,AA151,Z151)</f>
        <v>1.9647323528730583E-3</v>
      </c>
      <c r="AF151" s="192">
        <f>AVERAGE(AE151,AC151,AD151,AA151)</f>
        <v>1.9639254770799086E-3</v>
      </c>
      <c r="AG151" s="264">
        <f>+AG29/((AG184+AG185+AG190)+(AB184+AB185+AB190)/2)</f>
        <v>8.9943334027690804E-3</v>
      </c>
      <c r="AH151" s="192">
        <f>AVERAGE(AF151,AE151,AD151,AC151)</f>
        <v>1.963878124471314E-3</v>
      </c>
      <c r="AI151" s="192">
        <f>AVERAGE(AH151,AF151,AE151,AD151)</f>
        <v>1.9641107128614073E-3</v>
      </c>
      <c r="AJ151" s="192">
        <f>AVERAGE(AI151,AH151,AF151,AE151)</f>
        <v>1.9641616668214217E-3</v>
      </c>
      <c r="AK151" s="192">
        <f>AVERAGE(AJ151,AH151,AI151,AF151)</f>
        <v>1.9640189953085128E-3</v>
      </c>
      <c r="AL151" s="264">
        <f>+AL29/((AL184+AL185+AL190)+(AG184+AG185+AG190)/2)</f>
        <v>6.8586720898117595E-4</v>
      </c>
    </row>
    <row r="152" spans="1:42" s="34" customFormat="1" outlineLevel="1" x14ac:dyDescent="0.2">
      <c r="A152" s="232"/>
      <c r="B152" s="421" t="s">
        <v>198</v>
      </c>
      <c r="C152" s="422"/>
      <c r="D152" s="45"/>
      <c r="E152" s="45">
        <f>-E30/((((E206+E209)+(D206+D209))/2))</f>
        <v>8.0557251242696429E-3</v>
      </c>
      <c r="F152" s="45">
        <f>-F30/((((F206+F209)+(E206+E209))/2))</f>
        <v>8.4807318557490342E-3</v>
      </c>
      <c r="G152" s="45">
        <f>-G30/((((G206+G209)+(F206+F209))/2))</f>
        <v>8.572925858076421E-3</v>
      </c>
      <c r="H152" s="46"/>
      <c r="I152" s="45">
        <f>-I30/((((I206+I209)+(G206+G209))/2))</f>
        <v>8.0554679008449908E-3</v>
      </c>
      <c r="J152" s="45">
        <f t="shared" ref="J152" si="958">-J30/((((J206+J209)+(I206+I209))/2))</f>
        <v>7.730372102084551E-3</v>
      </c>
      <c r="K152" s="45">
        <f>-K30/((((K206+K209)+(J206+J209))/2))</f>
        <v>7.8322294946980078E-3</v>
      </c>
      <c r="L152" s="357">
        <f>K152</f>
        <v>7.8322294946980078E-3</v>
      </c>
      <c r="M152" s="264">
        <v>3.1E-2</v>
      </c>
      <c r="N152" s="357">
        <f>L152</f>
        <v>7.8322294946980078E-3</v>
      </c>
      <c r="O152" s="357">
        <f>N152</f>
        <v>7.8322294946980078E-3</v>
      </c>
      <c r="P152" s="357">
        <f>O152</f>
        <v>7.8322294946980078E-3</v>
      </c>
      <c r="Q152" s="357">
        <f>P152</f>
        <v>7.8322294946980078E-3</v>
      </c>
      <c r="R152" s="264">
        <v>3.1E-2</v>
      </c>
      <c r="S152" s="357">
        <f>Q152</f>
        <v>7.8322294946980078E-3</v>
      </c>
      <c r="T152" s="357">
        <f>S152</f>
        <v>7.8322294946980078E-3</v>
      </c>
      <c r="U152" s="357">
        <f>T152</f>
        <v>7.8322294946980078E-3</v>
      </c>
      <c r="V152" s="357">
        <f>U152</f>
        <v>7.8322294946980078E-3</v>
      </c>
      <c r="W152" s="264">
        <v>3.4000000000000002E-2</v>
      </c>
      <c r="X152" s="357">
        <f>V152</f>
        <v>7.8322294946980078E-3</v>
      </c>
      <c r="Y152" s="357">
        <f>X152</f>
        <v>7.8322294946980078E-3</v>
      </c>
      <c r="Z152" s="357">
        <f>Y152</f>
        <v>7.8322294946980078E-3</v>
      </c>
      <c r="AA152" s="357">
        <f>Z152</f>
        <v>7.8322294946980078E-3</v>
      </c>
      <c r="AB152" s="264">
        <v>3.6999999999999998E-2</v>
      </c>
      <c r="AC152" s="357">
        <f>AA152</f>
        <v>7.8322294946980078E-3</v>
      </c>
      <c r="AD152" s="357">
        <f>AC152</f>
        <v>7.8322294946980078E-3</v>
      </c>
      <c r="AE152" s="357">
        <f>AD152</f>
        <v>7.8322294946980078E-3</v>
      </c>
      <c r="AF152" s="357">
        <f>AE152</f>
        <v>7.8322294946980078E-3</v>
      </c>
      <c r="AG152" s="264">
        <v>4.1000000000000002E-2</v>
      </c>
      <c r="AH152" s="357">
        <f>AF152</f>
        <v>7.8322294946980078E-3</v>
      </c>
      <c r="AI152" s="357">
        <f>AH152</f>
        <v>7.8322294946980078E-3</v>
      </c>
      <c r="AJ152" s="357">
        <f>AI152</f>
        <v>7.8322294946980078E-3</v>
      </c>
      <c r="AK152" s="357">
        <f>AJ152</f>
        <v>7.8322294946980078E-3</v>
      </c>
      <c r="AL152" s="264">
        <v>0.05</v>
      </c>
    </row>
    <row r="153" spans="1:42" s="34" customFormat="1" outlineLevel="1" x14ac:dyDescent="0.2">
      <c r="A153" s="232"/>
      <c r="B153" s="280" t="s">
        <v>285</v>
      </c>
      <c r="C153" s="281"/>
      <c r="D153" s="45"/>
      <c r="E153" s="45"/>
      <c r="F153" s="45"/>
      <c r="G153" s="45"/>
      <c r="H153" s="46"/>
      <c r="I153" s="45">
        <f>I42/D42-1</f>
        <v>5.9389868457878192E-2</v>
      </c>
      <c r="J153" s="45">
        <f t="shared" ref="J153:K153" si="959">J42/E42-1</f>
        <v>-0.47460546003783222</v>
      </c>
      <c r="K153" s="45">
        <f t="shared" si="959"/>
        <v>-1.5922286955663072</v>
      </c>
      <c r="L153" s="192">
        <f>L42/G42-1</f>
        <v>-0.63585140142874763</v>
      </c>
      <c r="M153" s="264">
        <f>M42/H42-1</f>
        <v>-0.68489604447974872</v>
      </c>
      <c r="N153" s="192">
        <f>N42/I42-1</f>
        <v>-0.23394489462514756</v>
      </c>
      <c r="O153" s="192">
        <f t="shared" ref="O153:R153" si="960">O42/J42-1</f>
        <v>0.56940660460604553</v>
      </c>
      <c r="P153" s="192">
        <f t="shared" si="960"/>
        <v>-2.4098260754643452</v>
      </c>
      <c r="Q153" s="192">
        <f t="shared" si="960"/>
        <v>1.7396618272793747</v>
      </c>
      <c r="R153" s="264">
        <f t="shared" si="960"/>
        <v>1.7426967309597585</v>
      </c>
      <c r="S153" s="192">
        <f>S42/N42-1</f>
        <v>0.12100297818473349</v>
      </c>
      <c r="T153" s="192">
        <f t="shared" ref="T153" si="961">T42/O42-1</f>
        <v>0.13645332007797206</v>
      </c>
      <c r="U153" s="192">
        <f t="shared" ref="U153" si="962">U42/P42-1</f>
        <v>0.13883848442782565</v>
      </c>
      <c r="V153" s="192">
        <f t="shared" ref="V153" si="963">V42/Q42-1</f>
        <v>0.22020857660169213</v>
      </c>
      <c r="W153" s="264">
        <f t="shared" ref="W153" si="964">W42/R42-1</f>
        <v>0.1566211006353313</v>
      </c>
      <c r="X153" s="192">
        <f>X42/S42-1</f>
        <v>0.11108776071722204</v>
      </c>
      <c r="Y153" s="192">
        <f t="shared" ref="Y153" si="965">Y42/T42-1</f>
        <v>0.10776640123690151</v>
      </c>
      <c r="Z153" s="192">
        <f t="shared" ref="Z153" si="966">Z42/U42-1</f>
        <v>9.261707366995231E-2</v>
      </c>
      <c r="AA153" s="192">
        <f t="shared" ref="AA153" si="967">AA42/V42-1</f>
        <v>9.6865057635665108E-2</v>
      </c>
      <c r="AB153" s="264">
        <f t="shared" ref="AB153" si="968">AB42/W42-1</f>
        <v>0.10135640064300011</v>
      </c>
      <c r="AC153" s="192">
        <f>AC42/X42-1</f>
        <v>0.10783230232349705</v>
      </c>
      <c r="AD153" s="192">
        <f t="shared" ref="AD153" si="969">AD42/Y42-1</f>
        <v>0.113775710701012</v>
      </c>
      <c r="AE153" s="192">
        <f t="shared" ref="AE153" si="970">AE42/Z42-1</f>
        <v>0.10481311100126023</v>
      </c>
      <c r="AF153" s="192">
        <f t="shared" ref="AF153" si="971">AF42/AA42-1</f>
        <v>0.10175313023388788</v>
      </c>
      <c r="AG153" s="264">
        <f t="shared" ref="AG153" si="972">AG42/AB42-1</f>
        <v>0.10642317787491362</v>
      </c>
      <c r="AH153" s="192">
        <f>AH42/AC42-1</f>
        <v>0.11249909199302977</v>
      </c>
      <c r="AI153" s="192">
        <f t="shared" ref="AI153" si="973">AI42/AD42-1</f>
        <v>0.11813570415214802</v>
      </c>
      <c r="AJ153" s="192">
        <f t="shared" ref="AJ153" si="974">AJ42/AE42-1</f>
        <v>0.11207262684084784</v>
      </c>
      <c r="AK153" s="192">
        <f t="shared" ref="AK153" si="975">AK42/AF42-1</f>
        <v>0.1123049201055788</v>
      </c>
      <c r="AL153" s="264">
        <f t="shared" ref="AL153" si="976">AL42/AG42-1</f>
        <v>0.11345020433174824</v>
      </c>
    </row>
    <row r="154" spans="1:42" s="34" customFormat="1" outlineLevel="1" x14ac:dyDescent="0.2">
      <c r="A154" s="232"/>
      <c r="B154" s="280" t="s">
        <v>286</v>
      </c>
      <c r="C154" s="281"/>
      <c r="D154" s="45"/>
      <c r="E154" s="45"/>
      <c r="F154" s="45"/>
      <c r="G154" s="45"/>
      <c r="H154" s="46"/>
      <c r="I154" s="45">
        <f>I257/D257-1</f>
        <v>-0.22820512820512895</v>
      </c>
      <c r="J154" s="45">
        <f t="shared" ref="J154:K154" si="977">J257/E257-1</f>
        <v>-4.4869364754098413</v>
      </c>
      <c r="K154" s="45">
        <f t="shared" si="977"/>
        <v>-1.314434752864716</v>
      </c>
      <c r="L154" s="192">
        <f>L257/G257-1</f>
        <v>-0.33348471521757228</v>
      </c>
      <c r="M154" s="264">
        <f>M257/H257-1</f>
        <v>-0.83243860843935757</v>
      </c>
      <c r="N154" s="192">
        <f>N257/I257-1</f>
        <v>-0.13058839866450855</v>
      </c>
      <c r="O154" s="192">
        <f t="shared" ref="O154:Q154" si="978">O257/J257-1</f>
        <v>-1.6093798543800006</v>
      </c>
      <c r="P154" s="192">
        <f t="shared" si="978"/>
        <v>-3.1785767716423181</v>
      </c>
      <c r="Q154" s="192">
        <f t="shared" si="978"/>
        <v>0.55019690204454519</v>
      </c>
      <c r="R154" s="264">
        <f>R257/M257-1</f>
        <v>4.1697269793155263</v>
      </c>
      <c r="S154" s="192">
        <f>S257/N257-1</f>
        <v>3.3772738489072918E-2</v>
      </c>
      <c r="T154" s="192">
        <f t="shared" ref="T154" si="979">T257/O257-1</f>
        <v>-0.11465490789840038</v>
      </c>
      <c r="U154" s="192">
        <f t="shared" ref="U154" si="980">U257/P257-1</f>
        <v>0.42131293620222965</v>
      </c>
      <c r="V154" s="192">
        <f t="shared" ref="V154" si="981">V257/Q257-1</f>
        <v>-0.15111839617652412</v>
      </c>
      <c r="W154" s="264">
        <f>W257/R257-1</f>
        <v>2.8198468354714068E-2</v>
      </c>
      <c r="X154" s="192">
        <f>X257/S257-1</f>
        <v>5.7440134707835488E-2</v>
      </c>
      <c r="Y154" s="192">
        <f t="shared" ref="Y154" si="982">Y257/T257-1</f>
        <v>6.52011979168583E-2</v>
      </c>
      <c r="Z154" s="192">
        <f t="shared" ref="Z154" si="983">Z257/U257-1</f>
        <v>6.9289184530395342E-2</v>
      </c>
      <c r="AA154" s="192">
        <f t="shared" ref="AA154" si="984">AA257/V257-1</f>
        <v>6.1713283026625154E-2</v>
      </c>
      <c r="AB154" s="264">
        <f>AB257/W257-1</f>
        <v>6.2633290380944562E-2</v>
      </c>
      <c r="AC154" s="192">
        <f>AC257/X257-1</f>
        <v>6.9065506826530454E-2</v>
      </c>
      <c r="AD154" s="192">
        <f t="shared" ref="AD154" si="985">AD257/Y257-1</f>
        <v>6.4519439994078276E-2</v>
      </c>
      <c r="AE154" s="192">
        <f t="shared" ref="AE154" si="986">AE257/Z257-1</f>
        <v>6.6396297631669432E-2</v>
      </c>
      <c r="AF154" s="192">
        <f t="shared" ref="AF154" si="987">AF257/AA257-1</f>
        <v>6.7869203704150172E-2</v>
      </c>
      <c r="AG154" s="264">
        <f>AG257/AB257-1</f>
        <v>6.7382212325003188E-2</v>
      </c>
      <c r="AH154" s="192">
        <f>AH257/AC257-1</f>
        <v>6.7897555179853963E-2</v>
      </c>
      <c r="AI154" s="192">
        <f t="shared" ref="AI154" si="988">AI257/AD257-1</f>
        <v>7.6524214443859373E-2</v>
      </c>
      <c r="AJ154" s="192">
        <f t="shared" ref="AJ154" si="989">AJ257/AE257-1</f>
        <v>7.4311689877450293E-2</v>
      </c>
      <c r="AK154" s="192">
        <f t="shared" ref="AK154" si="990">AK257/AF257-1</f>
        <v>7.8463429675342811E-2</v>
      </c>
      <c r="AL154" s="264">
        <f>AL257/AG257-1</f>
        <v>7.3223451491323255E-2</v>
      </c>
    </row>
    <row r="155" spans="1:42" s="34" customFormat="1" outlineLevel="1" x14ac:dyDescent="0.2">
      <c r="A155" s="232"/>
      <c r="B155" s="280" t="s">
        <v>287</v>
      </c>
      <c r="C155" s="281"/>
      <c r="D155" s="45"/>
      <c r="E155" s="45"/>
      <c r="F155" s="45"/>
      <c r="G155" s="45"/>
      <c r="H155" s="46"/>
      <c r="I155" s="45">
        <f>I277/D277-1</f>
        <v>-0.21399626594898991</v>
      </c>
      <c r="J155" s="45">
        <f>J277/E277-1</f>
        <v>67.454110448045071</v>
      </c>
      <c r="K155" s="45">
        <f t="shared" ref="K155" si="991">K277/F277-1</f>
        <v>-1.8590283716353486</v>
      </c>
      <c r="L155" s="192">
        <f>L277/G277-1</f>
        <v>-0.14217503945555821</v>
      </c>
      <c r="M155" s="192">
        <f>M277/H277-1</f>
        <v>-1.0709026316972539</v>
      </c>
      <c r="N155" s="373">
        <f>N277/I277-1</f>
        <v>-0.14681245774140828</v>
      </c>
      <c r="O155" s="192">
        <f>O277/J277-1</f>
        <v>-1.3602950808723289</v>
      </c>
      <c r="P155" s="192">
        <f>P277/K277-1</f>
        <v>-1.8004584922350122</v>
      </c>
      <c r="Q155" s="192">
        <f>Q277/L277-1</f>
        <v>0.64888278891381024</v>
      </c>
      <c r="R155" s="264">
        <f>R277/M277-1</f>
        <v>-15.021950189147812</v>
      </c>
      <c r="S155" s="373">
        <f>S277/N277-1</f>
        <v>1.430419861463017E-2</v>
      </c>
      <c r="T155" s="192">
        <f>T277/O277-1</f>
        <v>-0.21336195486132115</v>
      </c>
      <c r="U155" s="192">
        <f>U277/P277-1</f>
        <v>0.60357252879145107</v>
      </c>
      <c r="V155" s="192">
        <f>V277/Q277-1</f>
        <v>-0.24808075699761356</v>
      </c>
      <c r="W155" s="264">
        <f>W277/R277-1</f>
        <v>-1.8933266419509653E-3</v>
      </c>
      <c r="X155" s="373">
        <f>X277/S277-1</f>
        <v>4.8863361998041421E-2</v>
      </c>
      <c r="Y155" s="192">
        <f>Y277/T277-1</f>
        <v>4.6011715268295506E-2</v>
      </c>
      <c r="Z155" s="192">
        <f>Z277/U277-1</f>
        <v>6.0860581438126893E-2</v>
      </c>
      <c r="AA155" s="192">
        <f>AA277/V277-1</f>
        <v>4.7119564306296047E-2</v>
      </c>
      <c r="AB155" s="264">
        <f>AB277/W277-1</f>
        <v>5.1139070801359043E-2</v>
      </c>
      <c r="AC155" s="373">
        <f>AC277/X277-1</f>
        <v>6.418565251964492E-2</v>
      </c>
      <c r="AD155" s="192">
        <f>AD277/Y277-1</f>
        <v>4.4970601093922591E-2</v>
      </c>
      <c r="AE155" s="192">
        <f>AE277/Z277-1</f>
        <v>5.5980850191947651E-2</v>
      </c>
      <c r="AF155" s="192">
        <f>AF277/AA277-1</f>
        <v>5.3959259293135498E-2</v>
      </c>
      <c r="AG155" s="264">
        <f>AG277/AB277-1</f>
        <v>5.739270530883589E-2</v>
      </c>
      <c r="AH155" s="373">
        <f>AH277/AC277-1</f>
        <v>5.9048648724964181E-2</v>
      </c>
      <c r="AI155" s="192">
        <f>AI277/AD277-1</f>
        <v>5.1009047310241584E-2</v>
      </c>
      <c r="AJ155" s="192">
        <f>AJ277/AE277-1</f>
        <v>5.7624044082045689E-2</v>
      </c>
      <c r="AK155" s="192">
        <f>AK277/AF277-1</f>
        <v>5.55961740567259E-2</v>
      </c>
      <c r="AL155" s="264">
        <f>AL277/AG277-1</f>
        <v>5.6891499629864617E-2</v>
      </c>
    </row>
    <row r="156" spans="1:42" ht="19" x14ac:dyDescent="0.35">
      <c r="A156" s="167"/>
      <c r="B156" s="417" t="s">
        <v>275</v>
      </c>
      <c r="C156" s="436"/>
      <c r="D156" s="23" t="s">
        <v>72</v>
      </c>
      <c r="E156" s="23" t="s">
        <v>212</v>
      </c>
      <c r="F156" s="23" t="s">
        <v>216</v>
      </c>
      <c r="G156" s="23" t="s">
        <v>226</v>
      </c>
      <c r="H156" s="78" t="s">
        <v>227</v>
      </c>
      <c r="I156" s="23" t="s">
        <v>228</v>
      </c>
      <c r="J156" s="23" t="s">
        <v>229</v>
      </c>
      <c r="K156" s="23" t="s">
        <v>230</v>
      </c>
      <c r="L156" s="21" t="s">
        <v>90</v>
      </c>
      <c r="M156" s="80" t="s">
        <v>91</v>
      </c>
      <c r="N156" s="21" t="s">
        <v>92</v>
      </c>
      <c r="O156" s="21" t="s">
        <v>93</v>
      </c>
      <c r="P156" s="21" t="s">
        <v>94</v>
      </c>
      <c r="Q156" s="21" t="s">
        <v>95</v>
      </c>
      <c r="R156" s="80" t="s">
        <v>96</v>
      </c>
      <c r="S156" s="21" t="s">
        <v>97</v>
      </c>
      <c r="T156" s="21" t="s">
        <v>98</v>
      </c>
      <c r="U156" s="21" t="s">
        <v>99</v>
      </c>
      <c r="V156" s="21" t="s">
        <v>100</v>
      </c>
      <c r="W156" s="80" t="s">
        <v>101</v>
      </c>
      <c r="X156" s="21" t="s">
        <v>102</v>
      </c>
      <c r="Y156" s="21" t="s">
        <v>103</v>
      </c>
      <c r="Z156" s="21" t="s">
        <v>104</v>
      </c>
      <c r="AA156" s="21" t="s">
        <v>105</v>
      </c>
      <c r="AB156" s="80" t="s">
        <v>106</v>
      </c>
      <c r="AC156" s="21" t="s">
        <v>221</v>
      </c>
      <c r="AD156" s="21" t="s">
        <v>222</v>
      </c>
      <c r="AE156" s="21" t="s">
        <v>223</v>
      </c>
      <c r="AF156" s="21" t="s">
        <v>224</v>
      </c>
      <c r="AG156" s="80" t="s">
        <v>225</v>
      </c>
      <c r="AH156" s="21" t="s">
        <v>254</v>
      </c>
      <c r="AI156" s="21" t="s">
        <v>255</v>
      </c>
      <c r="AJ156" s="21" t="s">
        <v>256</v>
      </c>
      <c r="AK156" s="21" t="s">
        <v>257</v>
      </c>
      <c r="AL156" s="80" t="s">
        <v>258</v>
      </c>
    </row>
    <row r="157" spans="1:42" outlineLevel="1" x14ac:dyDescent="0.2">
      <c r="A157" s="167"/>
      <c r="B157" s="421" t="s">
        <v>35</v>
      </c>
      <c r="C157" s="422"/>
      <c r="D157" s="45"/>
      <c r="E157" s="45">
        <f>(E38+E161+E164+E167)/D38-1</f>
        <v>2.777764747303535E-2</v>
      </c>
      <c r="F157" s="45">
        <f>(F38+F161+F164+F167)/E38-1</f>
        <v>-1.7269004124131682E-2</v>
      </c>
      <c r="G157" s="45">
        <f>(G38+G161+G164+G167)/F38-1</f>
        <v>1.9258933156590885E-2</v>
      </c>
      <c r="H157" s="14"/>
      <c r="I157" s="45">
        <f>(I38+I161+I164+I167)/G38-1</f>
        <v>-1.436336111538794E-2</v>
      </c>
      <c r="J157" s="45">
        <f>(J38+J161+J164+J167)/I38-1</f>
        <v>-1.1333810572689007E-3</v>
      </c>
      <c r="K157" s="45">
        <f>(K38+K161+K164+K167)/J38-1</f>
        <v>-2.8161802355349819E-3</v>
      </c>
      <c r="L157" s="357">
        <f>AVERAGE(G157,I157,J157,K157)</f>
        <v>2.3650268709976552E-4</v>
      </c>
      <c r="M157" s="319"/>
      <c r="N157" s="357">
        <f>AVERAGE(I157:L157)</f>
        <v>-4.5191049302730144E-3</v>
      </c>
      <c r="O157" s="357">
        <f>AVERAGE(N157,L157,K157,J157)</f>
        <v>-2.0580408839942829E-3</v>
      </c>
      <c r="P157" s="357">
        <f>AVERAGE(O157,N157,L157,K157)</f>
        <v>-2.2892058406756284E-3</v>
      </c>
      <c r="Q157" s="357">
        <f>AVERAGE(P157,O157,N157,L157)</f>
        <v>-2.1574622419607901E-3</v>
      </c>
      <c r="R157" s="319"/>
      <c r="S157" s="357">
        <f>AVERAGE(N157:Q157)</f>
        <v>-2.7559534742259291E-3</v>
      </c>
      <c r="T157" s="357">
        <f>AVERAGE(S157,Q157,P157,O157)</f>
        <v>-2.3151656102141575E-3</v>
      </c>
      <c r="U157" s="357">
        <f>AVERAGE(T157,S157,Q157,P157)</f>
        <v>-2.3794467917691263E-3</v>
      </c>
      <c r="V157" s="357">
        <f>AVERAGE(U157,T157,S157,Q157)</f>
        <v>-2.4020070295425011E-3</v>
      </c>
      <c r="W157" s="319"/>
      <c r="X157" s="357">
        <f>AVERAGE(S157:V157)</f>
        <v>-2.4631432264379284E-3</v>
      </c>
      <c r="Y157" s="357">
        <f>AVERAGE(X157,V157,U157,T157)</f>
        <v>-2.3899406644909285E-3</v>
      </c>
      <c r="Z157" s="357">
        <f>AVERAGE(Y157,X157,V157,U157)</f>
        <v>-2.408634428060121E-3</v>
      </c>
      <c r="AA157" s="357">
        <f>AVERAGE(Z157,Y157,X157,V157)</f>
        <v>-2.4159313371328699E-3</v>
      </c>
      <c r="AB157" s="319"/>
      <c r="AC157" s="357">
        <f>AVERAGE(X157:AA157)</f>
        <v>-2.4194124140304619E-3</v>
      </c>
      <c r="AD157" s="357">
        <f>AVERAGE(AC157,AA157,Z157,Y157)</f>
        <v>-2.4084797109285953E-3</v>
      </c>
      <c r="AE157" s="357">
        <f>AVERAGE(AD157,AC157,AA157,Z157)</f>
        <v>-2.4131144725380122E-3</v>
      </c>
      <c r="AF157" s="357">
        <f>AVERAGE(AE157,AD157,AC157,AA157)</f>
        <v>-2.4142344836574851E-3</v>
      </c>
      <c r="AG157" s="319"/>
      <c r="AH157" s="357">
        <f>AVERAGE(AC157:AF157)</f>
        <v>-2.4138102702886384E-3</v>
      </c>
      <c r="AI157" s="357">
        <f>AVERAGE(AH157,AF157,AE157,AD157)</f>
        <v>-2.4124097343531828E-3</v>
      </c>
      <c r="AJ157" s="357">
        <f>AVERAGE(AI157,AH157,AF157,AE157)</f>
        <v>-2.4133922402093293E-3</v>
      </c>
      <c r="AK157" s="357">
        <f>AVERAGE(AJ157,AI157,AH157,AF157)</f>
        <v>-2.413461682127159E-3</v>
      </c>
      <c r="AL157" s="319"/>
    </row>
    <row r="158" spans="1:42" outlineLevel="1" x14ac:dyDescent="0.2">
      <c r="A158" s="167"/>
      <c r="B158" s="421" t="s">
        <v>36</v>
      </c>
      <c r="C158" s="422"/>
      <c r="D158" s="45"/>
      <c r="E158" s="45">
        <f>(E39+E161+E164+E167)/D39-1</f>
        <v>2.7604785512613583E-2</v>
      </c>
      <c r="F158" s="45">
        <f>(F39+F161+F164+F167)/E39-1</f>
        <v>-1.6710442080933863E-2</v>
      </c>
      <c r="G158" s="45">
        <f>(G39+G161+G164+G167)/F39-1</f>
        <v>1.9089589576967603E-2</v>
      </c>
      <c r="H158" s="14"/>
      <c r="I158" s="45">
        <f>(I39+I161+I164+I167)/G39-1</f>
        <v>-1.5386652077945762E-2</v>
      </c>
      <c r="J158" s="45">
        <f>(J39+J161+J164+J167)/I39-1</f>
        <v>-2.5506658270361138E-3</v>
      </c>
      <c r="K158" s="45">
        <f>(K39+K161+K164+K167)/J39-1</f>
        <v>-1.0332853392055585E-2</v>
      </c>
      <c r="L158" s="357">
        <f>AVERAGE(G158,I158,J158,K158)</f>
        <v>-2.2951454300174645E-3</v>
      </c>
      <c r="M158" s="319"/>
      <c r="N158" s="357">
        <f>AVERAGE(I158:L158)</f>
        <v>-7.6413291817637313E-3</v>
      </c>
      <c r="O158" s="357">
        <f>AVERAGE(N158,L158,K158,J158)</f>
        <v>-5.7049984577182238E-3</v>
      </c>
      <c r="P158" s="357">
        <f>AVERAGE(O158,N158,L158,K158)</f>
        <v>-6.4935816153887512E-3</v>
      </c>
      <c r="Q158" s="357">
        <f>AVERAGE(P158,O158,N158,L158)</f>
        <v>-5.5337636712220429E-3</v>
      </c>
      <c r="R158" s="319"/>
      <c r="S158" s="357">
        <f>AVERAGE(N158:Q158)</f>
        <v>-6.3434182315231877E-3</v>
      </c>
      <c r="T158" s="357">
        <f>AVERAGE(S158,Q158,P158,O158)</f>
        <v>-6.0189404939630514E-3</v>
      </c>
      <c r="U158" s="357">
        <f>AVERAGE(T158,S158,Q158,P158)</f>
        <v>-6.0974260030242583E-3</v>
      </c>
      <c r="V158" s="357">
        <f>AVERAGE(U158,T158,S158,Q158)</f>
        <v>-5.9983870999331347E-3</v>
      </c>
      <c r="W158" s="319"/>
      <c r="X158" s="357">
        <f>AVERAGE(S158:V158)</f>
        <v>-6.1145429571109085E-3</v>
      </c>
      <c r="Y158" s="357">
        <f>AVERAGE(X158,V158,U158,T158)</f>
        <v>-6.0573241385078382E-3</v>
      </c>
      <c r="Z158" s="357">
        <f>AVERAGE(Y158,X158,V158,U158)</f>
        <v>-6.0669200496440345E-3</v>
      </c>
      <c r="AA158" s="357">
        <f>AVERAGE(Z158,Y158,X158,V158)</f>
        <v>-6.059293561298979E-3</v>
      </c>
      <c r="AB158" s="319"/>
      <c r="AC158" s="357">
        <f>AVERAGE(X158:AA158)</f>
        <v>-6.07452017664044E-3</v>
      </c>
      <c r="AD158" s="357">
        <f>AVERAGE(AC158,AA158,Z158,Y158)</f>
        <v>-6.0645144815228234E-3</v>
      </c>
      <c r="AE158" s="357">
        <f>AVERAGE(AD158,AC158,AA158,Z158)</f>
        <v>-6.0663120672765697E-3</v>
      </c>
      <c r="AF158" s="357">
        <f>AVERAGE(AE158,AD158,AC158,AA158)</f>
        <v>-6.0661600716847026E-3</v>
      </c>
      <c r="AG158" s="319"/>
      <c r="AH158" s="357">
        <f>AVERAGE(AC158:AF158)</f>
        <v>-6.0678766992811346E-3</v>
      </c>
      <c r="AI158" s="357">
        <f>AVERAGE(AH158,AF158,AE158,AD158)</f>
        <v>-6.0662158299413082E-3</v>
      </c>
      <c r="AJ158" s="357">
        <f>AVERAGE(AI158,AH158,AF158,AE158)</f>
        <v>-6.0666411670459285E-3</v>
      </c>
      <c r="AK158" s="357">
        <f>AVERAGE(AJ158,AI158,AH158,AF158)</f>
        <v>-6.0667234419882685E-3</v>
      </c>
      <c r="AL158" s="319"/>
    </row>
    <row r="159" spans="1:42" outlineLevel="1" x14ac:dyDescent="0.2">
      <c r="A159" s="167"/>
      <c r="B159" s="421" t="s">
        <v>282</v>
      </c>
      <c r="C159" s="422"/>
      <c r="D159" s="54"/>
      <c r="E159" s="185">
        <v>69.922678056926543</v>
      </c>
      <c r="F159" s="185">
        <v>83.13076202744692</v>
      </c>
      <c r="G159" s="185">
        <v>92.52</v>
      </c>
      <c r="H159" s="55"/>
      <c r="I159" s="185">
        <v>85.23</v>
      </c>
      <c r="J159" s="185">
        <v>78.08</v>
      </c>
      <c r="K159" s="185">
        <v>0</v>
      </c>
      <c r="L159" s="358">
        <v>72</v>
      </c>
      <c r="M159" s="320"/>
      <c r="N159" s="358">
        <v>75</v>
      </c>
      <c r="O159" s="358">
        <v>80</v>
      </c>
      <c r="P159" s="358">
        <v>80</v>
      </c>
      <c r="Q159" s="358">
        <v>80</v>
      </c>
      <c r="R159" s="320"/>
      <c r="S159" s="358">
        <v>80</v>
      </c>
      <c r="T159" s="358">
        <v>80</v>
      </c>
      <c r="U159" s="358">
        <v>80</v>
      </c>
      <c r="V159" s="358">
        <v>80</v>
      </c>
      <c r="W159" s="320"/>
      <c r="X159" s="358">
        <v>80</v>
      </c>
      <c r="Y159" s="358">
        <v>80</v>
      </c>
      <c r="Z159" s="358">
        <v>80</v>
      </c>
      <c r="AA159" s="358">
        <v>80</v>
      </c>
      <c r="AB159" s="320"/>
      <c r="AC159" s="358">
        <v>80</v>
      </c>
      <c r="AD159" s="358">
        <v>80</v>
      </c>
      <c r="AE159" s="358">
        <v>80</v>
      </c>
      <c r="AF159" s="358">
        <v>80</v>
      </c>
      <c r="AG159" s="320"/>
      <c r="AH159" s="358">
        <v>80</v>
      </c>
      <c r="AI159" s="358">
        <v>80</v>
      </c>
      <c r="AJ159" s="358">
        <v>80</v>
      </c>
      <c r="AK159" s="358">
        <v>80</v>
      </c>
      <c r="AL159" s="320"/>
    </row>
    <row r="160" spans="1:42" outlineLevel="1" x14ac:dyDescent="0.2">
      <c r="A160" s="167"/>
      <c r="B160" s="421" t="s">
        <v>283</v>
      </c>
      <c r="C160" s="422"/>
      <c r="D160" s="25"/>
      <c r="E160" s="174">
        <v>713.2</v>
      </c>
      <c r="F160" s="174">
        <f>954.3-713.2</f>
        <v>241.09999999999991</v>
      </c>
      <c r="G160" s="169">
        <v>2177.1942404399997</v>
      </c>
      <c r="H160" s="26">
        <f>+SUM(D160:G160)</f>
        <v>3131.4942404399999</v>
      </c>
      <c r="I160" s="169">
        <v>1107.9389472300002</v>
      </c>
      <c r="J160" s="169">
        <v>567.02921856000012</v>
      </c>
      <c r="K160" s="169">
        <v>0</v>
      </c>
      <c r="L160" s="336">
        <v>100</v>
      </c>
      <c r="M160" s="170"/>
      <c r="N160" s="336">
        <v>100</v>
      </c>
      <c r="O160" s="336">
        <v>100</v>
      </c>
      <c r="P160" s="336">
        <v>100</v>
      </c>
      <c r="Q160" s="336">
        <v>100</v>
      </c>
      <c r="R160" s="170"/>
      <c r="S160" s="336">
        <v>100</v>
      </c>
      <c r="T160" s="336">
        <v>100</v>
      </c>
      <c r="U160" s="336">
        <v>100</v>
      </c>
      <c r="V160" s="336">
        <v>100</v>
      </c>
      <c r="W160" s="170"/>
      <c r="X160" s="336">
        <v>100</v>
      </c>
      <c r="Y160" s="336">
        <v>100</v>
      </c>
      <c r="Z160" s="336">
        <v>100</v>
      </c>
      <c r="AA160" s="336">
        <v>100</v>
      </c>
      <c r="AB160" s="170"/>
      <c r="AC160" s="336">
        <v>100</v>
      </c>
      <c r="AD160" s="336">
        <v>100</v>
      </c>
      <c r="AE160" s="336">
        <v>100</v>
      </c>
      <c r="AF160" s="336">
        <v>100</v>
      </c>
      <c r="AG160" s="170"/>
      <c r="AH160" s="336">
        <v>100</v>
      </c>
      <c r="AI160" s="336">
        <v>100</v>
      </c>
      <c r="AJ160" s="336">
        <v>100</v>
      </c>
      <c r="AK160" s="336">
        <v>100</v>
      </c>
      <c r="AL160" s="170"/>
    </row>
    <row r="161" spans="1:38" outlineLevel="1" x14ac:dyDescent="0.2">
      <c r="A161" s="167"/>
      <c r="B161" s="421" t="s">
        <v>284</v>
      </c>
      <c r="C161" s="422"/>
      <c r="D161" s="271"/>
      <c r="E161" s="271">
        <f>IF((E160)&gt;0,(E160/E159),0)</f>
        <v>10.199838161509755</v>
      </c>
      <c r="F161" s="274">
        <f>IF((F160)&gt;0,(F160/F159),0)</f>
        <v>2.9002500893760241</v>
      </c>
      <c r="G161" s="274">
        <f>IF((G160)&gt;0,(G160/G159),0)</f>
        <v>23.532146999999998</v>
      </c>
      <c r="H161" s="103">
        <f>+SUM(D161:G161)</f>
        <v>36.632235250885778</v>
      </c>
      <c r="I161" s="271">
        <f>IF((I160)&gt;0,(I160/I159),0)</f>
        <v>12.999401000000001</v>
      </c>
      <c r="J161" s="274">
        <f>IF((J160)&gt;0,(J160/J159),0)</f>
        <v>7.262157000000002</v>
      </c>
      <c r="K161" s="271">
        <f>IF((K160)&gt;0,(K160/K159),0)</f>
        <v>0</v>
      </c>
      <c r="L161" s="274">
        <f>IF((L160)&gt;0,(L160/L159),0)</f>
        <v>1.3888888888888888</v>
      </c>
      <c r="M161" s="187"/>
      <c r="N161" s="274">
        <f t="shared" ref="N161:Q161" si="992">IF((N160)&gt;0,(N160/N159),0)</f>
        <v>1.3333333333333333</v>
      </c>
      <c r="O161" s="274">
        <f t="shared" si="992"/>
        <v>1.25</v>
      </c>
      <c r="P161" s="274">
        <f t="shared" si="992"/>
        <v>1.25</v>
      </c>
      <c r="Q161" s="274">
        <f t="shared" si="992"/>
        <v>1.25</v>
      </c>
      <c r="R161" s="187"/>
      <c r="S161" s="274">
        <f t="shared" ref="S161" si="993">IF((S160)&gt;0,(S160/S159),0)</f>
        <v>1.25</v>
      </c>
      <c r="T161" s="274">
        <f t="shared" ref="T161" si="994">IF((T160)&gt;0,(T160/T159),0)</f>
        <v>1.25</v>
      </c>
      <c r="U161" s="274">
        <f t="shared" ref="U161" si="995">IF((U160)&gt;0,(U160/U159),0)</f>
        <v>1.25</v>
      </c>
      <c r="V161" s="274">
        <f t="shared" ref="V161" si="996">IF((V160)&gt;0,(V160/V159),0)</f>
        <v>1.25</v>
      </c>
      <c r="W161" s="187"/>
      <c r="X161" s="274">
        <f t="shared" ref="X161" si="997">IF((X160)&gt;0,(X160/X159),0)</f>
        <v>1.25</v>
      </c>
      <c r="Y161" s="274">
        <f t="shared" ref="Y161" si="998">IF((Y160)&gt;0,(Y160/Y159),0)</f>
        <v>1.25</v>
      </c>
      <c r="Z161" s="274">
        <f t="shared" ref="Z161" si="999">IF((Z160)&gt;0,(Z160/Z159),0)</f>
        <v>1.25</v>
      </c>
      <c r="AA161" s="274">
        <f t="shared" ref="AA161" si="1000">IF((AA160)&gt;0,(AA160/AA159),0)</f>
        <v>1.25</v>
      </c>
      <c r="AB161" s="187"/>
      <c r="AC161" s="274">
        <f t="shared" ref="AC161" si="1001">IF((AC160)&gt;0,(AC160/AC159),0)</f>
        <v>1.25</v>
      </c>
      <c r="AD161" s="274">
        <f t="shared" ref="AD161" si="1002">IF((AD160)&gt;0,(AD160/AD159),0)</f>
        <v>1.25</v>
      </c>
      <c r="AE161" s="274">
        <f t="shared" ref="AE161" si="1003">IF((AE160)&gt;0,(AE160/AE159),0)</f>
        <v>1.25</v>
      </c>
      <c r="AF161" s="274">
        <f t="shared" ref="AF161" si="1004">IF((AF160)&gt;0,(AF160/AF159),0)</f>
        <v>1.25</v>
      </c>
      <c r="AG161" s="187"/>
      <c r="AH161" s="274">
        <f t="shared" ref="AH161" si="1005">IF((AH160)&gt;0,(AH160/AH159),0)</f>
        <v>1.25</v>
      </c>
      <c r="AI161" s="274">
        <f t="shared" ref="AI161" si="1006">IF((AI160)&gt;0,(AI160/AI159),0)</f>
        <v>1.25</v>
      </c>
      <c r="AJ161" s="274">
        <f t="shared" ref="AJ161" si="1007">IF((AJ160)&gt;0,(AJ160/AJ159),0)</f>
        <v>1.25</v>
      </c>
      <c r="AK161" s="274">
        <f t="shared" ref="AK161" si="1008">IF((AK160)&gt;0,(AK160/AK159),0)</f>
        <v>1.25</v>
      </c>
      <c r="AL161" s="187"/>
    </row>
    <row r="162" spans="1:38" outlineLevel="1" x14ac:dyDescent="0.2">
      <c r="A162" s="167"/>
      <c r="B162" s="456" t="s">
        <v>276</v>
      </c>
      <c r="C162" s="457"/>
      <c r="D162" s="275">
        <v>55.58</v>
      </c>
      <c r="E162" s="276">
        <v>65.03</v>
      </c>
      <c r="F162" s="147"/>
      <c r="G162" s="147"/>
      <c r="H162" s="133"/>
      <c r="I162" s="147"/>
      <c r="J162" s="147"/>
      <c r="K162" s="147"/>
      <c r="L162" s="321"/>
      <c r="M162" s="249"/>
      <c r="N162" s="321"/>
      <c r="O162" s="321"/>
      <c r="P162" s="321"/>
      <c r="Q162" s="321"/>
      <c r="R162" s="249"/>
      <c r="S162" s="321"/>
      <c r="T162" s="321"/>
      <c r="U162" s="321"/>
      <c r="V162" s="321"/>
      <c r="W162" s="249"/>
      <c r="X162" s="321"/>
      <c r="Y162" s="321"/>
      <c r="Z162" s="321"/>
      <c r="AA162" s="321"/>
      <c r="AB162" s="249"/>
      <c r="AC162" s="321"/>
      <c r="AD162" s="321"/>
      <c r="AE162" s="321"/>
      <c r="AF162" s="321"/>
      <c r="AG162" s="249"/>
      <c r="AH162" s="321"/>
      <c r="AI162" s="321"/>
      <c r="AJ162" s="321"/>
      <c r="AK162" s="321"/>
      <c r="AL162" s="249"/>
    </row>
    <row r="163" spans="1:38" outlineLevel="1" x14ac:dyDescent="0.2">
      <c r="A163" s="167"/>
      <c r="B163" s="458" t="s">
        <v>277</v>
      </c>
      <c r="C163" s="459"/>
      <c r="D163" s="277">
        <f>71.968334*55.58</f>
        <v>4000.0000037199998</v>
      </c>
      <c r="E163" s="278">
        <v>318.64700000000005</v>
      </c>
      <c r="F163" s="271"/>
      <c r="G163" s="271"/>
      <c r="H163" s="103"/>
      <c r="I163" s="271"/>
      <c r="J163" s="271"/>
      <c r="K163" s="271"/>
      <c r="L163" s="274"/>
      <c r="M163" s="187"/>
      <c r="N163" s="274"/>
      <c r="O163" s="274"/>
      <c r="P163" s="274"/>
      <c r="Q163" s="274"/>
      <c r="R163" s="187"/>
      <c r="S163" s="274"/>
      <c r="T163" s="274"/>
      <c r="U163" s="274"/>
      <c r="V163" s="274"/>
      <c r="W163" s="187"/>
      <c r="X163" s="274"/>
      <c r="Y163" s="274"/>
      <c r="Z163" s="274"/>
      <c r="AA163" s="274"/>
      <c r="AB163" s="187"/>
      <c r="AC163" s="274"/>
      <c r="AD163" s="274"/>
      <c r="AE163" s="274"/>
      <c r="AF163" s="274"/>
      <c r="AG163" s="187"/>
      <c r="AH163" s="274"/>
      <c r="AI163" s="274"/>
      <c r="AJ163" s="274"/>
      <c r="AK163" s="274"/>
      <c r="AL163" s="187"/>
    </row>
    <row r="164" spans="1:38" outlineLevel="1" x14ac:dyDescent="0.2">
      <c r="A164" s="167"/>
      <c r="B164" s="482" t="s">
        <v>278</v>
      </c>
      <c r="C164" s="483"/>
      <c r="D164" s="279">
        <f>IF((D163)&gt;0,(D163/D162),0)</f>
        <v>71.968333999999999</v>
      </c>
      <c r="E164" s="272">
        <f>IF((E163)&gt;0,(E163/E162),0)</f>
        <v>4.9000000000000004</v>
      </c>
      <c r="F164" s="272"/>
      <c r="G164" s="272"/>
      <c r="H164" s="273"/>
      <c r="I164" s="272"/>
      <c r="J164" s="272"/>
      <c r="K164" s="272"/>
      <c r="L164" s="322"/>
      <c r="M164" s="323"/>
      <c r="N164" s="322"/>
      <c r="O164" s="322"/>
      <c r="P164" s="322"/>
      <c r="Q164" s="322"/>
      <c r="R164" s="323"/>
      <c r="S164" s="322"/>
      <c r="T164" s="322"/>
      <c r="U164" s="322"/>
      <c r="V164" s="322"/>
      <c r="W164" s="323"/>
      <c r="X164" s="322"/>
      <c r="Y164" s="322"/>
      <c r="Z164" s="322"/>
      <c r="AA164" s="322"/>
      <c r="AB164" s="323"/>
      <c r="AC164" s="322"/>
      <c r="AD164" s="322"/>
      <c r="AE164" s="322"/>
      <c r="AF164" s="322"/>
      <c r="AG164" s="323"/>
      <c r="AH164" s="322"/>
      <c r="AI164" s="322"/>
      <c r="AJ164" s="322"/>
      <c r="AK164" s="322"/>
      <c r="AL164" s="323"/>
    </row>
    <row r="165" spans="1:38" outlineLevel="1" x14ac:dyDescent="0.2">
      <c r="A165" s="167"/>
      <c r="B165" s="215" t="s">
        <v>279</v>
      </c>
      <c r="C165" s="216"/>
      <c r="D165" s="271"/>
      <c r="E165" s="54">
        <v>71.959999999999994</v>
      </c>
      <c r="F165" s="54">
        <v>76.5</v>
      </c>
      <c r="G165" s="271"/>
      <c r="H165" s="103"/>
      <c r="I165" s="271"/>
      <c r="J165" s="271"/>
      <c r="K165" s="271"/>
      <c r="L165" s="274"/>
      <c r="M165" s="187"/>
      <c r="N165" s="274"/>
      <c r="O165" s="274"/>
      <c r="P165" s="274"/>
      <c r="Q165" s="274"/>
      <c r="R165" s="187"/>
      <c r="S165" s="274"/>
      <c r="T165" s="274"/>
      <c r="U165" s="274"/>
      <c r="V165" s="274"/>
      <c r="W165" s="187"/>
      <c r="X165" s="274"/>
      <c r="Y165" s="274"/>
      <c r="Z165" s="274"/>
      <c r="AA165" s="274"/>
      <c r="AB165" s="187"/>
      <c r="AC165" s="274"/>
      <c r="AD165" s="274"/>
      <c r="AE165" s="274"/>
      <c r="AF165" s="274"/>
      <c r="AG165" s="187"/>
      <c r="AH165" s="274"/>
      <c r="AI165" s="274"/>
      <c r="AJ165" s="274"/>
      <c r="AK165" s="274"/>
      <c r="AL165" s="187"/>
    </row>
    <row r="166" spans="1:38" outlineLevel="1" x14ac:dyDescent="0.2">
      <c r="A166" s="167"/>
      <c r="B166" s="215" t="s">
        <v>280</v>
      </c>
      <c r="C166" s="216"/>
      <c r="D166" s="271"/>
      <c r="E166" s="25">
        <v>1597.5119999999997</v>
      </c>
      <c r="F166" s="25">
        <v>298.35000000000002</v>
      </c>
      <c r="G166" s="271"/>
      <c r="H166" s="103"/>
      <c r="I166" s="271"/>
      <c r="J166" s="271"/>
      <c r="K166" s="271"/>
      <c r="L166" s="274"/>
      <c r="M166" s="187"/>
      <c r="N166" s="274"/>
      <c r="O166" s="274"/>
      <c r="P166" s="274"/>
      <c r="Q166" s="274"/>
      <c r="R166" s="187"/>
      <c r="S166" s="274"/>
      <c r="T166" s="274"/>
      <c r="U166" s="274"/>
      <c r="V166" s="274"/>
      <c r="W166" s="187"/>
      <c r="X166" s="274"/>
      <c r="Y166" s="274"/>
      <c r="Z166" s="274"/>
      <c r="AA166" s="274"/>
      <c r="AB166" s="187"/>
      <c r="AC166" s="274"/>
      <c r="AD166" s="274"/>
      <c r="AE166" s="274"/>
      <c r="AF166" s="274"/>
      <c r="AG166" s="187"/>
      <c r="AH166" s="274"/>
      <c r="AI166" s="274"/>
      <c r="AJ166" s="274"/>
      <c r="AK166" s="274"/>
      <c r="AL166" s="187"/>
    </row>
    <row r="167" spans="1:38" outlineLevel="1" x14ac:dyDescent="0.2">
      <c r="A167" s="167"/>
      <c r="B167" s="215" t="s">
        <v>281</v>
      </c>
      <c r="C167" s="216"/>
      <c r="D167" s="271"/>
      <c r="E167" s="271">
        <f>IF((E166)&gt;0,(E166/E165),0)</f>
        <v>22.2</v>
      </c>
      <c r="F167" s="271">
        <f>IF((F166)&gt;0,(F166/F165),0)</f>
        <v>3.9000000000000004</v>
      </c>
      <c r="G167" s="271"/>
      <c r="H167" s="103"/>
      <c r="I167" s="271"/>
      <c r="J167" s="271"/>
      <c r="K167" s="271"/>
      <c r="L167" s="274"/>
      <c r="M167" s="187"/>
      <c r="N167" s="274"/>
      <c r="O167" s="274"/>
      <c r="P167" s="274"/>
      <c r="Q167" s="274"/>
      <c r="R167" s="187"/>
      <c r="S167" s="274"/>
      <c r="T167" s="274"/>
      <c r="U167" s="274"/>
      <c r="V167" s="274"/>
      <c r="W167" s="187"/>
      <c r="X167" s="274"/>
      <c r="Y167" s="274"/>
      <c r="Z167" s="274"/>
      <c r="AA167" s="274"/>
      <c r="AB167" s="187"/>
      <c r="AC167" s="274"/>
      <c r="AD167" s="274"/>
      <c r="AE167" s="274"/>
      <c r="AF167" s="274"/>
      <c r="AG167" s="187"/>
      <c r="AH167" s="274"/>
      <c r="AI167" s="274"/>
      <c r="AJ167" s="274"/>
      <c r="AK167" s="274"/>
      <c r="AL167" s="187"/>
    </row>
    <row r="168" spans="1:38" ht="19" x14ac:dyDescent="0.35">
      <c r="A168" s="167"/>
      <c r="B168" s="417" t="s">
        <v>52</v>
      </c>
      <c r="C168" s="436"/>
      <c r="D168" s="23" t="s">
        <v>72</v>
      </c>
      <c r="E168" s="23" t="s">
        <v>212</v>
      </c>
      <c r="F168" s="23" t="s">
        <v>216</v>
      </c>
      <c r="G168" s="23" t="s">
        <v>226</v>
      </c>
      <c r="H168" s="78" t="s">
        <v>227</v>
      </c>
      <c r="I168" s="23" t="s">
        <v>228</v>
      </c>
      <c r="J168" s="23" t="s">
        <v>229</v>
      </c>
      <c r="K168" s="23" t="s">
        <v>230</v>
      </c>
      <c r="L168" s="21" t="s">
        <v>90</v>
      </c>
      <c r="M168" s="80" t="s">
        <v>91</v>
      </c>
      <c r="N168" s="21" t="s">
        <v>92</v>
      </c>
      <c r="O168" s="21" t="s">
        <v>93</v>
      </c>
      <c r="P168" s="21" t="s">
        <v>94</v>
      </c>
      <c r="Q168" s="21" t="s">
        <v>95</v>
      </c>
      <c r="R168" s="80" t="s">
        <v>96</v>
      </c>
      <c r="S168" s="21" t="s">
        <v>97</v>
      </c>
      <c r="T168" s="21" t="s">
        <v>98</v>
      </c>
      <c r="U168" s="21" t="s">
        <v>99</v>
      </c>
      <c r="V168" s="21" t="s">
        <v>100</v>
      </c>
      <c r="W168" s="80" t="s">
        <v>101</v>
      </c>
      <c r="X168" s="21" t="s">
        <v>102</v>
      </c>
      <c r="Y168" s="21" t="s">
        <v>103</v>
      </c>
      <c r="Z168" s="21" t="s">
        <v>104</v>
      </c>
      <c r="AA168" s="21" t="s">
        <v>105</v>
      </c>
      <c r="AB168" s="80" t="s">
        <v>106</v>
      </c>
      <c r="AC168" s="21" t="s">
        <v>221</v>
      </c>
      <c r="AD168" s="21" t="s">
        <v>222</v>
      </c>
      <c r="AE168" s="21" t="s">
        <v>223</v>
      </c>
      <c r="AF168" s="21" t="s">
        <v>224</v>
      </c>
      <c r="AG168" s="80" t="s">
        <v>225</v>
      </c>
      <c r="AH168" s="21" t="s">
        <v>254</v>
      </c>
      <c r="AI168" s="21" t="s">
        <v>255</v>
      </c>
      <c r="AJ168" s="21" t="s">
        <v>256</v>
      </c>
      <c r="AK168" s="21" t="s">
        <v>257</v>
      </c>
      <c r="AL168" s="80" t="s">
        <v>258</v>
      </c>
    </row>
    <row r="169" spans="1:38" outlineLevel="1" x14ac:dyDescent="0.2">
      <c r="A169" s="167"/>
      <c r="B169" s="421" t="s">
        <v>157</v>
      </c>
      <c r="C169" s="422"/>
      <c r="D169" s="171">
        <f>-(22+5.3+0.6+20.9)</f>
        <v>-48.8</v>
      </c>
      <c r="E169" s="171">
        <v>-45.1</v>
      </c>
      <c r="F169" s="171">
        <v>-39.6</v>
      </c>
      <c r="G169" s="171">
        <f>-146.2+133.5</f>
        <v>-12.699999999999989</v>
      </c>
      <c r="H169" s="306">
        <f>SUM(D169:G169)</f>
        <v>-146.19999999999999</v>
      </c>
      <c r="I169" s="171">
        <v>-7.1</v>
      </c>
      <c r="J169" s="171">
        <v>0.1</v>
      </c>
      <c r="K169" s="174">
        <f>-K22</f>
        <v>-78.099999999999994</v>
      </c>
      <c r="L169" s="336">
        <f>-0.11*1169</f>
        <v>-128.59</v>
      </c>
      <c r="M169" s="170"/>
      <c r="N169" s="336">
        <f>-N22</f>
        <v>-133.68123110964473</v>
      </c>
      <c r="O169" s="336">
        <f t="shared" ref="O169:Q169" si="1009">-O22</f>
        <v>-121.99824805095786</v>
      </c>
      <c r="P169" s="336">
        <f t="shared" si="1009"/>
        <v>-139.19160600139116</v>
      </c>
      <c r="Q169" s="336">
        <f t="shared" si="1009"/>
        <v>-140.52583861404324</v>
      </c>
      <c r="R169" s="170"/>
      <c r="S169" s="336">
        <f>-S22</f>
        <v>-140.16971147802678</v>
      </c>
      <c r="T169" s="336">
        <f t="shared" ref="T169:V169" si="1010">-T22</f>
        <v>-126.65319481023593</v>
      </c>
      <c r="U169" s="336">
        <f t="shared" si="1010"/>
        <v>-142.99601374467878</v>
      </c>
      <c r="V169" s="336">
        <f t="shared" si="1010"/>
        <v>-146.6139870521674</v>
      </c>
      <c r="W169" s="170"/>
      <c r="X169" s="336">
        <f>-X22</f>
        <v>-145.71955687466755</v>
      </c>
      <c r="Y169" s="336">
        <f t="shared" ref="Y169:AA169" si="1011">-Y22</f>
        <v>-131.32794124563299</v>
      </c>
      <c r="Z169" s="336">
        <f t="shared" si="1011"/>
        <v>-148.29589746532261</v>
      </c>
      <c r="AA169" s="336">
        <f t="shared" si="1011"/>
        <v>-152.41189894659891</v>
      </c>
      <c r="AB169" s="170"/>
      <c r="AC169" s="336">
        <f>-AC22</f>
        <v>-151.37325205993022</v>
      </c>
      <c r="AD169" s="336">
        <f t="shared" ref="AD169:AF169" si="1012">-AD22</f>
        <v>-136.33840758060251</v>
      </c>
      <c r="AE169" s="336">
        <f t="shared" si="1012"/>
        <v>-154.04695579342959</v>
      </c>
      <c r="AF169" s="336">
        <f t="shared" si="1012"/>
        <v>-158.35197164062853</v>
      </c>
      <c r="AG169" s="170"/>
      <c r="AH169" s="336">
        <f>-AH22</f>
        <v>-158.48310033549399</v>
      </c>
      <c r="AI169" s="336">
        <f t="shared" ref="AI169:AK169" si="1013">-AI22</f>
        <v>-142.68071338308638</v>
      </c>
      <c r="AJ169" s="336">
        <f t="shared" si="1013"/>
        <v>-161.28657649382006</v>
      </c>
      <c r="AK169" s="336">
        <f t="shared" si="1013"/>
        <v>-165.80743208091718</v>
      </c>
      <c r="AL169" s="170"/>
    </row>
    <row r="170" spans="1:38" outlineLevel="1" x14ac:dyDescent="0.2">
      <c r="A170" s="167"/>
      <c r="B170" s="60" t="s">
        <v>156</v>
      </c>
      <c r="C170" s="61"/>
      <c r="D170" s="171">
        <f>-(5.3+0.5)</f>
        <v>-5.8</v>
      </c>
      <c r="E170" s="171">
        <v>-4.3</v>
      </c>
      <c r="F170" s="171">
        <v>-2.2999999999999998</v>
      </c>
      <c r="G170" s="171">
        <v>-0.2</v>
      </c>
      <c r="H170" s="306">
        <f t="shared" ref="H170:H173" si="1014">SUM(D170:G170)</f>
        <v>-12.599999999999998</v>
      </c>
      <c r="I170" s="171">
        <v>-5.6</v>
      </c>
      <c r="J170" s="171">
        <v>-6.8</v>
      </c>
      <c r="K170" s="174">
        <v>-35.04</v>
      </c>
      <c r="L170" s="169">
        <v>0</v>
      </c>
      <c r="M170" s="170"/>
      <c r="N170" s="169"/>
      <c r="O170" s="169"/>
      <c r="P170" s="169"/>
      <c r="Q170" s="169"/>
      <c r="R170" s="170"/>
      <c r="S170" s="169"/>
      <c r="T170" s="169"/>
      <c r="U170" s="169"/>
      <c r="V170" s="169"/>
      <c r="W170" s="170"/>
      <c r="X170" s="169"/>
      <c r="Y170" s="169"/>
      <c r="Z170" s="169"/>
      <c r="AA170" s="169"/>
      <c r="AB170" s="170"/>
      <c r="AC170" s="169"/>
      <c r="AD170" s="169"/>
      <c r="AE170" s="169"/>
      <c r="AF170" s="169"/>
      <c r="AG170" s="170"/>
      <c r="AH170" s="169"/>
      <c r="AI170" s="169"/>
      <c r="AJ170" s="169"/>
      <c r="AK170" s="169"/>
      <c r="AL170" s="170"/>
    </row>
    <row r="171" spans="1:38" outlineLevel="1" x14ac:dyDescent="0.2">
      <c r="A171" s="167"/>
      <c r="B171" s="421" t="s">
        <v>274</v>
      </c>
      <c r="C171" s="422"/>
      <c r="D171" s="171">
        <f>-(60.6-0.3)</f>
        <v>-60.300000000000004</v>
      </c>
      <c r="E171" s="171">
        <v>-68.2</v>
      </c>
      <c r="F171" s="171">
        <v>-69</v>
      </c>
      <c r="G171" s="171">
        <f>-262+197.5</f>
        <v>-64.5</v>
      </c>
      <c r="H171" s="306">
        <f>SUM(D171:G171)</f>
        <v>-262</v>
      </c>
      <c r="I171" s="171">
        <v>-58.9</v>
      </c>
      <c r="J171" s="171">
        <v>-60.1</v>
      </c>
      <c r="K171" s="174">
        <v>-60.54</v>
      </c>
      <c r="L171" s="336">
        <f>-0.05*1169</f>
        <v>-58.45</v>
      </c>
      <c r="M171" s="170"/>
      <c r="N171" s="169"/>
      <c r="O171" s="169"/>
      <c r="P171" s="169"/>
      <c r="Q171" s="169"/>
      <c r="R171" s="170"/>
      <c r="S171" s="169"/>
      <c r="T171" s="169"/>
      <c r="U171" s="169"/>
      <c r="V171" s="169"/>
      <c r="W171" s="170"/>
      <c r="X171" s="169"/>
      <c r="Y171" s="169"/>
      <c r="Z171" s="169"/>
      <c r="AA171" s="169"/>
      <c r="AB171" s="170"/>
      <c r="AC171" s="169"/>
      <c r="AD171" s="169"/>
      <c r="AE171" s="169"/>
      <c r="AF171" s="169"/>
      <c r="AG171" s="170"/>
      <c r="AH171" s="169"/>
      <c r="AI171" s="169"/>
      <c r="AJ171" s="169"/>
      <c r="AK171" s="169"/>
      <c r="AL171" s="170"/>
    </row>
    <row r="172" spans="1:38" outlineLevel="1" x14ac:dyDescent="0.2">
      <c r="A172" s="167"/>
      <c r="B172" s="60" t="s">
        <v>158</v>
      </c>
      <c r="C172" s="61"/>
      <c r="D172" s="171">
        <v>-23.1</v>
      </c>
      <c r="E172" s="171">
        <v>-23.8</v>
      </c>
      <c r="F172" s="171">
        <v>-14.4</v>
      </c>
      <c r="G172" s="171">
        <v>0</v>
      </c>
      <c r="H172" s="306">
        <f t="shared" si="1014"/>
        <v>-61.300000000000004</v>
      </c>
      <c r="I172" s="171"/>
      <c r="J172" s="171"/>
      <c r="K172" s="169"/>
      <c r="L172" s="169"/>
      <c r="M172" s="170"/>
      <c r="N172" s="169"/>
      <c r="O172" s="169"/>
      <c r="P172" s="169"/>
      <c r="Q172" s="169"/>
      <c r="R172" s="170"/>
      <c r="S172" s="169"/>
      <c r="T172" s="169"/>
      <c r="U172" s="169"/>
      <c r="V172" s="169"/>
      <c r="W172" s="170"/>
      <c r="X172" s="169"/>
      <c r="Y172" s="169"/>
      <c r="Z172" s="169"/>
      <c r="AA172" s="169"/>
      <c r="AB172" s="170"/>
      <c r="AC172" s="169"/>
      <c r="AD172" s="169"/>
      <c r="AE172" s="169"/>
      <c r="AF172" s="169"/>
      <c r="AG172" s="170"/>
      <c r="AH172" s="169"/>
      <c r="AI172" s="169"/>
      <c r="AJ172" s="169"/>
      <c r="AK172" s="169"/>
      <c r="AL172" s="170"/>
    </row>
    <row r="173" spans="1:38" ht="18" outlineLevel="1" x14ac:dyDescent="0.35">
      <c r="A173" s="167"/>
      <c r="B173" s="60" t="s">
        <v>206</v>
      </c>
      <c r="C173" s="61"/>
      <c r="D173" s="265">
        <v>0</v>
      </c>
      <c r="E173" s="265">
        <v>0</v>
      </c>
      <c r="F173" s="265">
        <v>0</v>
      </c>
      <c r="G173" s="265">
        <v>0</v>
      </c>
      <c r="H173" s="307">
        <f t="shared" si="1014"/>
        <v>0</v>
      </c>
      <c r="I173" s="265">
        <v>0</v>
      </c>
      <c r="J173" s="265">
        <v>0</v>
      </c>
      <c r="K173" s="184">
        <v>0</v>
      </c>
      <c r="L173" s="51"/>
      <c r="M173" s="170"/>
      <c r="N173" s="51">
        <f>AVERAGE(D174,E174,F174,G174,I174,J174,K174,L174)-N169</f>
        <v>11.028731109644752</v>
      </c>
      <c r="O173" s="51">
        <f>AVERAGE(E174,F174,G174,I174,J174,K174,L174,N174)-O169</f>
        <v>1.2641855509578619</v>
      </c>
      <c r="P173" s="51">
        <f>AVERAGE(F174,G174,I174,J174,K174,L174,N174,O174)-P169</f>
        <v>21.040785688891191</v>
      </c>
      <c r="Q173" s="51">
        <f>AVERAGE(G174,N174,J174,K174,L174,I174,O174,P174)-Q169</f>
        <v>23.268665762480737</v>
      </c>
      <c r="R173" s="170"/>
      <c r="S173" s="51">
        <f>AVERAGE(I174,J174,K174,L174,N174,O174,P174,Q174)-S169</f>
        <v>17.930392020018985</v>
      </c>
      <c r="T173" s="51">
        <f>AVERAGE(J174,K174,L174,N174,O174,P174,Q174,S174)-T169</f>
        <v>-1.91603958002284</v>
      </c>
      <c r="U173" s="51">
        <f>AVERAGE(K174,L174,N174,O174,P174,Q174,S174,T174)-U169</f>
        <v>6.705625055637654</v>
      </c>
      <c r="V173" s="51">
        <f>AVERAGE(L174,S174,O174,P174,Q174,N174,T174,U174)-V169</f>
        <v>14.997299776996158</v>
      </c>
      <c r="W173" s="170"/>
      <c r="X173" s="51">
        <f>AVERAGE(N174,O174,P174,Q174,S174,T174,U174,V174)-X169</f>
        <v>21.030783690099881</v>
      </c>
      <c r="Y173" s="51">
        <f>AVERAGE(O174,P174,Q174,S174,T174,U174,V174,X174)-Y169</f>
        <v>6.3846339129943459</v>
      </c>
      <c r="Z173" s="51">
        <f>AVERAGE(P174,Q174,S174,T174,U174,V174,X174,Y174)-Z169</f>
        <v>22.826434528604153</v>
      </c>
      <c r="AA173" s="51">
        <f>AVERAGE(Q174,X174,T174,U174,V174,S174,Y174,Z174)-AA169</f>
        <v>26.027605681853146</v>
      </c>
      <c r="AB173" s="170"/>
      <c r="AC173" s="51">
        <f>AVERAGE(S174,T174,U174,V174,X174,Y174,Z174,AA174)-AC169</f>
        <v>23.848068743536544</v>
      </c>
      <c r="AD173" s="51">
        <f>AVERAGE(T174,U174,V174,X174,Y174,Z174,AA174,AC174)-AD169</f>
        <v>8.152491281910585</v>
      </c>
      <c r="AE173" s="51">
        <f>AVERAGE(U174,V174,X174,Y174,Z174,AA174,AC174,AD174)-AE169</f>
        <v>25.908954256183534</v>
      </c>
      <c r="AF173" s="51">
        <f>AVERAGE(V174,AC174,Y174,Z174,AA174,X174,AD174,AE174)-AF169</f>
        <v>31.233018497356838</v>
      </c>
      <c r="AG173" s="170"/>
      <c r="AH173" s="51">
        <f>AVERAGE(X174,Y174,Z174,AA174,AC174,AD174,AE174,AF174)-AH169</f>
        <v>31.926363958709757</v>
      </c>
      <c r="AI173" s="51">
        <f>AVERAGE(Y174,Z174,AA174,AC174,AD174,AE174,AF174,AH174)-AI169</f>
        <v>15.890481607275078</v>
      </c>
      <c r="AJ173" s="51">
        <f>AVERAGE(Z174,AA174,AC174,AD174,AE174,AF174,AH174,AI174)-AJ169</f>
        <v>34.265479162612166</v>
      </c>
      <c r="AK173" s="51">
        <f>AVERAGE(AA174,AH174,AD174,AE174,AF174,AC174,AI174,AJ174)-AK169</f>
        <v>38.59238045039811</v>
      </c>
      <c r="AL173" s="170"/>
    </row>
    <row r="174" spans="1:38" s="13" customFormat="1" outlineLevel="1" x14ac:dyDescent="0.2">
      <c r="A174" s="182"/>
      <c r="B174" s="210" t="s">
        <v>159</v>
      </c>
      <c r="C174" s="68"/>
      <c r="D174" s="104">
        <f t="shared" ref="D174:Q174" si="1015">SUM(D169:D173)</f>
        <v>-138</v>
      </c>
      <c r="E174" s="104">
        <f t="shared" si="1015"/>
        <v>-141.4</v>
      </c>
      <c r="F174" s="104">
        <f t="shared" si="1015"/>
        <v>-125.30000000000001</v>
      </c>
      <c r="G174" s="104">
        <f t="shared" si="1015"/>
        <v>-77.399999999999991</v>
      </c>
      <c r="H174" s="105">
        <f t="shared" si="1015"/>
        <v>-482.09999999999997</v>
      </c>
      <c r="I174" s="104">
        <f t="shared" si="1015"/>
        <v>-71.599999999999994</v>
      </c>
      <c r="J174" s="104">
        <f t="shared" si="1015"/>
        <v>-66.8</v>
      </c>
      <c r="K174" s="104">
        <f t="shared" si="1015"/>
        <v>-173.67999999999998</v>
      </c>
      <c r="L174" s="104">
        <f t="shared" si="1015"/>
        <v>-187.04000000000002</v>
      </c>
      <c r="M174" s="295"/>
      <c r="N174" s="172">
        <f t="shared" si="1015"/>
        <v>-122.65249999999997</v>
      </c>
      <c r="O174" s="172">
        <f t="shared" si="1015"/>
        <v>-120.73406249999999</v>
      </c>
      <c r="P174" s="172">
        <f t="shared" si="1015"/>
        <v>-118.15082031249997</v>
      </c>
      <c r="Q174" s="172">
        <f t="shared" si="1015"/>
        <v>-117.2571728515625</v>
      </c>
      <c r="R174" s="295"/>
      <c r="S174" s="172">
        <f t="shared" ref="S174:V174" si="1016">SUM(S169:S173)</f>
        <v>-122.2393194580078</v>
      </c>
      <c r="T174" s="172">
        <f t="shared" si="1016"/>
        <v>-128.56923439025877</v>
      </c>
      <c r="U174" s="172">
        <f t="shared" si="1016"/>
        <v>-136.29038868904112</v>
      </c>
      <c r="V174" s="172">
        <f t="shared" si="1016"/>
        <v>-131.61668727517124</v>
      </c>
      <c r="W174" s="295"/>
      <c r="X174" s="172">
        <f t="shared" ref="X174:AA174" si="1017">SUM(X169:X173)</f>
        <v>-124.68877318456767</v>
      </c>
      <c r="Y174" s="172">
        <f t="shared" si="1017"/>
        <v>-124.94330733263864</v>
      </c>
      <c r="Z174" s="172">
        <f t="shared" si="1017"/>
        <v>-125.46946293671846</v>
      </c>
      <c r="AA174" s="172">
        <f t="shared" si="1017"/>
        <v>-126.38429326474576</v>
      </c>
      <c r="AB174" s="295"/>
      <c r="AC174" s="172">
        <f t="shared" ref="AC174:AF174" si="1018">SUM(AC169:AC173)</f>
        <v>-127.52518331639368</v>
      </c>
      <c r="AD174" s="172">
        <f t="shared" si="1018"/>
        <v>-128.18591629869192</v>
      </c>
      <c r="AE174" s="172">
        <f t="shared" si="1018"/>
        <v>-128.13800153724605</v>
      </c>
      <c r="AF174" s="172">
        <f t="shared" si="1018"/>
        <v>-127.1189531432717</v>
      </c>
      <c r="AG174" s="295"/>
      <c r="AH174" s="172">
        <f t="shared" ref="AH174:AK174" si="1019">SUM(AH169:AH173)</f>
        <v>-126.55673637678423</v>
      </c>
      <c r="AI174" s="172">
        <f t="shared" si="1019"/>
        <v>-126.79023177581131</v>
      </c>
      <c r="AJ174" s="172">
        <f t="shared" si="1019"/>
        <v>-127.0210973312079</v>
      </c>
      <c r="AK174" s="172">
        <f t="shared" si="1019"/>
        <v>-127.21505163051907</v>
      </c>
      <c r="AL174" s="295"/>
    </row>
    <row r="175" spans="1:38" ht="18" outlineLevel="1" x14ac:dyDescent="0.35">
      <c r="A175" s="167"/>
      <c r="B175" s="60" t="s">
        <v>162</v>
      </c>
      <c r="C175" s="61"/>
      <c r="D175" s="106">
        <v>0</v>
      </c>
      <c r="E175" s="106">
        <v>0</v>
      </c>
      <c r="F175" s="106">
        <v>0</v>
      </c>
      <c r="G175" s="106">
        <v>0</v>
      </c>
      <c r="H175" s="26"/>
      <c r="I175" s="106">
        <v>0</v>
      </c>
      <c r="J175" s="106">
        <v>0</v>
      </c>
      <c r="K175" s="106">
        <v>0</v>
      </c>
      <c r="L175" s="173">
        <v>0</v>
      </c>
      <c r="M175" s="170"/>
      <c r="N175" s="173">
        <v>0</v>
      </c>
      <c r="O175" s="173">
        <v>0</v>
      </c>
      <c r="P175" s="173">
        <v>0</v>
      </c>
      <c r="Q175" s="173">
        <f>-Q25/13</f>
        <v>-86.385875725733868</v>
      </c>
      <c r="R175" s="170"/>
      <c r="S175" s="173">
        <v>0</v>
      </c>
      <c r="T175" s="173">
        <v>0</v>
      </c>
      <c r="U175" s="173">
        <v>0</v>
      </c>
      <c r="V175" s="173">
        <v>0</v>
      </c>
      <c r="W175" s="170"/>
      <c r="X175" s="173">
        <v>0</v>
      </c>
      <c r="Y175" s="173">
        <v>0</v>
      </c>
      <c r="Z175" s="173">
        <v>0</v>
      </c>
      <c r="AA175" s="173">
        <v>0</v>
      </c>
      <c r="AB175" s="170"/>
      <c r="AC175" s="173">
        <v>0</v>
      </c>
      <c r="AD175" s="173">
        <v>0</v>
      </c>
      <c r="AE175" s="173">
        <v>0</v>
      </c>
      <c r="AF175" s="173">
        <v>0</v>
      </c>
      <c r="AG175" s="170"/>
      <c r="AH175" s="173">
        <v>0</v>
      </c>
      <c r="AI175" s="173">
        <v>0</v>
      </c>
      <c r="AJ175" s="173">
        <v>0</v>
      </c>
      <c r="AK175" s="173">
        <v>0</v>
      </c>
      <c r="AL175" s="170"/>
    </row>
    <row r="176" spans="1:38" s="13" customFormat="1" outlineLevel="1" x14ac:dyDescent="0.2">
      <c r="A176" s="182"/>
      <c r="B176" s="210" t="s">
        <v>160</v>
      </c>
      <c r="C176" s="68"/>
      <c r="D176" s="104">
        <f t="shared" ref="D176" si="1020">-D174+D175</f>
        <v>138</v>
      </c>
      <c r="E176" s="104">
        <f t="shared" ref="E176:G176" si="1021">-E174+E175</f>
        <v>141.4</v>
      </c>
      <c r="F176" s="104">
        <f t="shared" si="1021"/>
        <v>125.30000000000001</v>
      </c>
      <c r="G176" s="104">
        <f t="shared" si="1021"/>
        <v>77.399999999999991</v>
      </c>
      <c r="H176" s="33"/>
      <c r="I176" s="104">
        <f t="shared" ref="I176:Q176" si="1022">-I174+I175</f>
        <v>71.599999999999994</v>
      </c>
      <c r="J176" s="104">
        <f t="shared" si="1022"/>
        <v>66.8</v>
      </c>
      <c r="K176" s="104">
        <f t="shared" si="1022"/>
        <v>173.67999999999998</v>
      </c>
      <c r="L176" s="104">
        <f t="shared" si="1022"/>
        <v>187.04000000000002</v>
      </c>
      <c r="M176" s="105"/>
      <c r="N176" s="104">
        <f t="shared" si="1022"/>
        <v>122.65249999999997</v>
      </c>
      <c r="O176" s="104">
        <f t="shared" si="1022"/>
        <v>120.73406249999999</v>
      </c>
      <c r="P176" s="104">
        <f t="shared" si="1022"/>
        <v>118.15082031249997</v>
      </c>
      <c r="Q176" s="104">
        <f t="shared" si="1022"/>
        <v>30.871297125828633</v>
      </c>
      <c r="R176" s="295"/>
      <c r="S176" s="104">
        <f t="shared" ref="S176:V176" si="1023">-S174+S175</f>
        <v>122.2393194580078</v>
      </c>
      <c r="T176" s="104">
        <f t="shared" si="1023"/>
        <v>128.56923439025877</v>
      </c>
      <c r="U176" s="104">
        <f t="shared" si="1023"/>
        <v>136.29038868904112</v>
      </c>
      <c r="V176" s="104">
        <f t="shared" si="1023"/>
        <v>131.61668727517124</v>
      </c>
      <c r="W176" s="295"/>
      <c r="X176" s="104">
        <f t="shared" ref="X176:AA176" si="1024">-X174+X175</f>
        <v>124.68877318456767</v>
      </c>
      <c r="Y176" s="104">
        <f t="shared" si="1024"/>
        <v>124.94330733263864</v>
      </c>
      <c r="Z176" s="104">
        <f t="shared" si="1024"/>
        <v>125.46946293671846</v>
      </c>
      <c r="AA176" s="104">
        <f t="shared" si="1024"/>
        <v>126.38429326474576</v>
      </c>
      <c r="AB176" s="295"/>
      <c r="AC176" s="104">
        <f t="shared" ref="AC176:AF176" si="1025">-AC174+AC175</f>
        <v>127.52518331639368</v>
      </c>
      <c r="AD176" s="104">
        <f t="shared" si="1025"/>
        <v>128.18591629869192</v>
      </c>
      <c r="AE176" s="104">
        <f t="shared" si="1025"/>
        <v>128.13800153724605</v>
      </c>
      <c r="AF176" s="104">
        <f t="shared" si="1025"/>
        <v>127.1189531432717</v>
      </c>
      <c r="AG176" s="295"/>
      <c r="AH176" s="104">
        <f t="shared" ref="AH176:AK176" si="1026">-AH174+AH175</f>
        <v>126.55673637678423</v>
      </c>
      <c r="AI176" s="104">
        <f t="shared" si="1026"/>
        <v>126.79023177581131</v>
      </c>
      <c r="AJ176" s="104">
        <f t="shared" si="1026"/>
        <v>127.0210973312079</v>
      </c>
      <c r="AK176" s="104">
        <f t="shared" si="1026"/>
        <v>127.21505163051907</v>
      </c>
      <c r="AL176" s="295"/>
    </row>
    <row r="177" spans="1:38" outlineLevel="1" x14ac:dyDescent="0.2">
      <c r="A177" s="167"/>
      <c r="B177" s="60" t="s">
        <v>161</v>
      </c>
      <c r="C177" s="61"/>
      <c r="D177" s="102">
        <v>0</v>
      </c>
      <c r="E177" s="169">
        <f>-0.02*E39</f>
        <v>-25.014000000000003</v>
      </c>
      <c r="F177" s="169">
        <f>0.49*F39</f>
        <v>599.27</v>
      </c>
      <c r="G177" s="169">
        <v>0</v>
      </c>
      <c r="H177" s="170"/>
      <c r="I177" s="169">
        <v>0</v>
      </c>
      <c r="J177" s="169">
        <v>0</v>
      </c>
      <c r="K177" s="169">
        <v>0</v>
      </c>
      <c r="L177" s="336">
        <v>0</v>
      </c>
      <c r="M177" s="170"/>
      <c r="N177" s="336">
        <v>0</v>
      </c>
      <c r="O177" s="336">
        <v>0</v>
      </c>
      <c r="P177" s="336">
        <v>0</v>
      </c>
      <c r="Q177" s="336">
        <v>0</v>
      </c>
      <c r="R177" s="170"/>
      <c r="S177" s="336">
        <v>0</v>
      </c>
      <c r="T177" s="336">
        <v>0</v>
      </c>
      <c r="U177" s="336">
        <v>0</v>
      </c>
      <c r="V177" s="336">
        <v>0</v>
      </c>
      <c r="W177" s="170"/>
      <c r="X177" s="336">
        <v>0</v>
      </c>
      <c r="Y177" s="336">
        <v>0</v>
      </c>
      <c r="Z177" s="336">
        <v>0</v>
      </c>
      <c r="AA177" s="336">
        <v>0</v>
      </c>
      <c r="AB177" s="170"/>
      <c r="AC177" s="336">
        <v>0</v>
      </c>
      <c r="AD177" s="336">
        <v>0</v>
      </c>
      <c r="AE177" s="336">
        <v>0</v>
      </c>
      <c r="AF177" s="336">
        <v>0</v>
      </c>
      <c r="AG177" s="170"/>
      <c r="AH177" s="336">
        <v>0</v>
      </c>
      <c r="AI177" s="336">
        <v>0</v>
      </c>
      <c r="AJ177" s="336">
        <v>0</v>
      </c>
      <c r="AK177" s="336">
        <v>0</v>
      </c>
      <c r="AL177" s="170"/>
    </row>
    <row r="178" spans="1:38" outlineLevel="1" x14ac:dyDescent="0.2">
      <c r="A178" s="167"/>
      <c r="B178" s="421" t="s">
        <v>168</v>
      </c>
      <c r="C178" s="422"/>
      <c r="D178" s="102">
        <v>-41.449999999998646</v>
      </c>
      <c r="E178" s="25">
        <v>79.193999999999548</v>
      </c>
      <c r="F178" s="25">
        <v>-55.109999999999197</v>
      </c>
      <c r="G178" s="25">
        <v>30</v>
      </c>
      <c r="H178" s="26"/>
      <c r="I178" s="25">
        <v>11</v>
      </c>
      <c r="J178" s="25">
        <v>23</v>
      </c>
      <c r="K178" s="25">
        <f>0.03*K39</f>
        <v>35.055</v>
      </c>
      <c r="L178" s="169">
        <v>47</v>
      </c>
      <c r="M178" s="170"/>
      <c r="N178" s="169">
        <f>N179*N176</f>
        <v>24.530499999999996</v>
      </c>
      <c r="O178" s="169">
        <f t="shared" ref="O178:Q178" si="1027">O179*O176</f>
        <v>24.146812499999999</v>
      </c>
      <c r="P178" s="169">
        <f t="shared" si="1027"/>
        <v>23.630164062499997</v>
      </c>
      <c r="Q178" s="169">
        <f t="shared" si="1027"/>
        <v>6.1742594251657268</v>
      </c>
      <c r="R178" s="170"/>
      <c r="S178" s="169">
        <f>S179*S176</f>
        <v>24.44786389160156</v>
      </c>
      <c r="T178" s="169">
        <f t="shared" ref="T178" si="1028">T179*T176</f>
        <v>25.713846878051754</v>
      </c>
      <c r="U178" s="169">
        <f t="shared" ref="U178" si="1029">U179*U176</f>
        <v>27.258077737808225</v>
      </c>
      <c r="V178" s="169">
        <f t="shared" ref="V178" si="1030">V179*V176</f>
        <v>26.323337455034249</v>
      </c>
      <c r="W178" s="170"/>
      <c r="X178" s="169">
        <f>X179*X176</f>
        <v>24.937754636913535</v>
      </c>
      <c r="Y178" s="169">
        <f t="shared" ref="Y178" si="1031">Y179*Y176</f>
        <v>24.988661466527731</v>
      </c>
      <c r="Z178" s="169">
        <f t="shared" ref="Z178" si="1032">Z179*Z176</f>
        <v>25.093892587343692</v>
      </c>
      <c r="AA178" s="169">
        <f t="shared" ref="AA178" si="1033">AA179*AA176</f>
        <v>25.276858652949155</v>
      </c>
      <c r="AB178" s="170"/>
      <c r="AC178" s="169">
        <f>AC179*AC176</f>
        <v>25.505036663278737</v>
      </c>
      <c r="AD178" s="169">
        <f t="shared" ref="AD178" si="1034">AD179*AD176</f>
        <v>25.637183259738386</v>
      </c>
      <c r="AE178" s="169">
        <f t="shared" ref="AE178" si="1035">AE179*AE176</f>
        <v>25.627600307449214</v>
      </c>
      <c r="AF178" s="169">
        <f t="shared" ref="AF178" si="1036">AF179*AF176</f>
        <v>25.423790628654341</v>
      </c>
      <c r="AG178" s="170"/>
      <c r="AH178" s="169">
        <f>AH179*AH176</f>
        <v>25.311347275356848</v>
      </c>
      <c r="AI178" s="169">
        <f t="shared" ref="AI178" si="1037">AI179*AI176</f>
        <v>25.358046355162262</v>
      </c>
      <c r="AJ178" s="169">
        <f t="shared" ref="AJ178" si="1038">AJ179*AJ176</f>
        <v>25.404219466241582</v>
      </c>
      <c r="AK178" s="169">
        <f t="shared" ref="AK178" si="1039">AK179*AK176</f>
        <v>25.443010326103817</v>
      </c>
      <c r="AL178" s="170"/>
    </row>
    <row r="179" spans="1:38" outlineLevel="1" x14ac:dyDescent="0.2">
      <c r="A179" s="167"/>
      <c r="B179" s="70" t="s">
        <v>169</v>
      </c>
      <c r="C179" s="89"/>
      <c r="D179" s="146">
        <f t="shared" ref="D179:G179" si="1040">D178/D176</f>
        <v>-0.30036231884056991</v>
      </c>
      <c r="E179" s="146">
        <f t="shared" si="1040"/>
        <v>0.56007072135784686</v>
      </c>
      <c r="F179" s="146">
        <f t="shared" si="1040"/>
        <v>-0.43982442138866074</v>
      </c>
      <c r="G179" s="146">
        <f t="shared" si="1040"/>
        <v>0.38759689922480622</v>
      </c>
      <c r="H179" s="58"/>
      <c r="I179" s="146">
        <f t="shared" ref="I179:K179" si="1041">I178/I176</f>
        <v>0.15363128491620112</v>
      </c>
      <c r="J179" s="146">
        <f t="shared" si="1041"/>
        <v>0.34431137724550898</v>
      </c>
      <c r="K179" s="146">
        <f t="shared" si="1041"/>
        <v>0.20183671119299865</v>
      </c>
      <c r="L179" s="361">
        <v>0.25</v>
      </c>
      <c r="M179" s="324"/>
      <c r="N179" s="361">
        <v>0.2</v>
      </c>
      <c r="O179" s="361">
        <v>0.2</v>
      </c>
      <c r="P179" s="361">
        <v>0.2</v>
      </c>
      <c r="Q179" s="361">
        <v>0.2</v>
      </c>
      <c r="R179" s="324"/>
      <c r="S179" s="361">
        <v>0.2</v>
      </c>
      <c r="T179" s="361">
        <v>0.2</v>
      </c>
      <c r="U179" s="361">
        <v>0.2</v>
      </c>
      <c r="V179" s="361">
        <v>0.2</v>
      </c>
      <c r="W179" s="324"/>
      <c r="X179" s="361">
        <v>0.2</v>
      </c>
      <c r="Y179" s="361">
        <v>0.2</v>
      </c>
      <c r="Z179" s="361">
        <v>0.2</v>
      </c>
      <c r="AA179" s="361">
        <v>0.2</v>
      </c>
      <c r="AB179" s="324"/>
      <c r="AC179" s="361">
        <v>0.2</v>
      </c>
      <c r="AD179" s="361">
        <v>0.2</v>
      </c>
      <c r="AE179" s="361">
        <v>0.2</v>
      </c>
      <c r="AF179" s="361">
        <v>0.2</v>
      </c>
      <c r="AG179" s="324"/>
      <c r="AH179" s="361">
        <v>0.2</v>
      </c>
      <c r="AI179" s="361">
        <v>0.2</v>
      </c>
      <c r="AJ179" s="361">
        <v>0.2</v>
      </c>
      <c r="AK179" s="361">
        <v>0.2</v>
      </c>
      <c r="AL179" s="324"/>
    </row>
    <row r="180" spans="1:38" x14ac:dyDescent="0.2">
      <c r="A180" s="167"/>
      <c r="B180" s="12"/>
      <c r="C180" s="12"/>
      <c r="D180" s="149"/>
      <c r="E180" s="82"/>
      <c r="F180" s="82"/>
      <c r="G180" s="82"/>
      <c r="H180" s="82"/>
      <c r="I180" s="82"/>
      <c r="J180" s="82"/>
      <c r="K180" s="82"/>
      <c r="L180" s="82"/>
      <c r="M180" s="82"/>
      <c r="N180" s="17"/>
      <c r="P180" s="1"/>
      <c r="Q180" s="1"/>
      <c r="R180" s="82"/>
      <c r="U180" s="1"/>
      <c r="V180" s="1"/>
      <c r="W180" s="82"/>
      <c r="Z180" s="1"/>
      <c r="AA180" s="1"/>
      <c r="AB180" s="82"/>
      <c r="AE180" s="1"/>
      <c r="AF180" s="1"/>
      <c r="AG180" s="82"/>
      <c r="AJ180" s="1"/>
      <c r="AK180" s="1"/>
      <c r="AL180" s="82"/>
    </row>
    <row r="181" spans="1:38" ht="16" x14ac:dyDescent="0.2">
      <c r="A181" s="167"/>
      <c r="B181" s="417" t="s">
        <v>70</v>
      </c>
      <c r="C181" s="436"/>
      <c r="D181" s="22" t="s">
        <v>59</v>
      </c>
      <c r="E181" s="22" t="s">
        <v>213</v>
      </c>
      <c r="F181" s="22" t="s">
        <v>215</v>
      </c>
      <c r="G181" s="22" t="s">
        <v>73</v>
      </c>
      <c r="H181" s="77" t="s">
        <v>73</v>
      </c>
      <c r="I181" s="22" t="s">
        <v>74</v>
      </c>
      <c r="J181" s="22" t="s">
        <v>75</v>
      </c>
      <c r="K181" s="22" t="s">
        <v>76</v>
      </c>
      <c r="L181" s="24" t="s">
        <v>77</v>
      </c>
      <c r="M181" s="79" t="s">
        <v>77</v>
      </c>
      <c r="N181" s="24" t="s">
        <v>78</v>
      </c>
      <c r="O181" s="24" t="s">
        <v>79</v>
      </c>
      <c r="P181" s="24" t="s">
        <v>80</v>
      </c>
      <c r="Q181" s="24" t="s">
        <v>81</v>
      </c>
      <c r="R181" s="79" t="s">
        <v>81</v>
      </c>
      <c r="S181" s="24" t="s">
        <v>82</v>
      </c>
      <c r="T181" s="24" t="s">
        <v>83</v>
      </c>
      <c r="U181" s="24" t="s">
        <v>84</v>
      </c>
      <c r="V181" s="24" t="s">
        <v>85</v>
      </c>
      <c r="W181" s="79" t="s">
        <v>85</v>
      </c>
      <c r="X181" s="24" t="s">
        <v>86</v>
      </c>
      <c r="Y181" s="24" t="s">
        <v>87</v>
      </c>
      <c r="Z181" s="24" t="s">
        <v>88</v>
      </c>
      <c r="AA181" s="24" t="s">
        <v>89</v>
      </c>
      <c r="AB181" s="79" t="s">
        <v>89</v>
      </c>
      <c r="AC181" s="24" t="s">
        <v>217</v>
      </c>
      <c r="AD181" s="24" t="s">
        <v>218</v>
      </c>
      <c r="AE181" s="24" t="s">
        <v>219</v>
      </c>
      <c r="AF181" s="24" t="s">
        <v>220</v>
      </c>
      <c r="AG181" s="79" t="s">
        <v>220</v>
      </c>
      <c r="AH181" s="24" t="s">
        <v>250</v>
      </c>
      <c r="AI181" s="24" t="s">
        <v>251</v>
      </c>
      <c r="AJ181" s="24" t="s">
        <v>252</v>
      </c>
      <c r="AK181" s="24" t="s">
        <v>253</v>
      </c>
      <c r="AL181" s="79" t="s">
        <v>253</v>
      </c>
    </row>
    <row r="182" spans="1:38" ht="18" x14ac:dyDescent="0.35">
      <c r="A182" s="167"/>
      <c r="B182" s="64" t="s">
        <v>3</v>
      </c>
      <c r="C182" s="81"/>
      <c r="D182" s="23" t="s">
        <v>72</v>
      </c>
      <c r="E182" s="23" t="s">
        <v>212</v>
      </c>
      <c r="F182" s="23" t="s">
        <v>216</v>
      </c>
      <c r="G182" s="23" t="s">
        <v>226</v>
      </c>
      <c r="H182" s="78" t="s">
        <v>227</v>
      </c>
      <c r="I182" s="23" t="s">
        <v>228</v>
      </c>
      <c r="J182" s="23" t="s">
        <v>229</v>
      </c>
      <c r="K182" s="23" t="s">
        <v>230</v>
      </c>
      <c r="L182" s="21" t="s">
        <v>90</v>
      </c>
      <c r="M182" s="80" t="s">
        <v>91</v>
      </c>
      <c r="N182" s="21" t="s">
        <v>92</v>
      </c>
      <c r="O182" s="21" t="s">
        <v>93</v>
      </c>
      <c r="P182" s="21" t="s">
        <v>94</v>
      </c>
      <c r="Q182" s="21" t="s">
        <v>95</v>
      </c>
      <c r="R182" s="80" t="s">
        <v>96</v>
      </c>
      <c r="S182" s="21" t="s">
        <v>97</v>
      </c>
      <c r="T182" s="21" t="s">
        <v>98</v>
      </c>
      <c r="U182" s="21" t="s">
        <v>99</v>
      </c>
      <c r="V182" s="21" t="s">
        <v>100</v>
      </c>
      <c r="W182" s="80" t="s">
        <v>101</v>
      </c>
      <c r="X182" s="21" t="s">
        <v>102</v>
      </c>
      <c r="Y182" s="21" t="s">
        <v>103</v>
      </c>
      <c r="Z182" s="21" t="s">
        <v>104</v>
      </c>
      <c r="AA182" s="21" t="s">
        <v>105</v>
      </c>
      <c r="AB182" s="80" t="s">
        <v>106</v>
      </c>
      <c r="AC182" s="21" t="s">
        <v>221</v>
      </c>
      <c r="AD182" s="21" t="s">
        <v>222</v>
      </c>
      <c r="AE182" s="21" t="s">
        <v>223</v>
      </c>
      <c r="AF182" s="21" t="s">
        <v>224</v>
      </c>
      <c r="AG182" s="80" t="s">
        <v>225</v>
      </c>
      <c r="AH182" s="21" t="s">
        <v>254</v>
      </c>
      <c r="AI182" s="21" t="s">
        <v>255</v>
      </c>
      <c r="AJ182" s="21" t="s">
        <v>256</v>
      </c>
      <c r="AK182" s="21" t="s">
        <v>257</v>
      </c>
      <c r="AL182" s="80" t="s">
        <v>258</v>
      </c>
    </row>
    <row r="183" spans="1:38" ht="14.5" customHeight="1" x14ac:dyDescent="0.2">
      <c r="A183" s="167"/>
      <c r="B183" s="417" t="s">
        <v>6</v>
      </c>
      <c r="C183" s="436"/>
      <c r="D183" s="22"/>
      <c r="E183" s="22"/>
      <c r="F183" s="22"/>
      <c r="G183" s="222"/>
      <c r="H183" s="223"/>
      <c r="I183" s="222"/>
      <c r="J183" s="22"/>
      <c r="K183" s="22"/>
      <c r="L183" s="24"/>
      <c r="M183" s="79"/>
      <c r="N183" s="24"/>
      <c r="O183" s="24"/>
      <c r="P183" s="24"/>
      <c r="Q183" s="24"/>
      <c r="R183" s="79"/>
      <c r="S183" s="24"/>
      <c r="T183" s="24"/>
      <c r="U183" s="24"/>
      <c r="V183" s="24"/>
      <c r="W183" s="79"/>
      <c r="X183" s="24"/>
      <c r="Y183" s="24"/>
      <c r="Z183" s="24"/>
      <c r="AA183" s="24"/>
      <c r="AB183" s="79"/>
      <c r="AC183" s="24"/>
      <c r="AD183" s="24"/>
      <c r="AE183" s="24"/>
      <c r="AF183" s="24"/>
      <c r="AG183" s="79"/>
      <c r="AH183" s="24"/>
      <c r="AI183" s="24"/>
      <c r="AJ183" s="24"/>
      <c r="AK183" s="24"/>
      <c r="AL183" s="79"/>
    </row>
    <row r="184" spans="1:38" ht="14.5" customHeight="1" outlineLevel="1" x14ac:dyDescent="0.2">
      <c r="A184" s="167"/>
      <c r="B184" s="421" t="s">
        <v>26</v>
      </c>
      <c r="C184" s="422"/>
      <c r="D184" s="25">
        <f>D276</f>
        <v>4761.6000000000004</v>
      </c>
      <c r="E184" s="25">
        <f t="shared" ref="E184:G184" si="1042">E276</f>
        <v>2055.1000000000004</v>
      </c>
      <c r="F184" s="25">
        <f t="shared" si="1042"/>
        <v>4763.4000000000015</v>
      </c>
      <c r="G184" s="169">
        <f t="shared" si="1042"/>
        <v>2686.6000000000022</v>
      </c>
      <c r="H184" s="26">
        <f>G184</f>
        <v>2686.6000000000022</v>
      </c>
      <c r="I184" s="25">
        <f>I276</f>
        <v>3040.5000000000036</v>
      </c>
      <c r="J184" s="25">
        <f>J276</f>
        <v>2572.3000000000029</v>
      </c>
      <c r="K184" s="25">
        <f>K276</f>
        <v>3965.9000000000042</v>
      </c>
      <c r="L184" s="371">
        <f>L276</f>
        <v>3510.7626443626768</v>
      </c>
      <c r="M184" s="170">
        <f>L184</f>
        <v>3510.7626443626768</v>
      </c>
      <c r="N184" s="371">
        <f t="shared" ref="N184:AK184" si="1043">N276</f>
        <v>3681.5614329346117</v>
      </c>
      <c r="O184" s="371">
        <f t="shared" si="1043"/>
        <v>3169.3807674837262</v>
      </c>
      <c r="P184" s="371">
        <f t="shared" si="1043"/>
        <v>2563.0253241571982</v>
      </c>
      <c r="Q184" s="371">
        <f t="shared" si="1043"/>
        <v>2238.5526305111189</v>
      </c>
      <c r="R184" s="170">
        <f>Q184</f>
        <v>2238.5526305111189</v>
      </c>
      <c r="S184" s="371">
        <f t="shared" si="1043"/>
        <v>2594.6484044853055</v>
      </c>
      <c r="T184" s="371">
        <f t="shared" si="1043"/>
        <v>2127.0115522110636</v>
      </c>
      <c r="U184" s="371">
        <f t="shared" si="1043"/>
        <v>1980.7839731025251</v>
      </c>
      <c r="V184" s="371">
        <f t="shared" si="1043"/>
        <v>1621.8990419797519</v>
      </c>
      <c r="W184" s="170">
        <f>V184</f>
        <v>1621.8990419797519</v>
      </c>
      <c r="X184" s="371">
        <f t="shared" si="1043"/>
        <v>2023.405317523521</v>
      </c>
      <c r="Y184" s="371">
        <f t="shared" si="1043"/>
        <v>1560.350275370869</v>
      </c>
      <c r="Z184" s="371">
        <f t="shared" si="1043"/>
        <v>1445.165331372762</v>
      </c>
      <c r="AA184" s="371">
        <f t="shared" si="1043"/>
        <v>1097.0829644749131</v>
      </c>
      <c r="AB184" s="170">
        <f>AA184</f>
        <v>1097.0829644749131</v>
      </c>
      <c r="AC184" s="371">
        <f t="shared" si="1043"/>
        <v>1436.3384298427618</v>
      </c>
      <c r="AD184" s="371">
        <f t="shared" si="1043"/>
        <v>848.92401754428408</v>
      </c>
      <c r="AE184" s="371">
        <f t="shared" si="1043"/>
        <v>634.11536562568779</v>
      </c>
      <c r="AF184" s="371">
        <f t="shared" si="1043"/>
        <v>173.82864827005994</v>
      </c>
      <c r="AG184" s="170">
        <f>AF184</f>
        <v>173.82864827005994</v>
      </c>
      <c r="AH184" s="371">
        <f t="shared" si="1043"/>
        <v>231.48368077486248</v>
      </c>
      <c r="AI184" s="371">
        <f t="shared" si="1043"/>
        <v>-693.6949534390377</v>
      </c>
      <c r="AJ184" s="371">
        <f t="shared" si="1043"/>
        <v>-1217.9569806880982</v>
      </c>
      <c r="AK184" s="371">
        <f t="shared" si="1043"/>
        <v>-1999.8582529559308</v>
      </c>
      <c r="AL184" s="170">
        <f>AK184</f>
        <v>-1999.8582529559308</v>
      </c>
    </row>
    <row r="185" spans="1:38" ht="14.5" customHeight="1" outlineLevel="1" x14ac:dyDescent="0.2">
      <c r="A185" s="167"/>
      <c r="B185" s="339" t="s">
        <v>170</v>
      </c>
      <c r="C185" s="61"/>
      <c r="D185" s="25">
        <v>230.2</v>
      </c>
      <c r="E185" s="25">
        <v>76.599999999999994</v>
      </c>
      <c r="F185" s="25">
        <v>72.099999999999994</v>
      </c>
      <c r="G185" s="25">
        <v>70.5</v>
      </c>
      <c r="H185" s="26">
        <f>+G185</f>
        <v>70.5</v>
      </c>
      <c r="I185" s="25">
        <v>68.400000000000006</v>
      </c>
      <c r="J185" s="25">
        <v>52.9</v>
      </c>
      <c r="K185" s="25">
        <v>229.9</v>
      </c>
      <c r="L185" s="169">
        <f>L231*L220*L232</f>
        <v>85.242506093414562</v>
      </c>
      <c r="M185" s="170">
        <f t="shared" ref="M185:M189" si="1044">L185</f>
        <v>85.242506093414562</v>
      </c>
      <c r="N185" s="169">
        <f>N231*N220*N232</f>
        <v>85.378137461917859</v>
      </c>
      <c r="O185" s="169">
        <f>O231*O220*O232</f>
        <v>82.116515438739057</v>
      </c>
      <c r="P185" s="169">
        <f>P231*P220*P232</f>
        <v>80.394014615669036</v>
      </c>
      <c r="Q185" s="169">
        <f>Q231*Q220*Q232</f>
        <v>80.056356730535029</v>
      </c>
      <c r="R185" s="170">
        <f t="shared" ref="R185:R189" si="1045">Q185</f>
        <v>80.056356730535029</v>
      </c>
      <c r="S185" s="169">
        <f>S231*S220*S232</f>
        <v>81.006069706597046</v>
      </c>
      <c r="T185" s="169">
        <f>T231*T220*T232</f>
        <v>78.129291308322038</v>
      </c>
      <c r="U185" s="169">
        <f>U231*U220*U232</f>
        <v>78.195513144467569</v>
      </c>
      <c r="V185" s="169">
        <f>V231*V220*V232</f>
        <v>78.078057432806304</v>
      </c>
      <c r="W185" s="170">
        <f t="shared" ref="W185:W190" si="1046">V185</f>
        <v>78.078057432806304</v>
      </c>
      <c r="X185" s="169">
        <f>X231*X220*X232</f>
        <v>79.245455175629047</v>
      </c>
      <c r="Y185" s="169">
        <f>Y231*Y220*Y232</f>
        <v>76.358715166912035</v>
      </c>
      <c r="Z185" s="169">
        <f>Z231*Z220*Z232</f>
        <v>76.620009330663606</v>
      </c>
      <c r="AA185" s="169">
        <f>AA231*AA220*AA232</f>
        <v>76.656526423912936</v>
      </c>
      <c r="AB185" s="170">
        <f t="shared" ref="AB185:AB190" si="1047">AA185</f>
        <v>76.656526423912936</v>
      </c>
      <c r="AC185" s="169">
        <f>AC231*AC220*AC232</f>
        <v>77.70827558133432</v>
      </c>
      <c r="AD185" s="169">
        <f>AD231*AD220*AD232</f>
        <v>74.400188165237481</v>
      </c>
      <c r="AE185" s="169">
        <f>AE231*AE220*AE232</f>
        <v>74.444795178498765</v>
      </c>
      <c r="AF185" s="169">
        <f>AF231*AF220*AF232</f>
        <v>74.251321397239039</v>
      </c>
      <c r="AG185" s="170">
        <f t="shared" ref="AG185:AG190" si="1048">AF185</f>
        <v>74.251321397239039</v>
      </c>
      <c r="AH185" s="169">
        <f>AH231*AH220*AH232</f>
        <v>74.558186947754962</v>
      </c>
      <c r="AI185" s="169">
        <f>AI231*AI220*AI232</f>
        <v>70.160308827684787</v>
      </c>
      <c r="AJ185" s="169">
        <f>AJ231*AJ220*AJ232</f>
        <v>69.347630688537166</v>
      </c>
      <c r="AK185" s="169">
        <f>AK231*AK220*AK232</f>
        <v>68.288971045219199</v>
      </c>
      <c r="AL185" s="170">
        <f t="shared" ref="AL185:AL190" si="1049">AK185</f>
        <v>68.288971045219199</v>
      </c>
    </row>
    <row r="186" spans="1:38" s="34" customFormat="1" ht="14.5" customHeight="1" outlineLevel="1" x14ac:dyDescent="0.2">
      <c r="A186" s="232"/>
      <c r="B186" s="421" t="s">
        <v>171</v>
      </c>
      <c r="C186" s="422"/>
      <c r="D186" s="25">
        <v>721.4</v>
      </c>
      <c r="E186" s="25">
        <v>703.6</v>
      </c>
      <c r="F186" s="25">
        <v>790.6</v>
      </c>
      <c r="G186" s="25">
        <v>879</v>
      </c>
      <c r="H186" s="26">
        <f>G186</f>
        <v>879</v>
      </c>
      <c r="I186" s="25">
        <v>908.1</v>
      </c>
      <c r="J186" s="25">
        <v>941</v>
      </c>
      <c r="K186" s="25">
        <v>881.1</v>
      </c>
      <c r="L186" s="169">
        <f>L16/L225</f>
        <v>912.53619204198856</v>
      </c>
      <c r="M186" s="170">
        <f t="shared" si="1044"/>
        <v>912.53619204198856</v>
      </c>
      <c r="N186" s="169">
        <f t="shared" ref="N186:Q186" si="1050">N16/N225</f>
        <v>921.40787174978914</v>
      </c>
      <c r="O186" s="169">
        <f t="shared" si="1050"/>
        <v>818.96840755890821</v>
      </c>
      <c r="P186" s="169">
        <f t="shared" si="1050"/>
        <v>873.20491723610633</v>
      </c>
      <c r="Q186" s="169">
        <f t="shared" si="1050"/>
        <v>943.43179672690053</v>
      </c>
      <c r="R186" s="170">
        <f t="shared" si="1045"/>
        <v>943.43179672690053</v>
      </c>
      <c r="S186" s="169">
        <f t="shared" ref="S186:V186" si="1051">S16/S225</f>
        <v>970.20735265685664</v>
      </c>
      <c r="T186" s="169">
        <f t="shared" si="1051"/>
        <v>860.13790257514142</v>
      </c>
      <c r="U186" s="169">
        <f t="shared" si="1051"/>
        <v>920.27549593751144</v>
      </c>
      <c r="V186" s="169">
        <f t="shared" si="1051"/>
        <v>991.61445977704</v>
      </c>
      <c r="W186" s="170">
        <f t="shared" si="1046"/>
        <v>991.61445977704</v>
      </c>
      <c r="X186" s="169">
        <f t="shared" ref="X186:AA186" si="1052">X16/X225</f>
        <v>1020.1426459885523</v>
      </c>
      <c r="Y186" s="169">
        <f t="shared" si="1052"/>
        <v>903.05066252293204</v>
      </c>
      <c r="Z186" s="169">
        <f t="shared" si="1052"/>
        <v>966.74397238942345</v>
      </c>
      <c r="AA186" s="169">
        <f t="shared" si="1052"/>
        <v>1041.8655272037088</v>
      </c>
      <c r="AB186" s="170">
        <f t="shared" si="1047"/>
        <v>1041.8655272037088</v>
      </c>
      <c r="AC186" s="169">
        <f t="shared" ref="AC186:AF186" si="1053">AC16/AC225</f>
        <v>1072.9182188560453</v>
      </c>
      <c r="AD186" s="169">
        <f t="shared" si="1053"/>
        <v>948.40116673882449</v>
      </c>
      <c r="AE186" s="169">
        <f t="shared" si="1053"/>
        <v>1015.4922818770135</v>
      </c>
      <c r="AF186" s="169">
        <f t="shared" si="1053"/>
        <v>1094.6195600220935</v>
      </c>
      <c r="AG186" s="170">
        <f t="shared" si="1048"/>
        <v>1094.6195600220935</v>
      </c>
      <c r="AH186" s="169">
        <f t="shared" ref="AH186:AK186" si="1054">AH16/AH225</f>
        <v>1134.3535161650148</v>
      </c>
      <c r="AI186" s="169">
        <f t="shared" si="1054"/>
        <v>1001.3647166348392</v>
      </c>
      <c r="AJ186" s="169">
        <f t="shared" si="1054"/>
        <v>1072.3984765544099</v>
      </c>
      <c r="AK186" s="169">
        <f t="shared" si="1054"/>
        <v>1156.2401759246225</v>
      </c>
      <c r="AL186" s="170">
        <f t="shared" si="1049"/>
        <v>1156.2401759246225</v>
      </c>
    </row>
    <row r="187" spans="1:38" s="34" customFormat="1" ht="14.5" customHeight="1" outlineLevel="1" x14ac:dyDescent="0.2">
      <c r="A187" s="232"/>
      <c r="B187" s="60" t="s">
        <v>172</v>
      </c>
      <c r="C187" s="61"/>
      <c r="D187" s="25">
        <v>1354.6</v>
      </c>
      <c r="E187" s="25">
        <v>1443</v>
      </c>
      <c r="F187" s="25">
        <v>1517.2</v>
      </c>
      <c r="G187" s="25">
        <v>1529.4</v>
      </c>
      <c r="H187" s="26">
        <f>G187</f>
        <v>1529.4</v>
      </c>
      <c r="I187" s="25">
        <v>1408.7</v>
      </c>
      <c r="J187" s="25">
        <v>1492.2</v>
      </c>
      <c r="K187" s="25">
        <v>1583.8</v>
      </c>
      <c r="L187" s="169">
        <f>L17/L227</f>
        <v>1736.5072429318925</v>
      </c>
      <c r="M187" s="170">
        <f t="shared" si="1044"/>
        <v>1736.5072429318925</v>
      </c>
      <c r="N187" s="169">
        <f t="shared" ref="N187:Q187" si="1055">N17/N227</f>
        <v>1626.5797840746088</v>
      </c>
      <c r="O187" s="169">
        <f t="shared" si="1055"/>
        <v>1448.6312165178654</v>
      </c>
      <c r="P187" s="169">
        <f t="shared" si="1055"/>
        <v>1591.1682897624278</v>
      </c>
      <c r="Q187" s="169">
        <f t="shared" si="1055"/>
        <v>1852.1905983719946</v>
      </c>
      <c r="R187" s="170">
        <f t="shared" si="1045"/>
        <v>1852.1905983719946</v>
      </c>
      <c r="S187" s="169">
        <f t="shared" ref="S187:V187" si="1056">S17/S227</f>
        <v>1719.9345718965155</v>
      </c>
      <c r="T187" s="169">
        <f t="shared" si="1056"/>
        <v>1528.4177178041698</v>
      </c>
      <c r="U187" s="169">
        <f t="shared" si="1056"/>
        <v>1682.4393999807928</v>
      </c>
      <c r="V187" s="169">
        <f t="shared" si="1056"/>
        <v>1954.1161511702203</v>
      </c>
      <c r="W187" s="170">
        <f t="shared" si="1046"/>
        <v>1954.1161511702203</v>
      </c>
      <c r="X187" s="169">
        <f t="shared" ref="X187:AA187" si="1057">X17/X227</f>
        <v>1815.1627870310688</v>
      </c>
      <c r="Y187" s="169">
        <f t="shared" si="1057"/>
        <v>1610.4801013581061</v>
      </c>
      <c r="Z187" s="169">
        <f t="shared" si="1057"/>
        <v>1773.5894770227901</v>
      </c>
      <c r="AA187" s="169">
        <f t="shared" si="1057"/>
        <v>2060.6853002430466</v>
      </c>
      <c r="AB187" s="170">
        <f t="shared" si="1047"/>
        <v>2060.6853002430466</v>
      </c>
      <c r="AC187" s="169">
        <f t="shared" ref="AC187:AF187" si="1058">AC17/AC227</f>
        <v>1915.8680680004304</v>
      </c>
      <c r="AD187" s="169">
        <f t="shared" si="1058"/>
        <v>1697.3074210583079</v>
      </c>
      <c r="AE187" s="169">
        <f t="shared" si="1058"/>
        <v>1869.5798187333271</v>
      </c>
      <c r="AF187" s="169">
        <f t="shared" si="1058"/>
        <v>2172.8967581341767</v>
      </c>
      <c r="AG187" s="170">
        <f t="shared" si="1048"/>
        <v>2172.8967581341767</v>
      </c>
      <c r="AH187" s="169">
        <f t="shared" ref="AH187:AK187" si="1059">AH17/AH227</f>
        <v>2030.2960406319664</v>
      </c>
      <c r="AI187" s="169">
        <f t="shared" si="1059"/>
        <v>1796.2033394358023</v>
      </c>
      <c r="AJ187" s="169">
        <f t="shared" si="1059"/>
        <v>1978.9251929508016</v>
      </c>
      <c r="AK187" s="169">
        <f t="shared" si="1059"/>
        <v>2300.7008110529137</v>
      </c>
      <c r="AL187" s="170">
        <f t="shared" si="1049"/>
        <v>2300.7008110529137</v>
      </c>
    </row>
    <row r="188" spans="1:38" ht="16.25" customHeight="1" outlineLevel="1" x14ac:dyDescent="0.35">
      <c r="A188" s="167"/>
      <c r="B188" s="421" t="s">
        <v>48</v>
      </c>
      <c r="C188" s="422"/>
      <c r="D188" s="28">
        <v>608.5</v>
      </c>
      <c r="E188" s="184">
        <v>674</v>
      </c>
      <c r="F188" s="184">
        <v>591.6</v>
      </c>
      <c r="G188" s="184">
        <v>488.2</v>
      </c>
      <c r="H188" s="29">
        <f>G188</f>
        <v>488.2</v>
      </c>
      <c r="I188" s="184">
        <v>474</v>
      </c>
      <c r="J188" s="184">
        <v>691.5</v>
      </c>
      <c r="K188" s="184">
        <v>920.3</v>
      </c>
      <c r="L188" s="51">
        <f>K188*0.85</f>
        <v>782.255</v>
      </c>
      <c r="M188" s="294">
        <f t="shared" si="1044"/>
        <v>782.255</v>
      </c>
      <c r="N188" s="51">
        <f>L188*0.95</f>
        <v>743.14224999999999</v>
      </c>
      <c r="O188" s="51">
        <f>N188*0.9</f>
        <v>668.82802500000003</v>
      </c>
      <c r="P188" s="51">
        <f>O188*0.9</f>
        <v>601.9452225</v>
      </c>
      <c r="Q188" s="51">
        <f>P188*0.9</f>
        <v>541.75070025000002</v>
      </c>
      <c r="R188" s="294">
        <f t="shared" si="1045"/>
        <v>541.75070025000002</v>
      </c>
      <c r="S188" s="51">
        <f>Q188*1.02</f>
        <v>552.58571425500008</v>
      </c>
      <c r="T188" s="51">
        <f>S188*1.02</f>
        <v>563.63742854010013</v>
      </c>
      <c r="U188" s="51">
        <f>T188*1.02</f>
        <v>574.91017711090217</v>
      </c>
      <c r="V188" s="51">
        <f>U188*1.02</f>
        <v>586.40838065312028</v>
      </c>
      <c r="W188" s="294">
        <f t="shared" si="1046"/>
        <v>586.40838065312028</v>
      </c>
      <c r="X188" s="51">
        <f>V188*1.02</f>
        <v>598.13654826618267</v>
      </c>
      <c r="Y188" s="51">
        <f>X188*1.02</f>
        <v>610.09927923150633</v>
      </c>
      <c r="Z188" s="51">
        <f>Y188*1.02</f>
        <v>622.3012648161365</v>
      </c>
      <c r="AA188" s="51">
        <f>Z188*1.02</f>
        <v>634.74729011245927</v>
      </c>
      <c r="AB188" s="294">
        <f t="shared" si="1047"/>
        <v>634.74729011245927</v>
      </c>
      <c r="AC188" s="363">
        <f>AA188*1.02</f>
        <v>647.44223591470848</v>
      </c>
      <c r="AD188" s="363">
        <f>AC188*1.02</f>
        <v>660.39108063300262</v>
      </c>
      <c r="AE188" s="363">
        <f t="shared" ref="AE188:AF188" si="1060">AD188*1.02</f>
        <v>673.59890224566266</v>
      </c>
      <c r="AF188" s="363">
        <f t="shared" si="1060"/>
        <v>687.07088029057593</v>
      </c>
      <c r="AG188" s="294">
        <f t="shared" si="1048"/>
        <v>687.07088029057593</v>
      </c>
      <c r="AH188" s="363">
        <f>AF188*1.02</f>
        <v>700.81229789638746</v>
      </c>
      <c r="AI188" s="363">
        <f>AH188*1.02</f>
        <v>714.82854385431517</v>
      </c>
      <c r="AJ188" s="363">
        <f t="shared" ref="AJ188:AK188" si="1061">AI188*1.02</f>
        <v>729.12511473140148</v>
      </c>
      <c r="AK188" s="363">
        <f t="shared" si="1061"/>
        <v>743.70761702602954</v>
      </c>
      <c r="AL188" s="294">
        <f t="shared" si="1049"/>
        <v>743.70761702602954</v>
      </c>
    </row>
    <row r="189" spans="1:38" ht="14.5" customHeight="1" outlineLevel="1" x14ac:dyDescent="0.2">
      <c r="A189" s="167"/>
      <c r="B189" s="62" t="s">
        <v>4</v>
      </c>
      <c r="C189" s="63"/>
      <c r="D189" s="32">
        <f t="shared" ref="D189:AK189" si="1062">SUM(D184:D188)</f>
        <v>7676.2999999999993</v>
      </c>
      <c r="E189" s="32">
        <f t="shared" si="1062"/>
        <v>4952.3</v>
      </c>
      <c r="F189" s="32">
        <f t="shared" si="1062"/>
        <v>7734.9000000000024</v>
      </c>
      <c r="G189" s="32">
        <f t="shared" si="1062"/>
        <v>5653.7000000000016</v>
      </c>
      <c r="H189" s="33">
        <f t="shared" si="1062"/>
        <v>5653.7000000000016</v>
      </c>
      <c r="I189" s="32">
        <f t="shared" si="1062"/>
        <v>5899.7000000000035</v>
      </c>
      <c r="J189" s="32">
        <f t="shared" si="1062"/>
        <v>5749.9000000000033</v>
      </c>
      <c r="K189" s="32">
        <f t="shared" si="1062"/>
        <v>7581.0000000000045</v>
      </c>
      <c r="L189" s="32">
        <f t="shared" si="1062"/>
        <v>7027.3035854299724</v>
      </c>
      <c r="M189" s="33">
        <f t="shared" si="1044"/>
        <v>7027.3035854299724</v>
      </c>
      <c r="N189" s="32">
        <f t="shared" si="1062"/>
        <v>7058.0694762209278</v>
      </c>
      <c r="O189" s="32">
        <f t="shared" si="1062"/>
        <v>6187.9249319992387</v>
      </c>
      <c r="P189" s="364">
        <f t="shared" si="1062"/>
        <v>5709.7377682714014</v>
      </c>
      <c r="Q189" s="364">
        <f t="shared" si="1062"/>
        <v>5655.9820825905481</v>
      </c>
      <c r="R189" s="33">
        <f t="shared" si="1045"/>
        <v>5655.9820825905481</v>
      </c>
      <c r="S189" s="32">
        <f t="shared" si="1062"/>
        <v>5918.3821130002752</v>
      </c>
      <c r="T189" s="32">
        <f t="shared" si="1062"/>
        <v>5157.3338924387972</v>
      </c>
      <c r="U189" s="364">
        <f t="shared" si="1062"/>
        <v>5236.6045592761984</v>
      </c>
      <c r="V189" s="364">
        <f t="shared" si="1062"/>
        <v>5232.1160910129383</v>
      </c>
      <c r="W189" s="33">
        <f t="shared" si="1046"/>
        <v>5232.1160910129383</v>
      </c>
      <c r="X189" s="32">
        <f t="shared" si="1062"/>
        <v>5536.0927539849545</v>
      </c>
      <c r="Y189" s="32">
        <f t="shared" si="1062"/>
        <v>4760.3390336503262</v>
      </c>
      <c r="Z189" s="364">
        <f t="shared" si="1062"/>
        <v>4884.4200549317757</v>
      </c>
      <c r="AA189" s="364">
        <f t="shared" si="1062"/>
        <v>4911.0376084580412</v>
      </c>
      <c r="AB189" s="33">
        <f t="shared" si="1047"/>
        <v>4911.0376084580412</v>
      </c>
      <c r="AC189" s="32">
        <f t="shared" si="1062"/>
        <v>5150.2752281952799</v>
      </c>
      <c r="AD189" s="32">
        <f t="shared" si="1062"/>
        <v>4229.4238741396566</v>
      </c>
      <c r="AE189" s="364">
        <f t="shared" si="1062"/>
        <v>4267.2311636601898</v>
      </c>
      <c r="AF189" s="364">
        <f t="shared" si="1062"/>
        <v>4202.6671681141452</v>
      </c>
      <c r="AG189" s="33">
        <f t="shared" si="1048"/>
        <v>4202.6671681141452</v>
      </c>
      <c r="AH189" s="32">
        <f t="shared" si="1062"/>
        <v>4171.503722415986</v>
      </c>
      <c r="AI189" s="32">
        <f t="shared" si="1062"/>
        <v>2888.8619553136041</v>
      </c>
      <c r="AJ189" s="364">
        <f t="shared" si="1062"/>
        <v>2631.839434237052</v>
      </c>
      <c r="AK189" s="364">
        <f t="shared" si="1062"/>
        <v>2269.079322092854</v>
      </c>
      <c r="AL189" s="33">
        <f t="shared" si="1049"/>
        <v>2269.079322092854</v>
      </c>
    </row>
    <row r="190" spans="1:38" ht="14.5" customHeight="1" outlineLevel="1" x14ac:dyDescent="0.2">
      <c r="A190" s="167"/>
      <c r="B190" s="339" t="s">
        <v>173</v>
      </c>
      <c r="C190" s="98"/>
      <c r="D190" s="25">
        <v>265</v>
      </c>
      <c r="E190" s="25">
        <v>251.9</v>
      </c>
      <c r="F190" s="25">
        <v>222.6</v>
      </c>
      <c r="G190" s="25">
        <v>220</v>
      </c>
      <c r="H190" s="26">
        <f t="shared" ref="H190:H191" si="1063">+G190</f>
        <v>220</v>
      </c>
      <c r="I190" s="25">
        <v>199.8</v>
      </c>
      <c r="J190" s="25">
        <v>198.8</v>
      </c>
      <c r="K190" s="25">
        <v>223.4</v>
      </c>
      <c r="L190" s="169">
        <f>L231*L220*(1-L232)</f>
        <v>198.89918088463398</v>
      </c>
      <c r="M190" s="170">
        <f t="shared" ref="M190:M197" si="1064">L190</f>
        <v>198.89918088463398</v>
      </c>
      <c r="N190" s="169">
        <f>N231*N220*(1-N232)</f>
        <v>199.21565407780835</v>
      </c>
      <c r="O190" s="169">
        <f>O231*O220*(1-O232)</f>
        <v>191.60520269039111</v>
      </c>
      <c r="P190" s="169">
        <f>P231*P220*(1-P232)</f>
        <v>187.58603410322775</v>
      </c>
      <c r="Q190" s="169">
        <f>Q231*Q220*(1-Q232)</f>
        <v>186.79816570458175</v>
      </c>
      <c r="R190" s="170">
        <f t="shared" ref="R190:R197" si="1065">Q190</f>
        <v>186.79816570458175</v>
      </c>
      <c r="S190" s="169">
        <f>S231*S220*(1-S232)</f>
        <v>189.01416264872645</v>
      </c>
      <c r="T190" s="169">
        <f>T231*T220*(1-T232)</f>
        <v>182.3016797194181</v>
      </c>
      <c r="U190" s="169">
        <f>U231*U220*(1-U232)</f>
        <v>182.45619733709097</v>
      </c>
      <c r="V190" s="169">
        <f>V231*V220*(1-V232)</f>
        <v>182.18213400988137</v>
      </c>
      <c r="W190" s="170">
        <f t="shared" si="1046"/>
        <v>182.18213400988137</v>
      </c>
      <c r="X190" s="169">
        <f>X231*X220*(1-X232)</f>
        <v>184.90606207646778</v>
      </c>
      <c r="Y190" s="169">
        <f>Y231*Y220*(1-Y232)</f>
        <v>178.1703353894614</v>
      </c>
      <c r="Z190" s="169">
        <f>Z231*Z220*(1-Z232)</f>
        <v>178.78002177154841</v>
      </c>
      <c r="AA190" s="169">
        <f>AA231*AA220*(1-AA232)</f>
        <v>178.86522832246351</v>
      </c>
      <c r="AB190" s="170">
        <f t="shared" si="1047"/>
        <v>178.86522832246351</v>
      </c>
      <c r="AC190" s="169">
        <f>AC231*AC220*(1-AC232)</f>
        <v>181.31930968978006</v>
      </c>
      <c r="AD190" s="169">
        <f>AD231*AD220*(1-AD232)</f>
        <v>173.60043905222076</v>
      </c>
      <c r="AE190" s="169">
        <f>AE231*AE220*(1-AE232)</f>
        <v>173.70452208316379</v>
      </c>
      <c r="AF190" s="169">
        <f>AF231*AF220*(1-AF232)</f>
        <v>173.2530832602244</v>
      </c>
      <c r="AG190" s="170">
        <f t="shared" si="1048"/>
        <v>173.2530832602244</v>
      </c>
      <c r="AH190" s="169">
        <f>AH231*AH220*(1-AH232)</f>
        <v>173.9691028780949</v>
      </c>
      <c r="AI190" s="169">
        <f>AI231*AI220*(1-AI232)</f>
        <v>163.70738726459783</v>
      </c>
      <c r="AJ190" s="169">
        <f>AJ231*AJ220*(1-AJ232)</f>
        <v>161.81113827325339</v>
      </c>
      <c r="AK190" s="169">
        <f>AK231*AK220*(1-AK232)</f>
        <v>159.34093243884479</v>
      </c>
      <c r="AL190" s="170">
        <f t="shared" si="1049"/>
        <v>159.34093243884479</v>
      </c>
    </row>
    <row r="191" spans="1:38" ht="14.5" customHeight="1" outlineLevel="1" x14ac:dyDescent="0.2">
      <c r="A191" s="167"/>
      <c r="B191" s="60" t="s">
        <v>244</v>
      </c>
      <c r="C191" s="98"/>
      <c r="D191" s="25">
        <v>336.1</v>
      </c>
      <c r="E191" s="25">
        <v>309.3</v>
      </c>
      <c r="F191" s="25">
        <v>340.3</v>
      </c>
      <c r="G191" s="25">
        <v>396</v>
      </c>
      <c r="H191" s="26">
        <f t="shared" si="1063"/>
        <v>396</v>
      </c>
      <c r="I191" s="25">
        <v>411.3</v>
      </c>
      <c r="J191" s="25">
        <v>420.9</v>
      </c>
      <c r="K191" s="25">
        <v>426.1</v>
      </c>
      <c r="L191" s="336">
        <f>K191</f>
        <v>426.1</v>
      </c>
      <c r="M191" s="170">
        <f t="shared" si="1064"/>
        <v>426.1</v>
      </c>
      <c r="N191" s="336">
        <f>L191</f>
        <v>426.1</v>
      </c>
      <c r="O191" s="336">
        <f>N191</f>
        <v>426.1</v>
      </c>
      <c r="P191" s="336">
        <f t="shared" ref="P191:Q191" si="1066">O191</f>
        <v>426.1</v>
      </c>
      <c r="Q191" s="336">
        <f t="shared" si="1066"/>
        <v>426.1</v>
      </c>
      <c r="R191" s="170">
        <f t="shared" si="1065"/>
        <v>426.1</v>
      </c>
      <c r="S191" s="169">
        <f>R191</f>
        <v>426.1</v>
      </c>
      <c r="T191" s="169">
        <f t="shared" ref="T191:V191" si="1067">S191</f>
        <v>426.1</v>
      </c>
      <c r="U191" s="169">
        <f t="shared" si="1067"/>
        <v>426.1</v>
      </c>
      <c r="V191" s="169">
        <f t="shared" si="1067"/>
        <v>426.1</v>
      </c>
      <c r="W191" s="170">
        <f>V191</f>
        <v>426.1</v>
      </c>
      <c r="X191" s="169">
        <f>W191</f>
        <v>426.1</v>
      </c>
      <c r="Y191" s="169">
        <f t="shared" ref="Y191:AA191" si="1068">X191</f>
        <v>426.1</v>
      </c>
      <c r="Z191" s="169">
        <f t="shared" si="1068"/>
        <v>426.1</v>
      </c>
      <c r="AA191" s="169">
        <f t="shared" si="1068"/>
        <v>426.1</v>
      </c>
      <c r="AB191" s="170">
        <f>AA191</f>
        <v>426.1</v>
      </c>
      <c r="AC191" s="169">
        <f>AB191</f>
        <v>426.1</v>
      </c>
      <c r="AD191" s="169">
        <f t="shared" ref="AD191:AF191" si="1069">AC191</f>
        <v>426.1</v>
      </c>
      <c r="AE191" s="169">
        <f t="shared" si="1069"/>
        <v>426.1</v>
      </c>
      <c r="AF191" s="169">
        <f t="shared" si="1069"/>
        <v>426.1</v>
      </c>
      <c r="AG191" s="170">
        <f>AF191</f>
        <v>426.1</v>
      </c>
      <c r="AH191" s="169">
        <f>AG191</f>
        <v>426.1</v>
      </c>
      <c r="AI191" s="169">
        <f t="shared" ref="AI191:AK191" si="1070">AH191</f>
        <v>426.1</v>
      </c>
      <c r="AJ191" s="169">
        <f t="shared" si="1070"/>
        <v>426.1</v>
      </c>
      <c r="AK191" s="169">
        <f t="shared" si="1070"/>
        <v>426.1</v>
      </c>
      <c r="AL191" s="170">
        <f>AK191</f>
        <v>426.1</v>
      </c>
    </row>
    <row r="192" spans="1:38" s="13" customFormat="1" outlineLevel="1" x14ac:dyDescent="0.2">
      <c r="A192" s="182"/>
      <c r="B192" s="60" t="s">
        <v>174</v>
      </c>
      <c r="C192" s="63"/>
      <c r="D192" s="25">
        <v>6039.3</v>
      </c>
      <c r="E192" s="25">
        <v>6135.5</v>
      </c>
      <c r="F192" s="25">
        <v>6187.8</v>
      </c>
      <c r="G192" s="25">
        <v>6431.7</v>
      </c>
      <c r="H192" s="26">
        <f>+G192</f>
        <v>6431.7</v>
      </c>
      <c r="I192" s="25">
        <v>6390.9</v>
      </c>
      <c r="J192" s="25">
        <v>6387</v>
      </c>
      <c r="K192" s="25">
        <v>6295.6</v>
      </c>
      <c r="L192" s="169">
        <f>K192-L260-L242</f>
        <v>6288.0572048866225</v>
      </c>
      <c r="M192" s="170">
        <f t="shared" si="1064"/>
        <v>6288.0572048866225</v>
      </c>
      <c r="N192" s="169">
        <f>L192-N260-N242</f>
        <v>6328.7569525321178</v>
      </c>
      <c r="O192" s="169">
        <f t="shared" ref="O192:Q192" si="1071">N192-O260-O242</f>
        <v>6318.4451308463631</v>
      </c>
      <c r="P192" s="169">
        <f t="shared" si="1071"/>
        <v>6355.9901628037533</v>
      </c>
      <c r="Q192" s="169">
        <f t="shared" si="1071"/>
        <v>6416.1147702898807</v>
      </c>
      <c r="R192" s="170">
        <f t="shared" si="1065"/>
        <v>6416.1147702898807</v>
      </c>
      <c r="S192" s="169">
        <f>Q192-S260-S242</f>
        <v>6471.1590464722094</v>
      </c>
      <c r="T192" s="169">
        <f t="shared" ref="T192:V192" si="1072">S192-T260-T242</f>
        <v>6471.511242702315</v>
      </c>
      <c r="U192" s="169">
        <f t="shared" si="1072"/>
        <v>6522.8994606871911</v>
      </c>
      <c r="V192" s="169">
        <f t="shared" si="1072"/>
        <v>6596.182029855222</v>
      </c>
      <c r="W192" s="170">
        <f t="shared" ref="W192:W197" si="1073">V192</f>
        <v>6596.182029855222</v>
      </c>
      <c r="X192" s="169">
        <f>V192-X260-X242</f>
        <v>6662.9890739936227</v>
      </c>
      <c r="Y192" s="169">
        <f t="shared" ref="Y192:AA192" si="1074">X192-Y260-Y242</f>
        <v>6671.6864215973565</v>
      </c>
      <c r="Z192" s="169">
        <f t="shared" si="1074"/>
        <v>6733.6930833068782</v>
      </c>
      <c r="AA192" s="169">
        <f t="shared" si="1074"/>
        <v>6818.2877678783561</v>
      </c>
      <c r="AB192" s="170">
        <f t="shared" ref="AB192:AB197" si="1075">AA192</f>
        <v>6818.2877678783561</v>
      </c>
      <c r="AC192" s="169">
        <f>AA192-AC260-AC242</f>
        <v>6895.6357908842701</v>
      </c>
      <c r="AD192" s="169">
        <f t="shared" ref="AD192:AF192" si="1076">AC192-AD260-AD242</f>
        <v>6911.2607334370014</v>
      </c>
      <c r="AE192" s="169">
        <f t="shared" si="1076"/>
        <v>6982.539221350703</v>
      </c>
      <c r="AF192" s="169">
        <f t="shared" si="1076"/>
        <v>7077.2594312127458</v>
      </c>
      <c r="AG192" s="170">
        <f t="shared" ref="AG192:AG197" si="1077">AF192</f>
        <v>7077.2594312127458</v>
      </c>
      <c r="AH192" s="169">
        <f>AF192-AH260-AH242</f>
        <v>7166.8529919834737</v>
      </c>
      <c r="AI192" s="169">
        <f t="shared" ref="AI192:AK192" si="1078">AH192-AI260-AI242</f>
        <v>7190.5934046658131</v>
      </c>
      <c r="AJ192" s="169">
        <f t="shared" si="1078"/>
        <v>7272.7168737441625</v>
      </c>
      <c r="AK192" s="169">
        <f t="shared" si="1078"/>
        <v>7379.2946479304455</v>
      </c>
      <c r="AL192" s="170">
        <f t="shared" ref="AL192:AL197" si="1079">AK192</f>
        <v>7379.2946479304455</v>
      </c>
    </row>
    <row r="193" spans="1:38" s="13" customFormat="1" outlineLevel="1" x14ac:dyDescent="0.2">
      <c r="A193" s="182"/>
      <c r="B193" s="209" t="s">
        <v>245</v>
      </c>
      <c r="C193" s="211"/>
      <c r="D193" s="25">
        <v>0</v>
      </c>
      <c r="E193" s="25">
        <v>0</v>
      </c>
      <c r="F193" s="25">
        <v>0</v>
      </c>
      <c r="G193" s="25">
        <v>0</v>
      </c>
      <c r="H193" s="26">
        <f>+G193</f>
        <v>0</v>
      </c>
      <c r="I193" s="25">
        <v>8358.5</v>
      </c>
      <c r="J193" s="25">
        <v>8260.7999999999993</v>
      </c>
      <c r="K193" s="25">
        <v>8214</v>
      </c>
      <c r="L193" s="336">
        <f>K193*0.99</f>
        <v>8131.86</v>
      </c>
      <c r="M193" s="170">
        <f t="shared" si="1064"/>
        <v>8131.86</v>
      </c>
      <c r="N193" s="336">
        <f>L193*0.99</f>
        <v>8050.5413999999992</v>
      </c>
      <c r="O193" s="336">
        <f t="shared" ref="O193:Q193" si="1080">N193*0.99</f>
        <v>7970.035985999999</v>
      </c>
      <c r="P193" s="336">
        <f t="shared" si="1080"/>
        <v>7890.3356261399986</v>
      </c>
      <c r="Q193" s="336">
        <f t="shared" si="1080"/>
        <v>7811.4322698785982</v>
      </c>
      <c r="R193" s="170">
        <f t="shared" si="1065"/>
        <v>7811.4322698785982</v>
      </c>
      <c r="S193" s="336">
        <f>Q193*0.99</f>
        <v>7733.3179471798121</v>
      </c>
      <c r="T193" s="336">
        <f t="shared" ref="T193:V193" si="1081">S193*0.99</f>
        <v>7655.9847677080143</v>
      </c>
      <c r="U193" s="336">
        <f t="shared" si="1081"/>
        <v>7579.4249200309341</v>
      </c>
      <c r="V193" s="336">
        <f t="shared" si="1081"/>
        <v>7503.6306708306247</v>
      </c>
      <c r="W193" s="170">
        <f t="shared" si="1073"/>
        <v>7503.6306708306247</v>
      </c>
      <c r="X193" s="336">
        <f>V193*0.99</f>
        <v>7428.5943641223184</v>
      </c>
      <c r="Y193" s="336">
        <f t="shared" ref="Y193:AA193" si="1082">X193*0.99</f>
        <v>7354.3084204810948</v>
      </c>
      <c r="Z193" s="336">
        <f t="shared" si="1082"/>
        <v>7280.765336276284</v>
      </c>
      <c r="AA193" s="336">
        <f t="shared" si="1082"/>
        <v>7207.9576829135212</v>
      </c>
      <c r="AB193" s="170">
        <f t="shared" si="1075"/>
        <v>7207.9576829135212</v>
      </c>
      <c r="AC193" s="336">
        <f>AA193*0.99</f>
        <v>7135.8781060843858</v>
      </c>
      <c r="AD193" s="336">
        <f t="shared" ref="AD193:AF193" si="1083">AC193*0.99</f>
        <v>7064.5193250235416</v>
      </c>
      <c r="AE193" s="336">
        <f t="shared" si="1083"/>
        <v>6993.8741317733065</v>
      </c>
      <c r="AF193" s="336">
        <f t="shared" si="1083"/>
        <v>6923.9353904555737</v>
      </c>
      <c r="AG193" s="170">
        <f t="shared" si="1077"/>
        <v>6923.9353904555737</v>
      </c>
      <c r="AH193" s="336">
        <f>AF193*0.99</f>
        <v>6854.6960365510176</v>
      </c>
      <c r="AI193" s="336">
        <f t="shared" ref="AI193:AK193" si="1084">AH193*0.99</f>
        <v>6786.1490761855075</v>
      </c>
      <c r="AJ193" s="336">
        <f t="shared" si="1084"/>
        <v>6718.2875854236527</v>
      </c>
      <c r="AK193" s="336">
        <f t="shared" si="1084"/>
        <v>6651.1047095694157</v>
      </c>
      <c r="AL193" s="170">
        <f t="shared" si="1079"/>
        <v>6651.1047095694157</v>
      </c>
    </row>
    <row r="194" spans="1:38" s="13" customFormat="1" outlineLevel="1" x14ac:dyDescent="0.2">
      <c r="A194" s="182"/>
      <c r="B194" s="60" t="s">
        <v>183</v>
      </c>
      <c r="C194" s="63"/>
      <c r="D194" s="25">
        <v>650</v>
      </c>
      <c r="E194" s="25">
        <v>1006.6</v>
      </c>
      <c r="F194" s="25">
        <v>1533</v>
      </c>
      <c r="G194" s="25">
        <v>1765.8</v>
      </c>
      <c r="H194" s="26">
        <f t="shared" ref="H194:H195" si="1085">+G194</f>
        <v>1765.8</v>
      </c>
      <c r="I194" s="25">
        <v>1731.4</v>
      </c>
      <c r="J194" s="25">
        <v>1709.7</v>
      </c>
      <c r="K194" s="25">
        <v>1740</v>
      </c>
      <c r="L194" s="169">
        <f>L235*(L205+L211)</f>
        <v>1731.1553416647134</v>
      </c>
      <c r="M194" s="170">
        <f t="shared" si="1064"/>
        <v>1731.1553416647134</v>
      </c>
      <c r="N194" s="169">
        <f t="shared" ref="N194:P194" si="1086">N235*(N205+N211)</f>
        <v>1818.7651823960323</v>
      </c>
      <c r="O194" s="169">
        <f t="shared" si="1086"/>
        <v>1752.4682765802766</v>
      </c>
      <c r="P194" s="169">
        <f t="shared" si="1086"/>
        <v>1743.3966814880687</v>
      </c>
      <c r="Q194" s="169">
        <f>Q235*(Q205+Q211)</f>
        <v>1734.3819899960884</v>
      </c>
      <c r="R194" s="170">
        <f t="shared" si="1065"/>
        <v>1734.3819899960884</v>
      </c>
      <c r="S194" s="169">
        <f t="shared" ref="S194:U194" si="1087">S235*(S205+S211)</f>
        <v>1829.8262771000659</v>
      </c>
      <c r="T194" s="169">
        <f t="shared" si="1087"/>
        <v>1758.5856940339684</v>
      </c>
      <c r="U194" s="169">
        <f t="shared" si="1087"/>
        <v>1749.3184846990364</v>
      </c>
      <c r="V194" s="169">
        <f>V235*(V205+V211)</f>
        <v>1740.1106728670318</v>
      </c>
      <c r="W194" s="170">
        <f t="shared" si="1073"/>
        <v>1740.1106728670318</v>
      </c>
      <c r="X194" s="169">
        <f t="shared" ref="X194:Z194" si="1088">X235*(X205+X211)</f>
        <v>1844.0308108988929</v>
      </c>
      <c r="Y194" s="169">
        <f t="shared" si="1088"/>
        <v>1767.427272453692</v>
      </c>
      <c r="Z194" s="169">
        <f t="shared" si="1088"/>
        <v>1757.9393454356025</v>
      </c>
      <c r="AA194" s="169">
        <f>AA235*(AA205+AA211)</f>
        <v>1748.5135523048675</v>
      </c>
      <c r="AB194" s="170">
        <f t="shared" si="1075"/>
        <v>1748.5135523048675</v>
      </c>
      <c r="AC194" s="169">
        <f t="shared" ref="AC194:AE194" si="1089">AC235*(AC205+AC211)</f>
        <v>1861.6043312651113</v>
      </c>
      <c r="AD194" s="169">
        <f t="shared" si="1089"/>
        <v>1779.1838963888531</v>
      </c>
      <c r="AE194" s="169">
        <f t="shared" si="1089"/>
        <v>1769.448205395687</v>
      </c>
      <c r="AF194" s="169">
        <f>AF235*(AF205+AF211)</f>
        <v>1759.7776467205701</v>
      </c>
      <c r="AG194" s="170">
        <f t="shared" si="1077"/>
        <v>1759.7776467205701</v>
      </c>
      <c r="AH194" s="169">
        <f t="shared" ref="AH194:AJ194" si="1090">AH235*(AH205+AH211)</f>
        <v>1882.7916713469647</v>
      </c>
      <c r="AI194" s="169">
        <f t="shared" si="1090"/>
        <v>1794.0628564264453</v>
      </c>
      <c r="AJ194" s="169">
        <f t="shared" si="1090"/>
        <v>1784.050248795266</v>
      </c>
      <c r="AK194" s="169">
        <f>AK235*(AK205+AK211)</f>
        <v>1774.1060551566659</v>
      </c>
      <c r="AL194" s="170">
        <f t="shared" si="1079"/>
        <v>1774.1060551566659</v>
      </c>
    </row>
    <row r="195" spans="1:38" s="13" customFormat="1" outlineLevel="1" x14ac:dyDescent="0.2">
      <c r="A195" s="182"/>
      <c r="B195" s="60" t="s">
        <v>246</v>
      </c>
      <c r="C195" s="63"/>
      <c r="D195" s="25">
        <v>472.7</v>
      </c>
      <c r="E195" s="25">
        <v>464.5</v>
      </c>
      <c r="F195" s="25">
        <v>458</v>
      </c>
      <c r="G195" s="25">
        <v>479.6</v>
      </c>
      <c r="H195" s="26">
        <f t="shared" si="1085"/>
        <v>479.6</v>
      </c>
      <c r="I195" s="25">
        <v>484.7</v>
      </c>
      <c r="J195" s="25">
        <v>580.1</v>
      </c>
      <c r="K195" s="25">
        <v>550.79999999999995</v>
      </c>
      <c r="L195" s="336">
        <f>K195*(L220/K220)</f>
        <v>537.06938493891391</v>
      </c>
      <c r="M195" s="170">
        <f t="shared" si="1064"/>
        <v>537.06938493891391</v>
      </c>
      <c r="N195" s="336">
        <f>L195*(N220/L220)</f>
        <v>537.92392874574045</v>
      </c>
      <c r="O195" s="336">
        <f t="shared" ref="O195:Q195" si="1091">M195*(O220/M220)</f>
        <v>517.37411839675542</v>
      </c>
      <c r="P195" s="336">
        <f t="shared" si="1091"/>
        <v>506.52152266723533</v>
      </c>
      <c r="Q195" s="336">
        <f t="shared" si="1091"/>
        <v>504.39411322094384</v>
      </c>
      <c r="R195" s="170">
        <f t="shared" si="1065"/>
        <v>504.39411322094384</v>
      </c>
      <c r="S195" s="336">
        <f>Q195*(S220/Q220)</f>
        <v>510.37776841009526</v>
      </c>
      <c r="T195" s="336">
        <f t="shared" ref="T195" si="1092">R195*(T220/R220)</f>
        <v>492.25266069360032</v>
      </c>
      <c r="U195" s="336">
        <f t="shared" ref="U195" si="1093">S195*(U220/S220)</f>
        <v>492.66989057618053</v>
      </c>
      <c r="V195" s="336">
        <f t="shared" ref="V195" si="1094">T195*(V220/T220)</f>
        <v>491.92986227679734</v>
      </c>
      <c r="W195" s="170">
        <f t="shared" si="1073"/>
        <v>491.92986227679734</v>
      </c>
      <c r="X195" s="336">
        <f>V195*(X220/V220)</f>
        <v>499.28503772212974</v>
      </c>
      <c r="Y195" s="336">
        <f t="shared" ref="Y195" si="1095">W195*(Y220/W220)</f>
        <v>481.0971669987938</v>
      </c>
      <c r="Z195" s="336">
        <f t="shared" ref="Z195" si="1096">X195*(Z220/X220)</f>
        <v>482.74344773648579</v>
      </c>
      <c r="AA195" s="336">
        <f t="shared" ref="AA195" si="1097">Y195*(AA220/Y220)</f>
        <v>482.97352324353017</v>
      </c>
      <c r="AB195" s="170">
        <f t="shared" si="1075"/>
        <v>482.97352324353017</v>
      </c>
      <c r="AC195" s="336">
        <f>AA195*(AC220/AA220)</f>
        <v>489.60005616675636</v>
      </c>
      <c r="AD195" s="336">
        <f t="shared" ref="AD195" si="1098">AB195*(AD220/AB220)</f>
        <v>468.75749116825318</v>
      </c>
      <c r="AE195" s="336">
        <f t="shared" ref="AE195" si="1099">AC195*(AE220/AC220)</f>
        <v>469.03853711908374</v>
      </c>
      <c r="AF195" s="336">
        <f t="shared" ref="AF195" si="1100">AD195*(AF220/AD220)</f>
        <v>467.81955788601078</v>
      </c>
      <c r="AG195" s="170">
        <f t="shared" si="1077"/>
        <v>467.81955788601078</v>
      </c>
      <c r="AH195" s="336">
        <f>AF195*(AH220/AF220)</f>
        <v>469.75296059819664</v>
      </c>
      <c r="AI195" s="336">
        <f t="shared" ref="AI195" si="1101">AG195*(AI220/AG220)</f>
        <v>442.04418236971526</v>
      </c>
      <c r="AJ195" s="336">
        <f t="shared" ref="AJ195" si="1102">AH195*(AJ220/AH220)</f>
        <v>436.92391352324324</v>
      </c>
      <c r="AK195" s="336">
        <f t="shared" ref="AK195" si="1103">AI195*(AK220/AI220)</f>
        <v>430.25384116669676</v>
      </c>
      <c r="AL195" s="170">
        <f t="shared" si="1079"/>
        <v>430.25384116669676</v>
      </c>
    </row>
    <row r="196" spans="1:38" s="13" customFormat="1" outlineLevel="1" x14ac:dyDescent="0.2">
      <c r="A196" s="182"/>
      <c r="B196" s="60" t="s">
        <v>175</v>
      </c>
      <c r="C196" s="63"/>
      <c r="D196" s="25">
        <v>981.6</v>
      </c>
      <c r="E196" s="25">
        <v>918.3</v>
      </c>
      <c r="F196" s="25">
        <v>853.2</v>
      </c>
      <c r="G196" s="25">
        <v>781.8</v>
      </c>
      <c r="H196" s="26">
        <f>+G196</f>
        <v>781.8</v>
      </c>
      <c r="I196" s="25">
        <v>739.1</v>
      </c>
      <c r="J196" s="25">
        <v>678.7</v>
      </c>
      <c r="K196" s="25">
        <v>599.6</v>
      </c>
      <c r="L196" s="336">
        <f>K196*0.94</f>
        <v>563.62400000000002</v>
      </c>
      <c r="M196" s="170">
        <f t="shared" si="1064"/>
        <v>563.62400000000002</v>
      </c>
      <c r="N196" s="336">
        <f>L196*0.94</f>
        <v>529.80655999999999</v>
      </c>
      <c r="O196" s="336">
        <f t="shared" ref="O196:Q196" si="1104">N196*0.94</f>
        <v>498.01816639999998</v>
      </c>
      <c r="P196" s="336">
        <f t="shared" si="1104"/>
        <v>468.13707641599996</v>
      </c>
      <c r="Q196" s="336">
        <f t="shared" si="1104"/>
        <v>440.04885183103994</v>
      </c>
      <c r="R196" s="170">
        <f t="shared" si="1065"/>
        <v>440.04885183103994</v>
      </c>
      <c r="S196" s="336">
        <f>Q196*0.94</f>
        <v>413.6459207211775</v>
      </c>
      <c r="T196" s="336">
        <f t="shared" ref="T196:V196" si="1105">S196*0.94</f>
        <v>388.82716547790682</v>
      </c>
      <c r="U196" s="336">
        <f t="shared" si="1105"/>
        <v>365.4975355492324</v>
      </c>
      <c r="V196" s="336">
        <f t="shared" si="1105"/>
        <v>343.56768341627844</v>
      </c>
      <c r="W196" s="170">
        <f t="shared" si="1073"/>
        <v>343.56768341627844</v>
      </c>
      <c r="X196" s="336">
        <f>V196*0.94</f>
        <v>322.95362241130169</v>
      </c>
      <c r="Y196" s="336">
        <f t="shared" ref="Y196:AA196" si="1106">X196*0.94</f>
        <v>303.57640506662358</v>
      </c>
      <c r="Z196" s="336">
        <f t="shared" si="1106"/>
        <v>285.36182076262617</v>
      </c>
      <c r="AA196" s="336">
        <f t="shared" si="1106"/>
        <v>268.24011151686858</v>
      </c>
      <c r="AB196" s="170">
        <f t="shared" si="1075"/>
        <v>268.24011151686858</v>
      </c>
      <c r="AC196" s="336">
        <f>AA196*0.94</f>
        <v>252.14570482585646</v>
      </c>
      <c r="AD196" s="336">
        <f t="shared" ref="AD196:AF196" si="1107">AC196*0.94</f>
        <v>237.01696253630504</v>
      </c>
      <c r="AE196" s="336">
        <f t="shared" si="1107"/>
        <v>222.79594478412673</v>
      </c>
      <c r="AF196" s="336">
        <f t="shared" si="1107"/>
        <v>209.42818809707913</v>
      </c>
      <c r="AG196" s="170">
        <f t="shared" si="1077"/>
        <v>209.42818809707913</v>
      </c>
      <c r="AH196" s="336">
        <f>AF196*0.94</f>
        <v>196.86249681125437</v>
      </c>
      <c r="AI196" s="336">
        <f t="shared" ref="AI196:AK196" si="1108">AH196*0.94</f>
        <v>185.0507470025791</v>
      </c>
      <c r="AJ196" s="336">
        <f t="shared" si="1108"/>
        <v>173.94770218242434</v>
      </c>
      <c r="AK196" s="336">
        <f t="shared" si="1108"/>
        <v>163.51084005147888</v>
      </c>
      <c r="AL196" s="170">
        <f t="shared" si="1079"/>
        <v>163.51084005147888</v>
      </c>
    </row>
    <row r="197" spans="1:38" ht="18" outlineLevel="1" x14ac:dyDescent="0.35">
      <c r="A197" s="167"/>
      <c r="B197" s="421" t="s">
        <v>27</v>
      </c>
      <c r="C197" s="422"/>
      <c r="D197" s="28">
        <v>3560.3</v>
      </c>
      <c r="E197" s="28">
        <v>3603.5</v>
      </c>
      <c r="F197" s="28">
        <v>3564.7</v>
      </c>
      <c r="G197" s="28">
        <v>3490.8</v>
      </c>
      <c r="H197" s="29">
        <f>G197</f>
        <v>3490.8</v>
      </c>
      <c r="I197" s="28">
        <v>3515.9</v>
      </c>
      <c r="J197" s="28">
        <v>3493</v>
      </c>
      <c r="K197" s="28">
        <v>3510.1</v>
      </c>
      <c r="L197" s="51">
        <f>K197</f>
        <v>3510.1</v>
      </c>
      <c r="M197" s="294">
        <f t="shared" si="1064"/>
        <v>3510.1</v>
      </c>
      <c r="N197" s="51">
        <f>L197</f>
        <v>3510.1</v>
      </c>
      <c r="O197" s="51">
        <f>N197</f>
        <v>3510.1</v>
      </c>
      <c r="P197" s="51">
        <f>O197</f>
        <v>3510.1</v>
      </c>
      <c r="Q197" s="51">
        <f>P197</f>
        <v>3510.1</v>
      </c>
      <c r="R197" s="294">
        <f t="shared" si="1065"/>
        <v>3510.1</v>
      </c>
      <c r="S197" s="51">
        <f>Q197</f>
        <v>3510.1</v>
      </c>
      <c r="T197" s="51">
        <f>S197</f>
        <v>3510.1</v>
      </c>
      <c r="U197" s="51">
        <f>T197</f>
        <v>3510.1</v>
      </c>
      <c r="V197" s="51">
        <f>U197</f>
        <v>3510.1</v>
      </c>
      <c r="W197" s="294">
        <f t="shared" si="1073"/>
        <v>3510.1</v>
      </c>
      <c r="X197" s="51">
        <f>V197</f>
        <v>3510.1</v>
      </c>
      <c r="Y197" s="51">
        <f>X197</f>
        <v>3510.1</v>
      </c>
      <c r="Z197" s="51">
        <f>Y197</f>
        <v>3510.1</v>
      </c>
      <c r="AA197" s="51">
        <f>Z197</f>
        <v>3510.1</v>
      </c>
      <c r="AB197" s="294">
        <f t="shared" si="1075"/>
        <v>3510.1</v>
      </c>
      <c r="AC197" s="51">
        <f>AA197</f>
        <v>3510.1</v>
      </c>
      <c r="AD197" s="51">
        <f>AC197</f>
        <v>3510.1</v>
      </c>
      <c r="AE197" s="51">
        <f>AD197</f>
        <v>3510.1</v>
      </c>
      <c r="AF197" s="51">
        <f>AE197</f>
        <v>3510.1</v>
      </c>
      <c r="AG197" s="294">
        <f t="shared" si="1077"/>
        <v>3510.1</v>
      </c>
      <c r="AH197" s="51">
        <f>AF197</f>
        <v>3510.1</v>
      </c>
      <c r="AI197" s="51">
        <f>AH197</f>
        <v>3510.1</v>
      </c>
      <c r="AJ197" s="51">
        <f>AI197</f>
        <v>3510.1</v>
      </c>
      <c r="AK197" s="51">
        <f>AJ197</f>
        <v>3510.1</v>
      </c>
      <c r="AL197" s="294">
        <f t="shared" si="1079"/>
        <v>3510.1</v>
      </c>
    </row>
    <row r="198" spans="1:38" outlineLevel="1" x14ac:dyDescent="0.2">
      <c r="A198" s="167"/>
      <c r="B198" s="439" t="s">
        <v>5</v>
      </c>
      <c r="C198" s="440"/>
      <c r="D198" s="32">
        <f t="shared" ref="D198:Q198" si="1109">+SUM(D189:D197)</f>
        <v>19981.3</v>
      </c>
      <c r="E198" s="32">
        <f t="shared" si="1109"/>
        <v>17641.900000000001</v>
      </c>
      <c r="F198" s="32">
        <f t="shared" si="1109"/>
        <v>20894.500000000004</v>
      </c>
      <c r="G198" s="32">
        <f t="shared" si="1109"/>
        <v>19219.400000000001</v>
      </c>
      <c r="H198" s="33">
        <f t="shared" si="1109"/>
        <v>19219.400000000001</v>
      </c>
      <c r="I198" s="32">
        <f t="shared" si="1109"/>
        <v>27731.300000000007</v>
      </c>
      <c r="J198" s="32">
        <f t="shared" si="1109"/>
        <v>27478.9</v>
      </c>
      <c r="K198" s="32">
        <f t="shared" si="1109"/>
        <v>29140.600000000002</v>
      </c>
      <c r="L198" s="32">
        <f t="shared" si="1109"/>
        <v>28414.168697804856</v>
      </c>
      <c r="M198" s="33">
        <f t="shared" si="1109"/>
        <v>28414.168697804856</v>
      </c>
      <c r="N198" s="32">
        <f t="shared" si="1109"/>
        <v>28459.279153972628</v>
      </c>
      <c r="O198" s="32">
        <f t="shared" si="1109"/>
        <v>27372.071812913022</v>
      </c>
      <c r="P198" s="32">
        <f t="shared" si="1109"/>
        <v>26797.904871889685</v>
      </c>
      <c r="Q198" s="32">
        <f t="shared" si="1109"/>
        <v>26685.352243511679</v>
      </c>
      <c r="R198" s="33">
        <f t="shared" ref="R198:V198" si="1110">+SUM(R189:R197)</f>
        <v>26685.352243511679</v>
      </c>
      <c r="S198" s="32">
        <f t="shared" si="1110"/>
        <v>27001.923235532362</v>
      </c>
      <c r="T198" s="32">
        <f t="shared" si="1110"/>
        <v>26042.997102774018</v>
      </c>
      <c r="U198" s="32">
        <f t="shared" si="1110"/>
        <v>26065.071048155864</v>
      </c>
      <c r="V198" s="32">
        <f t="shared" si="1110"/>
        <v>26025.91914426877</v>
      </c>
      <c r="W198" s="33">
        <f t="shared" ref="W198:AL198" si="1111">+SUM(W189:W197)</f>
        <v>26025.91914426877</v>
      </c>
      <c r="X198" s="32">
        <f t="shared" si="1111"/>
        <v>26415.051725209691</v>
      </c>
      <c r="Y198" s="32">
        <f t="shared" si="1111"/>
        <v>25452.805055637346</v>
      </c>
      <c r="Z198" s="32">
        <f t="shared" si="1111"/>
        <v>25539.903110221199</v>
      </c>
      <c r="AA198" s="32">
        <f t="shared" si="1111"/>
        <v>25552.075474637648</v>
      </c>
      <c r="AB198" s="33">
        <f t="shared" si="1111"/>
        <v>25552.075474637648</v>
      </c>
      <c r="AC198" s="32">
        <f t="shared" si="1111"/>
        <v>25902.658527111442</v>
      </c>
      <c r="AD198" s="32">
        <f t="shared" si="1111"/>
        <v>24799.962721745833</v>
      </c>
      <c r="AE198" s="32">
        <f t="shared" si="1111"/>
        <v>24814.83172616626</v>
      </c>
      <c r="AF198" s="32">
        <f t="shared" si="1111"/>
        <v>24750.340465746343</v>
      </c>
      <c r="AG198" s="33">
        <f t="shared" si="1111"/>
        <v>24750.340465746343</v>
      </c>
      <c r="AH198" s="32">
        <f t="shared" si="1111"/>
        <v>24852.628982584985</v>
      </c>
      <c r="AI198" s="32">
        <f t="shared" si="1111"/>
        <v>23386.669609228262</v>
      </c>
      <c r="AJ198" s="32">
        <f t="shared" si="1111"/>
        <v>23115.77689617905</v>
      </c>
      <c r="AK198" s="32">
        <f t="shared" si="1111"/>
        <v>22762.890348406403</v>
      </c>
      <c r="AL198" s="33">
        <f t="shared" si="1111"/>
        <v>22762.890348406403</v>
      </c>
    </row>
    <row r="199" spans="1:38" ht="19" x14ac:dyDescent="0.35">
      <c r="A199" s="167"/>
      <c r="B199" s="417" t="s">
        <v>7</v>
      </c>
      <c r="C199" s="436"/>
      <c r="D199" s="23" t="s">
        <v>72</v>
      </c>
      <c r="E199" s="23" t="s">
        <v>212</v>
      </c>
      <c r="F199" s="23" t="s">
        <v>216</v>
      </c>
      <c r="G199" s="23" t="s">
        <v>226</v>
      </c>
      <c r="H199" s="78" t="s">
        <v>227</v>
      </c>
      <c r="I199" s="23" t="s">
        <v>228</v>
      </c>
      <c r="J199" s="23" t="s">
        <v>229</v>
      </c>
      <c r="K199" s="23" t="s">
        <v>230</v>
      </c>
      <c r="L199" s="21" t="s">
        <v>90</v>
      </c>
      <c r="M199" s="80" t="s">
        <v>91</v>
      </c>
      <c r="N199" s="21" t="s">
        <v>92</v>
      </c>
      <c r="O199" s="21" t="s">
        <v>93</v>
      </c>
      <c r="P199" s="21" t="s">
        <v>94</v>
      </c>
      <c r="Q199" s="21" t="s">
        <v>95</v>
      </c>
      <c r="R199" s="80" t="s">
        <v>96</v>
      </c>
      <c r="S199" s="21" t="s">
        <v>97</v>
      </c>
      <c r="T199" s="21" t="s">
        <v>98</v>
      </c>
      <c r="U199" s="21" t="s">
        <v>99</v>
      </c>
      <c r="V199" s="21" t="s">
        <v>100</v>
      </c>
      <c r="W199" s="80" t="s">
        <v>101</v>
      </c>
      <c r="X199" s="21" t="s">
        <v>102</v>
      </c>
      <c r="Y199" s="21" t="s">
        <v>103</v>
      </c>
      <c r="Z199" s="21" t="s">
        <v>104</v>
      </c>
      <c r="AA199" s="21" t="s">
        <v>105</v>
      </c>
      <c r="AB199" s="80" t="s">
        <v>106</v>
      </c>
      <c r="AC199" s="21" t="s">
        <v>221</v>
      </c>
      <c r="AD199" s="21" t="s">
        <v>222</v>
      </c>
      <c r="AE199" s="21" t="s">
        <v>223</v>
      </c>
      <c r="AF199" s="21" t="s">
        <v>224</v>
      </c>
      <c r="AG199" s="80" t="s">
        <v>225</v>
      </c>
      <c r="AH199" s="21" t="s">
        <v>254</v>
      </c>
      <c r="AI199" s="21" t="s">
        <v>255</v>
      </c>
      <c r="AJ199" s="21" t="s">
        <v>256</v>
      </c>
      <c r="AK199" s="21" t="s">
        <v>257</v>
      </c>
      <c r="AL199" s="80" t="s">
        <v>258</v>
      </c>
    </row>
    <row r="200" spans="1:38" s="34" customFormat="1" outlineLevel="1" x14ac:dyDescent="0.2">
      <c r="A200" s="232"/>
      <c r="B200" s="437" t="s">
        <v>28</v>
      </c>
      <c r="C200" s="438"/>
      <c r="D200" s="73">
        <v>1100.5</v>
      </c>
      <c r="E200" s="73">
        <v>1096.7</v>
      </c>
      <c r="F200" s="73">
        <v>1145.4000000000001</v>
      </c>
      <c r="G200" s="73">
        <v>1189.7</v>
      </c>
      <c r="H200" s="74">
        <f>G200</f>
        <v>1189.7</v>
      </c>
      <c r="I200" s="73">
        <v>1085.5999999999999</v>
      </c>
      <c r="J200" s="73">
        <v>997.7</v>
      </c>
      <c r="K200" s="73">
        <v>860.8</v>
      </c>
      <c r="L200" s="169">
        <f>L21/L229</f>
        <v>1088.4636172203418</v>
      </c>
      <c r="M200" s="170">
        <f t="shared" ref="M200:M206" si="1112">L200</f>
        <v>1088.4636172203418</v>
      </c>
      <c r="N200" s="169">
        <f t="shared" ref="N200:Q200" si="1113">N21/N229</f>
        <v>1119.8584916748246</v>
      </c>
      <c r="O200" s="169">
        <f t="shared" si="1113"/>
        <v>1038.1631756571182</v>
      </c>
      <c r="P200" s="169">
        <f t="shared" si="1113"/>
        <v>1096.7176031112069</v>
      </c>
      <c r="Q200" s="169">
        <f t="shared" si="1113"/>
        <v>1112.5141330001079</v>
      </c>
      <c r="R200" s="170">
        <f t="shared" ref="R200:R206" si="1114">Q200</f>
        <v>1112.5141330001079</v>
      </c>
      <c r="S200" s="169">
        <f t="shared" ref="S200:V200" si="1115">S21/S229</f>
        <v>1142.4611378997188</v>
      </c>
      <c r="T200" s="169">
        <f t="shared" si="1115"/>
        <v>1061.8776913845311</v>
      </c>
      <c r="U200" s="169">
        <f t="shared" si="1115"/>
        <v>1125.1353368185964</v>
      </c>
      <c r="V200" s="169">
        <f t="shared" si="1115"/>
        <v>1137.3110446519581</v>
      </c>
      <c r="W200" s="170">
        <f t="shared" ref="W200:W206" si="1116">V200</f>
        <v>1137.3110446519581</v>
      </c>
      <c r="X200" s="169">
        <f t="shared" ref="X200:AA200" si="1117">X21/X229</f>
        <v>1169.4551634332929</v>
      </c>
      <c r="Y200" s="169">
        <f t="shared" si="1117"/>
        <v>1083.7448778236223</v>
      </c>
      <c r="Z200" s="169">
        <f t="shared" si="1117"/>
        <v>1151.0833629619744</v>
      </c>
      <c r="AA200" s="169">
        <f t="shared" si="1117"/>
        <v>1163.5540077526518</v>
      </c>
      <c r="AB200" s="170">
        <f t="shared" ref="AB200:AB206" si="1118">AA200</f>
        <v>1163.5540077526518</v>
      </c>
      <c r="AC200" s="169">
        <f t="shared" ref="AC200:AF200" si="1119">AC21/AC229</f>
        <v>1198.5593646099373</v>
      </c>
      <c r="AD200" s="169">
        <f t="shared" si="1119"/>
        <v>1106.3264823612935</v>
      </c>
      <c r="AE200" s="169">
        <f t="shared" si="1119"/>
        <v>1178.1061311183821</v>
      </c>
      <c r="AF200" s="169">
        <f t="shared" si="1119"/>
        <v>1191.221936759935</v>
      </c>
      <c r="AG200" s="170">
        <f t="shared" ref="AG200:AG206" si="1120">AF200</f>
        <v>1191.221936759935</v>
      </c>
      <c r="AH200" s="169">
        <f t="shared" ref="AH200:AK200" si="1121">AH21/AH229</f>
        <v>1230.9220923624434</v>
      </c>
      <c r="AI200" s="169">
        <f t="shared" si="1121"/>
        <v>1131.4731445885875</v>
      </c>
      <c r="AJ200" s="169">
        <f t="shared" si="1121"/>
        <v>1208.1768093036083</v>
      </c>
      <c r="AK200" s="169">
        <f t="shared" si="1121"/>
        <v>1222.1091084955692</v>
      </c>
      <c r="AL200" s="170">
        <f t="shared" ref="AL200:AL206" si="1122">AK200</f>
        <v>1222.1091084955692</v>
      </c>
    </row>
    <row r="201" spans="1:38" outlineLevel="1" x14ac:dyDescent="0.2">
      <c r="A201" s="167"/>
      <c r="B201" s="437" t="s">
        <v>176</v>
      </c>
      <c r="C201" s="438"/>
      <c r="D201" s="73">
        <v>2564</v>
      </c>
      <c r="E201" s="73">
        <v>2569.3000000000002</v>
      </c>
      <c r="F201" s="73">
        <v>3238.7</v>
      </c>
      <c r="G201" s="73">
        <v>1753.7</v>
      </c>
      <c r="H201" s="74">
        <f>G201</f>
        <v>1753.7</v>
      </c>
      <c r="I201" s="73">
        <v>1637.8</v>
      </c>
      <c r="J201" s="73">
        <v>1539</v>
      </c>
      <c r="K201" s="73">
        <v>1511.7</v>
      </c>
      <c r="L201" s="336">
        <f>((G23-G22-G20)/(F23-F22-F20)*K201)</f>
        <v>1512.3442420648898</v>
      </c>
      <c r="M201" s="170">
        <f t="shared" si="1112"/>
        <v>1512.3442420648898</v>
      </c>
      <c r="N201" s="336">
        <f>((I23-I22-I20)/(G23-G22-G20)*L201)</f>
        <v>1566.8807333839802</v>
      </c>
      <c r="O201" s="336">
        <f>((J23-J22-J20)/(I23-I22-I20)*N201)</f>
        <v>1462.3174452000228</v>
      </c>
      <c r="P201" s="336">
        <f>((K23-K22-K20)/(J23-J22-J20)*O201)</f>
        <v>1275.9634252997093</v>
      </c>
      <c r="Q201" s="336">
        <f>((L23-L22-L20)/(K23-K22-K20)*P201)</f>
        <v>1501.0660995202559</v>
      </c>
      <c r="R201" s="170">
        <f t="shared" si="1114"/>
        <v>1501.0660995202559</v>
      </c>
      <c r="S201" s="336">
        <f>((N23-N22-N20)/(L23-L22-L20)*Q201)</f>
        <v>1554.4266369673908</v>
      </c>
      <c r="T201" s="336">
        <f>((O23-O22-O20)/(N23-N22-N20)*S201)</f>
        <v>1370.1404352865661</v>
      </c>
      <c r="U201" s="336">
        <f>((P23-P22-P20)/(O23-O22-O20)*T201)</f>
        <v>1534.7040981961511</v>
      </c>
      <c r="V201" s="336">
        <f>((Q23-Q22-Q20)/(P23-P22-P20)*U201)</f>
        <v>1595.8912201709772</v>
      </c>
      <c r="W201" s="170">
        <f t="shared" si="1116"/>
        <v>1595.8912201709772</v>
      </c>
      <c r="X201" s="336">
        <f>((S23-S22-S20)/(Q23-Q22-Q20)*V201)</f>
        <v>1632.4434763903432</v>
      </c>
      <c r="Y201" s="336">
        <f>((T23-T22-T20)/(S23-S22-S20)*X201)</f>
        <v>1435.503479055059</v>
      </c>
      <c r="Z201" s="336">
        <f>((U23-U22-U20)/(T23-T22-T20)*Y201)</f>
        <v>1613.8027783604448</v>
      </c>
      <c r="AA201" s="336">
        <f>((V23-V22-V20)/(U23-U22-U20)*Z201)</f>
        <v>1673.5197873619584</v>
      </c>
      <c r="AB201" s="170">
        <f t="shared" si="1118"/>
        <v>1673.5197873619584</v>
      </c>
      <c r="AC201" s="336">
        <f>((X23-X22-X20)/(V23-V22-V20)*AA201)</f>
        <v>1712.6788540229454</v>
      </c>
      <c r="AD201" s="336">
        <f>((Y23-Y22-Y20)/(X23-X22-X20)*AC201)</f>
        <v>1503.1677192942952</v>
      </c>
      <c r="AE201" s="336">
        <f>((Z23-Z22-Z20)/(Y23-Y22-Y20)*AD201)</f>
        <v>1691.7635746376968</v>
      </c>
      <c r="AF201" s="336">
        <f>((AA23-AA22-AA20)/(Z23-Z22-Z20)*AE201)</f>
        <v>1754.523221387285</v>
      </c>
      <c r="AG201" s="170">
        <f t="shared" si="1120"/>
        <v>1754.523221387285</v>
      </c>
      <c r="AH201" s="336">
        <f>((AC23-AC22-AC20)/(AA23-AA22-AA20)*AF201)</f>
        <v>1797.524560294157</v>
      </c>
      <c r="AI201" s="336">
        <f>((AD23-AD22-AD20)/(AC23-AC22-AC20)*AH201)</f>
        <v>1574.5970010282449</v>
      </c>
      <c r="AJ201" s="336">
        <f>((AE23-AE22-AE20)/(AD23-AD22-AD20)*AI201)</f>
        <v>1773.5559670472107</v>
      </c>
      <c r="AK201" s="336">
        <f>((AF23-AF22-AF20)/(AE23-AE22-AE20)*AJ201)</f>
        <v>1839.5758510177591</v>
      </c>
      <c r="AL201" s="170">
        <f t="shared" si="1122"/>
        <v>1839.5758510177591</v>
      </c>
    </row>
    <row r="202" spans="1:38" outlineLevel="1" x14ac:dyDescent="0.2">
      <c r="A202" s="167"/>
      <c r="B202" s="212" t="s">
        <v>241</v>
      </c>
      <c r="C202" s="213"/>
      <c r="D202" s="73">
        <v>0</v>
      </c>
      <c r="E202" s="73">
        <v>0</v>
      </c>
      <c r="F202" s="73">
        <v>0</v>
      </c>
      <c r="G202" s="73">
        <v>664.6</v>
      </c>
      <c r="H202" s="74">
        <f t="shared" ref="H202:H212" si="1123">G202</f>
        <v>664.6</v>
      </c>
      <c r="I202" s="73">
        <v>578.5</v>
      </c>
      <c r="J202" s="73">
        <v>596.1</v>
      </c>
      <c r="K202" s="73">
        <v>652.1</v>
      </c>
      <c r="L202" s="336">
        <f>K202</f>
        <v>652.1</v>
      </c>
      <c r="M202" s="170">
        <f t="shared" si="1112"/>
        <v>652.1</v>
      </c>
      <c r="N202" s="336">
        <f>L202</f>
        <v>652.1</v>
      </c>
      <c r="O202" s="336">
        <f t="shared" ref="O202:Q203" si="1124">N202</f>
        <v>652.1</v>
      </c>
      <c r="P202" s="336">
        <f t="shared" si="1124"/>
        <v>652.1</v>
      </c>
      <c r="Q202" s="336">
        <f t="shared" si="1124"/>
        <v>652.1</v>
      </c>
      <c r="R202" s="170">
        <f t="shared" si="1114"/>
        <v>652.1</v>
      </c>
      <c r="S202" s="336">
        <f>Q202</f>
        <v>652.1</v>
      </c>
      <c r="T202" s="336">
        <f t="shared" ref="T202:V203" si="1125">S202</f>
        <v>652.1</v>
      </c>
      <c r="U202" s="336">
        <f t="shared" si="1125"/>
        <v>652.1</v>
      </c>
      <c r="V202" s="336">
        <f t="shared" si="1125"/>
        <v>652.1</v>
      </c>
      <c r="W202" s="170">
        <f t="shared" si="1116"/>
        <v>652.1</v>
      </c>
      <c r="X202" s="336">
        <f>V202</f>
        <v>652.1</v>
      </c>
      <c r="Y202" s="336">
        <f t="shared" ref="Y202:AA203" si="1126">X202</f>
        <v>652.1</v>
      </c>
      <c r="Z202" s="336">
        <f t="shared" si="1126"/>
        <v>652.1</v>
      </c>
      <c r="AA202" s="336">
        <f t="shared" si="1126"/>
        <v>652.1</v>
      </c>
      <c r="AB202" s="170">
        <f t="shared" si="1118"/>
        <v>652.1</v>
      </c>
      <c r="AC202" s="336">
        <f>AA202</f>
        <v>652.1</v>
      </c>
      <c r="AD202" s="336">
        <f t="shared" ref="AD202:AF203" si="1127">AC202</f>
        <v>652.1</v>
      </c>
      <c r="AE202" s="336">
        <f t="shared" si="1127"/>
        <v>652.1</v>
      </c>
      <c r="AF202" s="336">
        <f t="shared" si="1127"/>
        <v>652.1</v>
      </c>
      <c r="AG202" s="170">
        <f t="shared" si="1120"/>
        <v>652.1</v>
      </c>
      <c r="AH202" s="336">
        <f>AF202</f>
        <v>652.1</v>
      </c>
      <c r="AI202" s="336">
        <f t="shared" ref="AI202:AK203" si="1128">AH202</f>
        <v>652.1</v>
      </c>
      <c r="AJ202" s="336">
        <f t="shared" si="1128"/>
        <v>652.1</v>
      </c>
      <c r="AK202" s="336">
        <f t="shared" si="1128"/>
        <v>652.1</v>
      </c>
      <c r="AL202" s="170">
        <f t="shared" si="1122"/>
        <v>652.1</v>
      </c>
    </row>
    <row r="203" spans="1:38" outlineLevel="1" x14ac:dyDescent="0.2">
      <c r="A203" s="167"/>
      <c r="B203" s="212" t="s">
        <v>242</v>
      </c>
      <c r="C203" s="213"/>
      <c r="D203" s="73">
        <v>0</v>
      </c>
      <c r="E203" s="73">
        <v>0</v>
      </c>
      <c r="F203" s="73">
        <v>0</v>
      </c>
      <c r="G203" s="73">
        <v>1291.7</v>
      </c>
      <c r="H203" s="74">
        <f t="shared" si="1123"/>
        <v>1291.7</v>
      </c>
      <c r="I203" s="73">
        <v>1414</v>
      </c>
      <c r="J203" s="73">
        <v>86.7</v>
      </c>
      <c r="K203" s="73">
        <v>90.9</v>
      </c>
      <c r="L203" s="336">
        <f>K203</f>
        <v>90.9</v>
      </c>
      <c r="M203" s="170">
        <f t="shared" si="1112"/>
        <v>90.9</v>
      </c>
      <c r="N203" s="336">
        <f>L203</f>
        <v>90.9</v>
      </c>
      <c r="O203" s="336">
        <f t="shared" si="1124"/>
        <v>90.9</v>
      </c>
      <c r="P203" s="336">
        <f t="shared" si="1124"/>
        <v>90.9</v>
      </c>
      <c r="Q203" s="336">
        <f t="shared" si="1124"/>
        <v>90.9</v>
      </c>
      <c r="R203" s="170">
        <f t="shared" si="1114"/>
        <v>90.9</v>
      </c>
      <c r="S203" s="336">
        <f>Q203</f>
        <v>90.9</v>
      </c>
      <c r="T203" s="336">
        <f t="shared" si="1125"/>
        <v>90.9</v>
      </c>
      <c r="U203" s="336">
        <f t="shared" si="1125"/>
        <v>90.9</v>
      </c>
      <c r="V203" s="336">
        <f t="shared" si="1125"/>
        <v>90.9</v>
      </c>
      <c r="W203" s="170">
        <f t="shared" si="1116"/>
        <v>90.9</v>
      </c>
      <c r="X203" s="336">
        <f>V203</f>
        <v>90.9</v>
      </c>
      <c r="Y203" s="336">
        <f t="shared" si="1126"/>
        <v>90.9</v>
      </c>
      <c r="Z203" s="336">
        <f t="shared" si="1126"/>
        <v>90.9</v>
      </c>
      <c r="AA203" s="336">
        <f t="shared" si="1126"/>
        <v>90.9</v>
      </c>
      <c r="AB203" s="170">
        <f t="shared" si="1118"/>
        <v>90.9</v>
      </c>
      <c r="AC203" s="336">
        <f>AA203</f>
        <v>90.9</v>
      </c>
      <c r="AD203" s="336">
        <f t="shared" si="1127"/>
        <v>90.9</v>
      </c>
      <c r="AE203" s="336">
        <f t="shared" si="1127"/>
        <v>90.9</v>
      </c>
      <c r="AF203" s="336">
        <f t="shared" si="1127"/>
        <v>90.9</v>
      </c>
      <c r="AG203" s="170">
        <f t="shared" si="1120"/>
        <v>90.9</v>
      </c>
      <c r="AH203" s="336">
        <f>AF203</f>
        <v>90.9</v>
      </c>
      <c r="AI203" s="336">
        <f t="shared" si="1128"/>
        <v>90.9</v>
      </c>
      <c r="AJ203" s="336">
        <f t="shared" si="1128"/>
        <v>90.9</v>
      </c>
      <c r="AK203" s="336">
        <f t="shared" si="1128"/>
        <v>90.9</v>
      </c>
      <c r="AL203" s="170">
        <f t="shared" si="1122"/>
        <v>90.9</v>
      </c>
    </row>
    <row r="204" spans="1:38" outlineLevel="1" x14ac:dyDescent="0.2">
      <c r="A204" s="167"/>
      <c r="B204" s="212" t="s">
        <v>243</v>
      </c>
      <c r="C204" s="213"/>
      <c r="D204" s="73">
        <v>0</v>
      </c>
      <c r="E204" s="73">
        <v>0</v>
      </c>
      <c r="F204" s="73">
        <v>0</v>
      </c>
      <c r="G204" s="73">
        <v>0</v>
      </c>
      <c r="H204" s="74">
        <f t="shared" si="1123"/>
        <v>0</v>
      </c>
      <c r="I204" s="73">
        <v>1268.9000000000001</v>
      </c>
      <c r="J204" s="73">
        <v>1253.5</v>
      </c>
      <c r="K204" s="73">
        <v>1237.0999999999999</v>
      </c>
      <c r="L204" s="336">
        <f>K204*0.99</f>
        <v>1224.7289999999998</v>
      </c>
      <c r="M204" s="170">
        <f t="shared" si="1112"/>
        <v>1224.7289999999998</v>
      </c>
      <c r="N204" s="336">
        <f>L204*0.99</f>
        <v>1212.4817099999998</v>
      </c>
      <c r="O204" s="336">
        <f t="shared" ref="O204:Q204" si="1129">N204*0.99</f>
        <v>1200.3568928999998</v>
      </c>
      <c r="P204" s="336">
        <f t="shared" si="1129"/>
        <v>1188.3533239709998</v>
      </c>
      <c r="Q204" s="336">
        <f t="shared" si="1129"/>
        <v>1176.4697907312898</v>
      </c>
      <c r="R204" s="170">
        <f t="shared" si="1114"/>
        <v>1176.4697907312898</v>
      </c>
      <c r="S204" s="336">
        <f>Q204*0.99</f>
        <v>1164.7050928239769</v>
      </c>
      <c r="T204" s="336">
        <f t="shared" ref="T204:V204" si="1130">S204*0.99</f>
        <v>1153.058041895737</v>
      </c>
      <c r="U204" s="336">
        <f t="shared" si="1130"/>
        <v>1141.5274614767795</v>
      </c>
      <c r="V204" s="336">
        <f t="shared" si="1130"/>
        <v>1130.1121868620116</v>
      </c>
      <c r="W204" s="170">
        <f t="shared" si="1116"/>
        <v>1130.1121868620116</v>
      </c>
      <c r="X204" s="336">
        <f>V204*0.99</f>
        <v>1118.8110649933915</v>
      </c>
      <c r="Y204" s="336">
        <f t="shared" ref="Y204:AA204" si="1131">X204*0.99</f>
        <v>1107.6229543434576</v>
      </c>
      <c r="Z204" s="336">
        <f t="shared" si="1131"/>
        <v>1096.546724800023</v>
      </c>
      <c r="AA204" s="336">
        <f t="shared" si="1131"/>
        <v>1085.5812575520226</v>
      </c>
      <c r="AB204" s="170">
        <f t="shared" si="1118"/>
        <v>1085.5812575520226</v>
      </c>
      <c r="AC204" s="336">
        <f>AA204*0.99</f>
        <v>1074.7254449765023</v>
      </c>
      <c r="AD204" s="336">
        <f t="shared" ref="AD204:AF204" si="1132">AC204*0.99</f>
        <v>1063.9781905267373</v>
      </c>
      <c r="AE204" s="336">
        <f t="shared" si="1132"/>
        <v>1053.3384086214699</v>
      </c>
      <c r="AF204" s="336">
        <f t="shared" si="1132"/>
        <v>1042.8050245352551</v>
      </c>
      <c r="AG204" s="170">
        <f t="shared" si="1120"/>
        <v>1042.8050245352551</v>
      </c>
      <c r="AH204" s="336">
        <f>AF204*0.99</f>
        <v>1032.3769742899026</v>
      </c>
      <c r="AI204" s="336">
        <f t="shared" ref="AI204:AK204" si="1133">AH204*0.99</f>
        <v>1022.0532045470036</v>
      </c>
      <c r="AJ204" s="336">
        <f t="shared" si="1133"/>
        <v>1011.8326725015336</v>
      </c>
      <c r="AK204" s="336">
        <f t="shared" si="1133"/>
        <v>1001.7143457765183</v>
      </c>
      <c r="AL204" s="170">
        <f t="shared" si="1122"/>
        <v>1001.7143457765183</v>
      </c>
    </row>
    <row r="205" spans="1:38" outlineLevel="1" x14ac:dyDescent="0.2">
      <c r="A205" s="167"/>
      <c r="B205" s="287" t="s">
        <v>177</v>
      </c>
      <c r="C205" s="288"/>
      <c r="D205" s="73">
        <v>1554.2</v>
      </c>
      <c r="E205" s="73">
        <v>1311.4</v>
      </c>
      <c r="F205" s="73">
        <v>1300.2</v>
      </c>
      <c r="G205" s="73">
        <v>1269</v>
      </c>
      <c r="H205" s="74">
        <f t="shared" si="1123"/>
        <v>1269</v>
      </c>
      <c r="I205" s="73">
        <v>1694.1</v>
      </c>
      <c r="J205" s="73">
        <v>1436.3</v>
      </c>
      <c r="K205" s="73">
        <v>1463.3</v>
      </c>
      <c r="L205" s="336">
        <f>K205*0.99</f>
        <v>1448.6669999999999</v>
      </c>
      <c r="M205" s="170">
        <f t="shared" si="1112"/>
        <v>1448.6669999999999</v>
      </c>
      <c r="N205" s="336">
        <f>L205*1.3</f>
        <v>1883.2671</v>
      </c>
      <c r="O205" s="336">
        <f>N205*0.85</f>
        <v>1600.7770350000001</v>
      </c>
      <c r="P205" s="336">
        <f>O205*0.99</f>
        <v>1584.76926465</v>
      </c>
      <c r="Q205" s="336">
        <f>P205*0.99</f>
        <v>1568.9215720034999</v>
      </c>
      <c r="R205" s="170">
        <f t="shared" si="1114"/>
        <v>1568.9215720034999</v>
      </c>
      <c r="S205" s="336">
        <f>Q205*1.3</f>
        <v>2039.59804360455</v>
      </c>
      <c r="T205" s="336">
        <f>S205*0.85</f>
        <v>1733.6583370638675</v>
      </c>
      <c r="U205" s="336">
        <f>T205*0.99</f>
        <v>1716.3217536932289</v>
      </c>
      <c r="V205" s="336">
        <f>U205*0.99</f>
        <v>1699.1585361562966</v>
      </c>
      <c r="W205" s="170">
        <f t="shared" si="1116"/>
        <v>1699.1585361562966</v>
      </c>
      <c r="X205" s="336">
        <f>V205*1.3</f>
        <v>2208.9060970031856</v>
      </c>
      <c r="Y205" s="336">
        <f>X205*0.85</f>
        <v>1877.5701824527077</v>
      </c>
      <c r="Z205" s="336">
        <f>Y205*0.99</f>
        <v>1858.7944806281807</v>
      </c>
      <c r="AA205" s="336">
        <f>Z205*0.99</f>
        <v>1840.206535821899</v>
      </c>
      <c r="AB205" s="170">
        <f t="shared" si="1118"/>
        <v>1840.206535821899</v>
      </c>
      <c r="AC205" s="336">
        <f>AA205*1.3</f>
        <v>2392.2684965684689</v>
      </c>
      <c r="AD205" s="336">
        <f>AC205*0.85</f>
        <v>2033.4282220831985</v>
      </c>
      <c r="AE205" s="336">
        <f>AD205*0.99</f>
        <v>2013.0939398623666</v>
      </c>
      <c r="AF205" s="336">
        <f>AE205*0.99</f>
        <v>1992.9630004637429</v>
      </c>
      <c r="AG205" s="170">
        <f t="shared" si="1120"/>
        <v>1992.9630004637429</v>
      </c>
      <c r="AH205" s="336">
        <f>AF205*1.3</f>
        <v>2590.851900602866</v>
      </c>
      <c r="AI205" s="336">
        <f>AH205*0.85</f>
        <v>2202.2241155124361</v>
      </c>
      <c r="AJ205" s="336">
        <f>AI205*0.99</f>
        <v>2180.2018743573117</v>
      </c>
      <c r="AK205" s="336">
        <f>AJ205*0.99</f>
        <v>2158.3998556137385</v>
      </c>
      <c r="AL205" s="170">
        <f t="shared" si="1122"/>
        <v>2158.3998556137385</v>
      </c>
    </row>
    <row r="206" spans="1:38" outlineLevel="1" x14ac:dyDescent="0.2">
      <c r="A206" s="167"/>
      <c r="B206" s="287" t="s">
        <v>247</v>
      </c>
      <c r="C206" s="308"/>
      <c r="D206" s="73">
        <v>0</v>
      </c>
      <c r="E206" s="73">
        <f>75+0</f>
        <v>75</v>
      </c>
      <c r="F206" s="73">
        <v>0</v>
      </c>
      <c r="G206" s="73">
        <v>0</v>
      </c>
      <c r="H206" s="74">
        <f t="shared" si="1123"/>
        <v>0</v>
      </c>
      <c r="I206" s="73">
        <f>497.9+498.7</f>
        <v>996.59999999999991</v>
      </c>
      <c r="J206" s="73">
        <f>1107.1+1249.4</f>
        <v>2356.5</v>
      </c>
      <c r="K206" s="73">
        <f>936.5+1249.6</f>
        <v>2186.1</v>
      </c>
      <c r="L206" s="336">
        <f>K206-437</f>
        <v>1749.1</v>
      </c>
      <c r="M206" s="170">
        <f t="shared" si="1112"/>
        <v>1749.1</v>
      </c>
      <c r="N206" s="336">
        <f>L206-437</f>
        <v>1312.1</v>
      </c>
      <c r="O206" s="336">
        <f>N206-437</f>
        <v>875.09999999999991</v>
      </c>
      <c r="P206" s="336">
        <f>O206-437</f>
        <v>438.09999999999991</v>
      </c>
      <c r="Q206" s="336">
        <v>1000</v>
      </c>
      <c r="R206" s="170">
        <f t="shared" si="1114"/>
        <v>1000</v>
      </c>
      <c r="S206" s="336">
        <v>750</v>
      </c>
      <c r="T206" s="336">
        <v>500</v>
      </c>
      <c r="U206" s="336">
        <v>250</v>
      </c>
      <c r="V206" s="336">
        <v>1000</v>
      </c>
      <c r="W206" s="170">
        <f t="shared" si="1116"/>
        <v>1000</v>
      </c>
      <c r="X206" s="336">
        <v>750</v>
      </c>
      <c r="Y206" s="336">
        <v>500</v>
      </c>
      <c r="Z206" s="336">
        <v>250</v>
      </c>
      <c r="AA206" s="336">
        <v>1543</v>
      </c>
      <c r="AB206" s="170">
        <f t="shared" si="1118"/>
        <v>1543</v>
      </c>
      <c r="AC206" s="336">
        <v>1157</v>
      </c>
      <c r="AD206" s="336">
        <v>772</v>
      </c>
      <c r="AE206" s="336">
        <v>386</v>
      </c>
      <c r="AF206" s="336">
        <v>3000</v>
      </c>
      <c r="AG206" s="170">
        <f t="shared" si="1120"/>
        <v>3000</v>
      </c>
      <c r="AH206" s="336">
        <v>2250</v>
      </c>
      <c r="AI206" s="336">
        <v>1500</v>
      </c>
      <c r="AJ206" s="336">
        <v>750</v>
      </c>
      <c r="AK206" s="336">
        <v>2000</v>
      </c>
      <c r="AL206" s="170">
        <f t="shared" si="1122"/>
        <v>2000</v>
      </c>
    </row>
    <row r="207" spans="1:38" ht="18" outlineLevel="1" x14ac:dyDescent="0.35">
      <c r="A207" s="167"/>
      <c r="B207" s="287" t="s">
        <v>240</v>
      </c>
      <c r="C207" s="308"/>
      <c r="D207" s="160">
        <v>208.8</v>
      </c>
      <c r="E207" s="160">
        <v>221</v>
      </c>
      <c r="F207" s="160">
        <v>211.5</v>
      </c>
      <c r="G207" s="160">
        <v>0</v>
      </c>
      <c r="H207" s="153">
        <f t="shared" si="1123"/>
        <v>0</v>
      </c>
      <c r="I207" s="160">
        <v>0</v>
      </c>
      <c r="J207" s="160">
        <v>0</v>
      </c>
      <c r="K207" s="160">
        <v>0</v>
      </c>
      <c r="L207" s="184"/>
      <c r="M207" s="294"/>
      <c r="N207" s="184"/>
      <c r="O207" s="184"/>
      <c r="P207" s="184"/>
      <c r="Q207" s="184"/>
      <c r="R207" s="294"/>
      <c r="S207" s="184"/>
      <c r="T207" s="184"/>
      <c r="U207" s="184"/>
      <c r="V207" s="184"/>
      <c r="W207" s="294"/>
      <c r="X207" s="184"/>
      <c r="Y207" s="184"/>
      <c r="Z207" s="184"/>
      <c r="AA207" s="184"/>
      <c r="AB207" s="294"/>
      <c r="AC207" s="184"/>
      <c r="AD207" s="184"/>
      <c r="AE207" s="184"/>
      <c r="AF207" s="184"/>
      <c r="AG207" s="294"/>
      <c r="AH207" s="184"/>
      <c r="AI207" s="184"/>
      <c r="AJ207" s="184"/>
      <c r="AK207" s="184"/>
      <c r="AL207" s="294"/>
    </row>
    <row r="208" spans="1:38" outlineLevel="1" x14ac:dyDescent="0.2">
      <c r="A208" s="167"/>
      <c r="B208" s="287" t="s">
        <v>8</v>
      </c>
      <c r="C208" s="308"/>
      <c r="D208" s="72">
        <f t="shared" ref="D208:AL208" si="1134">SUM(D200:D207)</f>
        <v>5427.5</v>
      </c>
      <c r="E208" s="72">
        <f t="shared" si="1134"/>
        <v>5273.4</v>
      </c>
      <c r="F208" s="72">
        <f t="shared" si="1134"/>
        <v>5895.8</v>
      </c>
      <c r="G208" s="72">
        <f t="shared" si="1134"/>
        <v>6168.7</v>
      </c>
      <c r="H208" s="154">
        <f t="shared" si="1134"/>
        <v>6168.7</v>
      </c>
      <c r="I208" s="72">
        <f t="shared" si="1134"/>
        <v>8675.5</v>
      </c>
      <c r="J208" s="72">
        <f t="shared" si="1134"/>
        <v>8265.7999999999993</v>
      </c>
      <c r="K208" s="72">
        <f t="shared" si="1134"/>
        <v>8002</v>
      </c>
      <c r="L208" s="199">
        <f t="shared" si="1134"/>
        <v>7766.3038592852317</v>
      </c>
      <c r="M208" s="295">
        <f t="shared" si="1134"/>
        <v>7766.3038592852317</v>
      </c>
      <c r="N208" s="199">
        <f t="shared" si="1134"/>
        <v>7837.588035058805</v>
      </c>
      <c r="O208" s="199">
        <f t="shared" si="1134"/>
        <v>6919.7145487571397</v>
      </c>
      <c r="P208" s="199">
        <f t="shared" si="1134"/>
        <v>6326.9036170319159</v>
      </c>
      <c r="Q208" s="199">
        <f t="shared" si="1134"/>
        <v>7101.9715952551533</v>
      </c>
      <c r="R208" s="295">
        <f t="shared" si="1134"/>
        <v>7101.9715952551533</v>
      </c>
      <c r="S208" s="199">
        <f t="shared" si="1134"/>
        <v>7394.1909112956364</v>
      </c>
      <c r="T208" s="199">
        <f t="shared" si="1134"/>
        <v>6561.7345056307013</v>
      </c>
      <c r="U208" s="199">
        <f t="shared" si="1134"/>
        <v>6510.6886501847557</v>
      </c>
      <c r="V208" s="199">
        <f t="shared" si="1134"/>
        <v>7305.4729878412436</v>
      </c>
      <c r="W208" s="295">
        <f t="shared" si="1134"/>
        <v>7305.4729878412436</v>
      </c>
      <c r="X208" s="199">
        <f t="shared" si="1134"/>
        <v>7622.6158018202132</v>
      </c>
      <c r="Y208" s="199">
        <f t="shared" si="1134"/>
        <v>6747.4414936748462</v>
      </c>
      <c r="Z208" s="199">
        <f t="shared" si="1134"/>
        <v>6713.2273467506238</v>
      </c>
      <c r="AA208" s="199">
        <f t="shared" si="1134"/>
        <v>8048.8615884885312</v>
      </c>
      <c r="AB208" s="295">
        <f t="shared" si="1134"/>
        <v>8048.8615884885312</v>
      </c>
      <c r="AC208" s="199">
        <f t="shared" si="1134"/>
        <v>8278.2321601778549</v>
      </c>
      <c r="AD208" s="199">
        <f t="shared" si="1134"/>
        <v>7221.9006142655244</v>
      </c>
      <c r="AE208" s="199">
        <f t="shared" si="1134"/>
        <v>7065.3020542399154</v>
      </c>
      <c r="AF208" s="199">
        <f t="shared" si="1134"/>
        <v>9724.5131831462168</v>
      </c>
      <c r="AG208" s="295">
        <f t="shared" si="1134"/>
        <v>9724.5131831462168</v>
      </c>
      <c r="AH208" s="199">
        <f t="shared" si="1134"/>
        <v>9644.6755275493688</v>
      </c>
      <c r="AI208" s="199">
        <f t="shared" si="1134"/>
        <v>8173.3474656762719</v>
      </c>
      <c r="AJ208" s="199">
        <f t="shared" si="1134"/>
        <v>7666.767323209664</v>
      </c>
      <c r="AK208" s="199">
        <f t="shared" si="1134"/>
        <v>8964.7991609035853</v>
      </c>
      <c r="AL208" s="295">
        <f t="shared" si="1134"/>
        <v>8964.7991609035853</v>
      </c>
    </row>
    <row r="209" spans="1:38" outlineLevel="1" x14ac:dyDescent="0.2">
      <c r="A209" s="167"/>
      <c r="B209" s="287" t="s">
        <v>178</v>
      </c>
      <c r="C209" s="308"/>
      <c r="D209" s="73">
        <v>9130.7000000000007</v>
      </c>
      <c r="E209" s="73">
        <v>9141.5</v>
      </c>
      <c r="F209" s="73">
        <v>11159.1</v>
      </c>
      <c r="G209" s="73">
        <v>11167</v>
      </c>
      <c r="H209" s="74">
        <f t="shared" si="1123"/>
        <v>11167</v>
      </c>
      <c r="I209" s="73">
        <v>10653.2</v>
      </c>
      <c r="J209" s="73">
        <v>11658.7</v>
      </c>
      <c r="K209" s="73">
        <v>14645.6</v>
      </c>
      <c r="L209" s="336">
        <f>K209</f>
        <v>14645.6</v>
      </c>
      <c r="M209" s="170">
        <f>L209</f>
        <v>14645.6</v>
      </c>
      <c r="N209" s="336">
        <f>L209</f>
        <v>14645.6</v>
      </c>
      <c r="O209" s="336">
        <f>N209</f>
        <v>14645.6</v>
      </c>
      <c r="P209" s="336">
        <f>O209</f>
        <v>14645.6</v>
      </c>
      <c r="Q209" s="336">
        <f>P209-1000</f>
        <v>13645.6</v>
      </c>
      <c r="R209" s="170">
        <f>Q209</f>
        <v>13645.6</v>
      </c>
      <c r="S209" s="336">
        <f>R209</f>
        <v>13645.6</v>
      </c>
      <c r="T209" s="336">
        <f>S209</f>
        <v>13645.6</v>
      </c>
      <c r="U209" s="336">
        <f>T209</f>
        <v>13645.6</v>
      </c>
      <c r="V209" s="336">
        <f>U209-1000</f>
        <v>12645.6</v>
      </c>
      <c r="W209" s="170">
        <f>V209</f>
        <v>12645.6</v>
      </c>
      <c r="X209" s="336">
        <f>V209</f>
        <v>12645.6</v>
      </c>
      <c r="Y209" s="336">
        <f>X209</f>
        <v>12645.6</v>
      </c>
      <c r="Z209" s="336">
        <f>Y209</f>
        <v>12645.6</v>
      </c>
      <c r="AA209" s="336">
        <f>Z209-1543</f>
        <v>11102.6</v>
      </c>
      <c r="AB209" s="170">
        <f>AA209</f>
        <v>11102.6</v>
      </c>
      <c r="AC209" s="336">
        <f>AA209</f>
        <v>11102.6</v>
      </c>
      <c r="AD209" s="336">
        <f>AC209</f>
        <v>11102.6</v>
      </c>
      <c r="AE209" s="336">
        <f>AD209</f>
        <v>11102.6</v>
      </c>
      <c r="AF209" s="336">
        <f>AE209-3000</f>
        <v>8102.6</v>
      </c>
      <c r="AG209" s="170">
        <f>AF209</f>
        <v>8102.6</v>
      </c>
      <c r="AH209" s="336">
        <f>AF209</f>
        <v>8102.6</v>
      </c>
      <c r="AI209" s="336">
        <f>AH209</f>
        <v>8102.6</v>
      </c>
      <c r="AJ209" s="336">
        <f>AI209</f>
        <v>8102.6</v>
      </c>
      <c r="AK209" s="336">
        <f>AJ209-2000</f>
        <v>6102.6</v>
      </c>
      <c r="AL209" s="170">
        <f>AK209</f>
        <v>6102.6</v>
      </c>
    </row>
    <row r="210" spans="1:38" outlineLevel="1" x14ac:dyDescent="0.2">
      <c r="A210" s="167"/>
      <c r="B210" s="212" t="s">
        <v>248</v>
      </c>
      <c r="C210" s="145"/>
      <c r="D210" s="73">
        <v>0</v>
      </c>
      <c r="E210" s="73">
        <v>0</v>
      </c>
      <c r="F210" s="73">
        <v>0</v>
      </c>
      <c r="G210" s="73">
        <v>0</v>
      </c>
      <c r="H210" s="74">
        <f t="shared" si="1123"/>
        <v>0</v>
      </c>
      <c r="I210" s="73">
        <v>7711.7</v>
      </c>
      <c r="J210" s="73">
        <v>7650.4</v>
      </c>
      <c r="K210" s="73">
        <v>7653.6</v>
      </c>
      <c r="L210" s="336">
        <f>K210*0.99</f>
        <v>7577.0640000000003</v>
      </c>
      <c r="M210" s="170">
        <f>L210</f>
        <v>7577.0640000000003</v>
      </c>
      <c r="N210" s="336">
        <f>L210*0.99</f>
        <v>7501.2933600000006</v>
      </c>
      <c r="O210" s="336">
        <f t="shared" ref="O210:Q210" si="1135">N210*0.99</f>
        <v>7426.2804264000006</v>
      </c>
      <c r="P210" s="336">
        <f t="shared" si="1135"/>
        <v>7352.0176221360007</v>
      </c>
      <c r="Q210" s="336">
        <f t="shared" si="1135"/>
        <v>7278.4974459146406</v>
      </c>
      <c r="R210" s="170">
        <f>Q210</f>
        <v>7278.4974459146406</v>
      </c>
      <c r="S210" s="336">
        <f>Q210*0.99</f>
        <v>7205.7124714554939</v>
      </c>
      <c r="T210" s="336">
        <f t="shared" ref="T210:V210" si="1136">S210*0.99</f>
        <v>7133.6553467409385</v>
      </c>
      <c r="U210" s="336">
        <f t="shared" si="1136"/>
        <v>7062.3187932735291</v>
      </c>
      <c r="V210" s="336">
        <f t="shared" si="1136"/>
        <v>6991.6956053407939</v>
      </c>
      <c r="W210" s="170">
        <f>V210</f>
        <v>6991.6956053407939</v>
      </c>
      <c r="X210" s="336">
        <f>V210*0.99</f>
        <v>6921.7786492873856</v>
      </c>
      <c r="Y210" s="336">
        <f t="shared" ref="Y210:AA210" si="1137">X210*0.99</f>
        <v>6852.5608627945121</v>
      </c>
      <c r="Z210" s="336">
        <f t="shared" si="1137"/>
        <v>6784.035254166567</v>
      </c>
      <c r="AA210" s="336">
        <f t="shared" si="1137"/>
        <v>6716.1949016249009</v>
      </c>
      <c r="AB210" s="170">
        <f>AA210</f>
        <v>6716.1949016249009</v>
      </c>
      <c r="AC210" s="336">
        <f>AA210*0.99</f>
        <v>6649.0329526086516</v>
      </c>
      <c r="AD210" s="336">
        <f t="shared" ref="AD210:AF210" si="1138">AC210*0.99</f>
        <v>6582.5426230825651</v>
      </c>
      <c r="AE210" s="336">
        <f t="shared" si="1138"/>
        <v>6516.7171968517396</v>
      </c>
      <c r="AF210" s="336">
        <f t="shared" si="1138"/>
        <v>6451.5500248832222</v>
      </c>
      <c r="AG210" s="170">
        <f>AF210</f>
        <v>6451.5500248832222</v>
      </c>
      <c r="AH210" s="336">
        <f>AF210*0.99</f>
        <v>6387.0345246343895</v>
      </c>
      <c r="AI210" s="336">
        <f t="shared" ref="AI210:AK210" si="1139">AH210*0.99</f>
        <v>6323.1641793880453</v>
      </c>
      <c r="AJ210" s="336">
        <f t="shared" si="1139"/>
        <v>6259.9325375941644</v>
      </c>
      <c r="AK210" s="336">
        <f t="shared" si="1139"/>
        <v>6197.3332122182228</v>
      </c>
      <c r="AL210" s="170">
        <f>AK210</f>
        <v>6197.3332122182228</v>
      </c>
    </row>
    <row r="211" spans="1:38" outlineLevel="1" x14ac:dyDescent="0.2">
      <c r="A211" s="167"/>
      <c r="B211" s="42" t="s">
        <v>187</v>
      </c>
      <c r="C211" s="145"/>
      <c r="D211" s="73">
        <v>6823.7</v>
      </c>
      <c r="E211" s="73">
        <v>6761.9</v>
      </c>
      <c r="F211" s="73">
        <v>6717.9</v>
      </c>
      <c r="G211" s="73">
        <v>6744.4</v>
      </c>
      <c r="H211" s="74">
        <f>G211</f>
        <v>6744.4</v>
      </c>
      <c r="I211" s="73">
        <v>6748.8</v>
      </c>
      <c r="J211" s="73">
        <v>6685.5</v>
      </c>
      <c r="K211" s="73">
        <v>6642.6</v>
      </c>
      <c r="L211" s="336">
        <f>K211*0.996</f>
        <v>6616.0296000000008</v>
      </c>
      <c r="M211" s="170">
        <f>L211</f>
        <v>6616.0296000000008</v>
      </c>
      <c r="N211" s="336">
        <f t="shared" ref="N211:AK211" si="1140">M211*0.996</f>
        <v>6589.5654816000006</v>
      </c>
      <c r="O211" s="336">
        <f t="shared" si="1140"/>
        <v>6563.2072196736008</v>
      </c>
      <c r="P211" s="336">
        <f t="shared" si="1140"/>
        <v>6536.9543907949064</v>
      </c>
      <c r="Q211" s="336">
        <f t="shared" si="1140"/>
        <v>6510.8065732317264</v>
      </c>
      <c r="R211" s="170">
        <f>Q211</f>
        <v>6510.8065732317264</v>
      </c>
      <c r="S211" s="336">
        <f t="shared" si="1140"/>
        <v>6484.7633469387993</v>
      </c>
      <c r="T211" s="336">
        <f t="shared" si="1140"/>
        <v>6458.8242935510443</v>
      </c>
      <c r="U211" s="336">
        <f t="shared" si="1140"/>
        <v>6432.9889963768401</v>
      </c>
      <c r="V211" s="336">
        <f t="shared" si="1140"/>
        <v>6407.2570403913323</v>
      </c>
      <c r="W211" s="170">
        <f>V211</f>
        <v>6407.2570403913323</v>
      </c>
      <c r="X211" s="336">
        <f t="shared" si="1140"/>
        <v>6381.6280122297667</v>
      </c>
      <c r="Y211" s="336">
        <f t="shared" si="1140"/>
        <v>6356.1015001808473</v>
      </c>
      <c r="Z211" s="336">
        <f t="shared" si="1140"/>
        <v>6330.6770941801242</v>
      </c>
      <c r="AA211" s="336">
        <f t="shared" si="1140"/>
        <v>6305.3543858034036</v>
      </c>
      <c r="AB211" s="170">
        <f>AA211</f>
        <v>6305.3543858034036</v>
      </c>
      <c r="AC211" s="336">
        <f t="shared" si="1140"/>
        <v>6280.13296826019</v>
      </c>
      <c r="AD211" s="336">
        <f t="shared" si="1140"/>
        <v>6255.0124363871491</v>
      </c>
      <c r="AE211" s="336">
        <f t="shared" si="1140"/>
        <v>6229.9923866416002</v>
      </c>
      <c r="AF211" s="336">
        <f t="shared" si="1140"/>
        <v>6205.0724170950334</v>
      </c>
      <c r="AG211" s="170">
        <f>AF211</f>
        <v>6205.0724170950334</v>
      </c>
      <c r="AH211" s="336">
        <f t="shared" si="1140"/>
        <v>6180.2521274266528</v>
      </c>
      <c r="AI211" s="336">
        <f t="shared" si="1140"/>
        <v>6155.5311189169461</v>
      </c>
      <c r="AJ211" s="336">
        <f t="shared" si="1140"/>
        <v>6130.9089944412781</v>
      </c>
      <c r="AK211" s="336">
        <f t="shared" si="1140"/>
        <v>6106.3853584635126</v>
      </c>
      <c r="AL211" s="170">
        <f>AK211</f>
        <v>6106.3853584635126</v>
      </c>
    </row>
    <row r="212" spans="1:38" ht="15.75" customHeight="1" outlineLevel="1" x14ac:dyDescent="0.35">
      <c r="A212" s="167"/>
      <c r="B212" s="437" t="s">
        <v>179</v>
      </c>
      <c r="C212" s="438"/>
      <c r="D212" s="160">
        <v>1478.2</v>
      </c>
      <c r="E212" s="160">
        <v>1500.3</v>
      </c>
      <c r="F212" s="160">
        <v>1440.6</v>
      </c>
      <c r="G212" s="160">
        <v>1370.5</v>
      </c>
      <c r="H212" s="153">
        <f t="shared" si="1123"/>
        <v>1370.5</v>
      </c>
      <c r="I212" s="160">
        <v>701.2</v>
      </c>
      <c r="J212" s="160">
        <v>751.4</v>
      </c>
      <c r="K212" s="160">
        <v>821.1</v>
      </c>
      <c r="L212" s="51">
        <f>K212*1.015</f>
        <v>833.41649999999993</v>
      </c>
      <c r="M212" s="294">
        <f>L212</f>
        <v>833.41649999999993</v>
      </c>
      <c r="N212" s="51">
        <f>L212*1.015</f>
        <v>845.91774749999979</v>
      </c>
      <c r="O212" s="51">
        <f t="shared" ref="O212:Q212" si="1141">N212*1.015</f>
        <v>858.60651371249969</v>
      </c>
      <c r="P212" s="51">
        <f t="shared" si="1141"/>
        <v>871.48561141818709</v>
      </c>
      <c r="Q212" s="51">
        <f t="shared" si="1141"/>
        <v>884.5578955894598</v>
      </c>
      <c r="R212" s="294">
        <f>Q212</f>
        <v>884.5578955894598</v>
      </c>
      <c r="S212" s="51">
        <f>Q212*1.015</f>
        <v>897.82626402330163</v>
      </c>
      <c r="T212" s="51">
        <f t="shared" ref="T212:V212" si="1142">S212*1.015</f>
        <v>911.29365798365109</v>
      </c>
      <c r="U212" s="51">
        <f t="shared" si="1142"/>
        <v>924.96306285340575</v>
      </c>
      <c r="V212" s="51">
        <f t="shared" si="1142"/>
        <v>938.83750879620675</v>
      </c>
      <c r="W212" s="294">
        <f>V212</f>
        <v>938.83750879620675</v>
      </c>
      <c r="X212" s="51">
        <f>V212*1.015</f>
        <v>952.92007142814975</v>
      </c>
      <c r="Y212" s="51">
        <f t="shared" ref="Y212:AA212" si="1143">X212*1.015</f>
        <v>967.21387249957195</v>
      </c>
      <c r="Z212" s="51">
        <f t="shared" si="1143"/>
        <v>981.72208058706542</v>
      </c>
      <c r="AA212" s="51">
        <f t="shared" si="1143"/>
        <v>996.44791179587128</v>
      </c>
      <c r="AB212" s="294">
        <f>AA212</f>
        <v>996.44791179587128</v>
      </c>
      <c r="AC212" s="51">
        <f>AA212*1.015</f>
        <v>1011.3946304728092</v>
      </c>
      <c r="AD212" s="51">
        <f t="shared" ref="AD212:AF212" si="1144">AC212*1.015</f>
        <v>1026.5655499299012</v>
      </c>
      <c r="AE212" s="51">
        <f t="shared" si="1144"/>
        <v>1041.9640331788496</v>
      </c>
      <c r="AF212" s="51">
        <f t="shared" si="1144"/>
        <v>1057.5934936765323</v>
      </c>
      <c r="AG212" s="294">
        <f>AF212</f>
        <v>1057.5934936765323</v>
      </c>
      <c r="AH212" s="51">
        <f>AF212*1.015</f>
        <v>1073.4573960816801</v>
      </c>
      <c r="AI212" s="51">
        <f t="shared" ref="AI212:AK212" si="1145">AH212*1.015</f>
        <v>1089.5592570229053</v>
      </c>
      <c r="AJ212" s="51">
        <f t="shared" si="1145"/>
        <v>1105.9026458782487</v>
      </c>
      <c r="AK212" s="51">
        <f t="shared" si="1145"/>
        <v>1122.4911855664222</v>
      </c>
      <c r="AL212" s="294">
        <f>AK212</f>
        <v>1122.4911855664222</v>
      </c>
    </row>
    <row r="213" spans="1:38" outlineLevel="1" x14ac:dyDescent="0.2">
      <c r="A213" s="167"/>
      <c r="B213" s="484" t="s">
        <v>9</v>
      </c>
      <c r="C213" s="485"/>
      <c r="D213" s="72">
        <f t="shared" ref="D213" si="1146">SUM(D208:D212)</f>
        <v>22860.100000000002</v>
      </c>
      <c r="E213" s="72">
        <f>SUM(E208:E212)</f>
        <v>22677.1</v>
      </c>
      <c r="F213" s="72">
        <f>SUM(F208:F212)</f>
        <v>25213.4</v>
      </c>
      <c r="G213" s="72">
        <f>SUM(G208:G212)</f>
        <v>25450.6</v>
      </c>
      <c r="H213" s="154">
        <f t="shared" ref="H213" si="1147">SUM(H208:H212)</f>
        <v>25450.6</v>
      </c>
      <c r="I213" s="72">
        <f>SUM(I208:I212)</f>
        <v>34490.400000000001</v>
      </c>
      <c r="J213" s="72">
        <f>SUM(J208:J212)</f>
        <v>35011.800000000003</v>
      </c>
      <c r="K213" s="72">
        <f>SUM(K208:K212)</f>
        <v>37764.899999999994</v>
      </c>
      <c r="L213" s="72">
        <f t="shared" ref="L213:R213" si="1148">SUM(L208:L212)</f>
        <v>37438.41395928523</v>
      </c>
      <c r="M213" s="72">
        <f t="shared" si="1148"/>
        <v>37438.41395928523</v>
      </c>
      <c r="N213" s="72">
        <f t="shared" si="1148"/>
        <v>37419.964624158805</v>
      </c>
      <c r="O213" s="72">
        <f t="shared" si="1148"/>
        <v>36413.40870854324</v>
      </c>
      <c r="P213" s="72">
        <f t="shared" si="1148"/>
        <v>35732.96124138101</v>
      </c>
      <c r="Q213" s="72">
        <f t="shared" si="1148"/>
        <v>35421.43350999098</v>
      </c>
      <c r="R213" s="72">
        <f t="shared" si="1148"/>
        <v>35421.43350999098</v>
      </c>
      <c r="S213" s="72">
        <f t="shared" ref="S213" si="1149">SUM(S208:S212)</f>
        <v>35628.092993713231</v>
      </c>
      <c r="T213" s="72">
        <f t="shared" ref="T213" si="1150">SUM(T208:T212)</f>
        <v>34711.107803906336</v>
      </c>
      <c r="U213" s="72">
        <f t="shared" ref="U213" si="1151">SUM(U208:U212)</f>
        <v>34576.559502688528</v>
      </c>
      <c r="V213" s="72">
        <f t="shared" ref="V213" si="1152">SUM(V208:V212)</f>
        <v>34288.863142369577</v>
      </c>
      <c r="W213" s="72">
        <f t="shared" ref="W213" si="1153">SUM(W208:W212)</f>
        <v>34288.863142369577</v>
      </c>
      <c r="X213" s="72">
        <f t="shared" ref="X213" si="1154">SUM(X208:X212)</f>
        <v>34524.542534765511</v>
      </c>
      <c r="Y213" s="72">
        <f t="shared" ref="Y213" si="1155">SUM(Y208:Y212)</f>
        <v>33568.917729149776</v>
      </c>
      <c r="Z213" s="72">
        <f t="shared" ref="Z213" si="1156">SUM(Z208:Z212)</f>
        <v>33455.261775684383</v>
      </c>
      <c r="AA213" s="72">
        <f t="shared" ref="AA213" si="1157">SUM(AA208:AA212)</f>
        <v>33169.458787712705</v>
      </c>
      <c r="AB213" s="72">
        <f t="shared" ref="AB213" si="1158">SUM(AB208:AB212)</f>
        <v>33169.458787712705</v>
      </c>
      <c r="AC213" s="72">
        <f t="shared" ref="AC213" si="1159">SUM(AC208:AC212)</f>
        <v>33321.392711519511</v>
      </c>
      <c r="AD213" s="72">
        <f t="shared" ref="AD213" si="1160">SUM(AD208:AD212)</f>
        <v>32188.621223665141</v>
      </c>
      <c r="AE213" s="72">
        <f t="shared" ref="AE213" si="1161">SUM(AE208:AE212)</f>
        <v>31956.575670912105</v>
      </c>
      <c r="AF213" s="72">
        <f t="shared" ref="AF213" si="1162">SUM(AF208:AF212)</f>
        <v>31541.329118801008</v>
      </c>
      <c r="AG213" s="72">
        <f t="shared" ref="AG213" si="1163">SUM(AG208:AG212)</f>
        <v>31541.329118801008</v>
      </c>
      <c r="AH213" s="72">
        <f t="shared" ref="AH213" si="1164">SUM(AH208:AH212)</f>
        <v>31388.019575692091</v>
      </c>
      <c r="AI213" s="72">
        <f t="shared" ref="AI213" si="1165">SUM(AI208:AI212)</f>
        <v>29844.202021004166</v>
      </c>
      <c r="AJ213" s="72">
        <f t="shared" ref="AJ213" si="1166">SUM(AJ208:AJ212)</f>
        <v>29266.111501123356</v>
      </c>
      <c r="AK213" s="72">
        <f t="shared" ref="AK213" si="1167">SUM(AK208:AK212)</f>
        <v>28493.608917151741</v>
      </c>
      <c r="AL213" s="72">
        <f t="shared" ref="AL213" si="1168">SUM(AL208:AL212)</f>
        <v>28493.608917151741</v>
      </c>
    </row>
    <row r="214" spans="1:38" ht="19" x14ac:dyDescent="0.35">
      <c r="A214" s="167"/>
      <c r="B214" s="417" t="s">
        <v>55</v>
      </c>
      <c r="C214" s="436"/>
      <c r="D214" s="23" t="s">
        <v>72</v>
      </c>
      <c r="E214" s="23" t="s">
        <v>212</v>
      </c>
      <c r="F214" s="23" t="s">
        <v>216</v>
      </c>
      <c r="G214" s="23" t="s">
        <v>226</v>
      </c>
      <c r="H214" s="78" t="s">
        <v>227</v>
      </c>
      <c r="I214" s="23" t="s">
        <v>228</v>
      </c>
      <c r="J214" s="23" t="s">
        <v>229</v>
      </c>
      <c r="K214" s="23" t="s">
        <v>230</v>
      </c>
      <c r="L214" s="155" t="s">
        <v>90</v>
      </c>
      <c r="M214" s="156" t="s">
        <v>91</v>
      </c>
      <c r="N214" s="155" t="s">
        <v>92</v>
      </c>
      <c r="O214" s="155" t="s">
        <v>93</v>
      </c>
      <c r="P214" s="155" t="s">
        <v>94</v>
      </c>
      <c r="Q214" s="155" t="s">
        <v>95</v>
      </c>
      <c r="R214" s="156" t="s">
        <v>96</v>
      </c>
      <c r="S214" s="155" t="s">
        <v>97</v>
      </c>
      <c r="T214" s="155" t="s">
        <v>98</v>
      </c>
      <c r="U214" s="155" t="s">
        <v>99</v>
      </c>
      <c r="V214" s="155" t="s">
        <v>100</v>
      </c>
      <c r="W214" s="156" t="s">
        <v>101</v>
      </c>
      <c r="X214" s="155" t="s">
        <v>102</v>
      </c>
      <c r="Y214" s="155" t="s">
        <v>103</v>
      </c>
      <c r="Z214" s="155" t="s">
        <v>104</v>
      </c>
      <c r="AA214" s="155" t="s">
        <v>105</v>
      </c>
      <c r="AB214" s="156" t="s">
        <v>106</v>
      </c>
      <c r="AC214" s="21" t="s">
        <v>221</v>
      </c>
      <c r="AD214" s="21" t="s">
        <v>222</v>
      </c>
      <c r="AE214" s="21" t="s">
        <v>223</v>
      </c>
      <c r="AF214" s="21" t="s">
        <v>224</v>
      </c>
      <c r="AG214" s="80" t="s">
        <v>225</v>
      </c>
      <c r="AH214" s="21" t="s">
        <v>254</v>
      </c>
      <c r="AI214" s="21" t="s">
        <v>255</v>
      </c>
      <c r="AJ214" s="21" t="s">
        <v>256</v>
      </c>
      <c r="AK214" s="21" t="s">
        <v>257</v>
      </c>
      <c r="AL214" s="80" t="s">
        <v>258</v>
      </c>
    </row>
    <row r="215" spans="1:38" outlineLevel="1" x14ac:dyDescent="0.2">
      <c r="A215" s="167"/>
      <c r="B215" s="421" t="s">
        <v>180</v>
      </c>
      <c r="C215" s="422"/>
      <c r="D215" s="25">
        <f>1.2+41.1</f>
        <v>42.300000000000004</v>
      </c>
      <c r="E215" s="25">
        <f>1.2+41.1</f>
        <v>42.300000000000004</v>
      </c>
      <c r="F215" s="25">
        <f>1.2+41.1</f>
        <v>42.300000000000004</v>
      </c>
      <c r="G215" s="25">
        <f>1.2+41.1</f>
        <v>42.300000000000004</v>
      </c>
      <c r="H215" s="26">
        <f>G215</f>
        <v>42.300000000000004</v>
      </c>
      <c r="I215" s="25">
        <f>1.2+41.1</f>
        <v>42.300000000000004</v>
      </c>
      <c r="J215" s="25">
        <f>1.2+41.1</f>
        <v>42.300000000000004</v>
      </c>
      <c r="K215" s="25">
        <f>1.2+115.4</f>
        <v>116.60000000000001</v>
      </c>
      <c r="L215" s="169">
        <f>K215+L247+L270</f>
        <v>175.10512821427818</v>
      </c>
      <c r="M215" s="170">
        <f>L215</f>
        <v>175.10512821427818</v>
      </c>
      <c r="N215" s="169">
        <f>L215+N247+N270</f>
        <v>244.783744877045</v>
      </c>
      <c r="O215" s="169">
        <f t="shared" ref="O215:Q215" si="1169">N215+O247+O270</f>
        <v>302.58765694606757</v>
      </c>
      <c r="P215" s="169">
        <f t="shared" si="1169"/>
        <v>369.22588531710988</v>
      </c>
      <c r="Q215" s="169">
        <f t="shared" si="1169"/>
        <v>439.78173117444123</v>
      </c>
      <c r="R215" s="170">
        <f>Q215</f>
        <v>439.78173117444123</v>
      </c>
      <c r="S215" s="169">
        <f>Q215+S247+S270</f>
        <v>510.7163698369647</v>
      </c>
      <c r="T215" s="169">
        <f t="shared" ref="T215:V215" si="1170">S215+T247+T270</f>
        <v>572.23268438745538</v>
      </c>
      <c r="U215" s="169">
        <f t="shared" si="1170"/>
        <v>642.72742947059112</v>
      </c>
      <c r="V215" s="169">
        <f t="shared" si="1170"/>
        <v>716.83324980076191</v>
      </c>
      <c r="W215" s="170">
        <f>V215</f>
        <v>716.83324980076191</v>
      </c>
      <c r="X215" s="169">
        <f>V215+X247+X270</f>
        <v>791.07746448741023</v>
      </c>
      <c r="Y215" s="169">
        <f t="shared" ref="Y215:AA215" si="1171">X215+Y247+Y270</f>
        <v>855.8490956993179</v>
      </c>
      <c r="Z215" s="169">
        <f t="shared" si="1171"/>
        <v>929.92750114717137</v>
      </c>
      <c r="AA215" s="169">
        <f t="shared" si="1171"/>
        <v>1007.7474183475922</v>
      </c>
      <c r="AB215" s="170">
        <f>AA215</f>
        <v>1007.7474183475922</v>
      </c>
      <c r="AC215" s="169">
        <f>AA215+AC247+AC270</f>
        <v>1085.7948546372313</v>
      </c>
      <c r="AD215" s="169">
        <f t="shared" ref="AD215:AF215" si="1172">AC215+AD247+AD270</f>
        <v>1153.8564490732906</v>
      </c>
      <c r="AE215" s="169">
        <f t="shared" si="1172"/>
        <v>1231.6675119291756</v>
      </c>
      <c r="AF215" s="169">
        <f t="shared" si="1172"/>
        <v>1313.4175005400114</v>
      </c>
      <c r="AG215" s="170">
        <f>AF215</f>
        <v>1313.4175005400114</v>
      </c>
      <c r="AH215" s="169">
        <f>AF215+AH247+AH270</f>
        <v>1395.9319117948367</v>
      </c>
      <c r="AI215" s="169">
        <f t="shared" ref="AI215:AK215" si="1173">AH215+AI247+AI270</f>
        <v>1467.8008891711411</v>
      </c>
      <c r="AJ215" s="169">
        <f t="shared" si="1173"/>
        <v>1549.9703666266207</v>
      </c>
      <c r="AK215" s="169">
        <f t="shared" si="1173"/>
        <v>1636.3205830573231</v>
      </c>
      <c r="AL215" s="170">
        <f>AK215</f>
        <v>1636.3205830573231</v>
      </c>
    </row>
    <row r="216" spans="1:38" outlineLevel="1" x14ac:dyDescent="0.2">
      <c r="A216" s="167"/>
      <c r="B216" s="476" t="s">
        <v>29</v>
      </c>
      <c r="C216" s="477"/>
      <c r="D216" s="25">
        <v>-2584</v>
      </c>
      <c r="E216" s="169">
        <v>-4807.7</v>
      </c>
      <c r="F216" s="169">
        <v>-4013.9</v>
      </c>
      <c r="G216" s="169">
        <v>-5771.2</v>
      </c>
      <c r="H216" s="170">
        <f>G216</f>
        <v>-5771.2</v>
      </c>
      <c r="I216" s="169">
        <v>-6414.8</v>
      </c>
      <c r="J216" s="169">
        <v>-7050.6</v>
      </c>
      <c r="K216" s="169">
        <v>-8208.2999999999993</v>
      </c>
      <c r="L216" s="169">
        <f>K216+L241+L268+L269</f>
        <v>-8666.7503896946564</v>
      </c>
      <c r="M216" s="170">
        <f>L216</f>
        <v>-8666.7503896946564</v>
      </c>
      <c r="N216" s="169">
        <f>L216+N241+N268+N269</f>
        <v>-8672.7692150632265</v>
      </c>
      <c r="O216" s="169">
        <f t="shared" ref="O216:Q216" si="1174">N216+O241+O268+O269</f>
        <v>-8811.2245525762883</v>
      </c>
      <c r="P216" s="169">
        <f t="shared" si="1174"/>
        <v>-8771.5822548084379</v>
      </c>
      <c r="Q216" s="169">
        <f t="shared" si="1174"/>
        <v>-8643.1629976537424</v>
      </c>
      <c r="R216" s="170">
        <f>Q216</f>
        <v>-8643.1629976537424</v>
      </c>
      <c r="S216" s="169">
        <f>Q216+S241+S268+S269</f>
        <v>-8604.18612801784</v>
      </c>
      <c r="T216" s="169">
        <f t="shared" ref="T216:V216" si="1175">S216+T241+T268+T269</f>
        <v>-8707.6433855197756</v>
      </c>
      <c r="U216" s="169">
        <f t="shared" si="1175"/>
        <v>-8621.5158840032618</v>
      </c>
      <c r="V216" s="169">
        <f t="shared" si="1175"/>
        <v>-8447.0772479015686</v>
      </c>
      <c r="W216" s="170">
        <f>V216</f>
        <v>-8447.0772479015686</v>
      </c>
      <c r="X216" s="169">
        <f>V216+X241+X268+X269</f>
        <v>-8367.8682740432414</v>
      </c>
      <c r="Y216" s="169">
        <f t="shared" ref="Y216:AA216" si="1176">X216+Y241+Y268+Y269</f>
        <v>-8439.261769211751</v>
      </c>
      <c r="Z216" s="169">
        <f t="shared" si="1176"/>
        <v>-8312.5861666103519</v>
      </c>
      <c r="AA216" s="169">
        <f t="shared" si="1176"/>
        <v>-8092.4307314226535</v>
      </c>
      <c r="AB216" s="170">
        <f>AA216</f>
        <v>-8092.4307314226535</v>
      </c>
      <c r="AC216" s="169">
        <f>AA216+AC241+AC268+AC269</f>
        <v>-7971.829039045303</v>
      </c>
      <c r="AD216" s="169">
        <f t="shared" ref="AD216:AF216" si="1177">AC216+AD241+AD268+AD269</f>
        <v>-8009.8149509926061</v>
      </c>
      <c r="AE216" s="169">
        <f t="shared" si="1177"/>
        <v>-7840.7114566750261</v>
      </c>
      <c r="AF216" s="169">
        <f t="shared" si="1177"/>
        <v>-7571.7061535946759</v>
      </c>
      <c r="AG216" s="170">
        <f>AF216</f>
        <v>-7571.7061535946759</v>
      </c>
      <c r="AH216" s="169">
        <f>AF216+AH241+AH268+AH269</f>
        <v>-7398.6225049019404</v>
      </c>
      <c r="AI216" s="169">
        <f t="shared" ref="AI216:AK216" si="1178">AH216+AI241+AI268+AI269</f>
        <v>-7392.6333009470482</v>
      </c>
      <c r="AJ216" s="169">
        <f t="shared" si="1178"/>
        <v>-7167.6049715709223</v>
      </c>
      <c r="AK216" s="169">
        <f t="shared" si="1178"/>
        <v>-6834.3391518026647</v>
      </c>
      <c r="AL216" s="170">
        <f>AK216</f>
        <v>-6834.3391518026647</v>
      </c>
    </row>
    <row r="217" spans="1:38" outlineLevel="1" x14ac:dyDescent="0.2">
      <c r="A217" s="167"/>
      <c r="B217" s="476" t="s">
        <v>67</v>
      </c>
      <c r="C217" s="477"/>
      <c r="D217" s="25">
        <v>-343.2</v>
      </c>
      <c r="E217" s="171">
        <v>-271.5</v>
      </c>
      <c r="F217" s="169">
        <v>-349</v>
      </c>
      <c r="G217" s="169">
        <v>-503.3</v>
      </c>
      <c r="H217" s="170">
        <f>+G217</f>
        <v>-503.3</v>
      </c>
      <c r="I217" s="169">
        <v>-387.4</v>
      </c>
      <c r="J217" s="169">
        <v>-521.79999999999995</v>
      </c>
      <c r="K217" s="169">
        <v>-529.9</v>
      </c>
      <c r="L217" s="169">
        <f>K217</f>
        <v>-529.9</v>
      </c>
      <c r="M217" s="170">
        <f>L217</f>
        <v>-529.9</v>
      </c>
      <c r="N217" s="169">
        <f>L217</f>
        <v>-529.9</v>
      </c>
      <c r="O217" s="169">
        <f t="shared" ref="O217:Q218" si="1179">N217</f>
        <v>-529.9</v>
      </c>
      <c r="P217" s="169">
        <f t="shared" si="1179"/>
        <v>-529.9</v>
      </c>
      <c r="Q217" s="169">
        <f t="shared" si="1179"/>
        <v>-529.9</v>
      </c>
      <c r="R217" s="170">
        <f>Q217</f>
        <v>-529.9</v>
      </c>
      <c r="S217" s="169">
        <f>Q217</f>
        <v>-529.9</v>
      </c>
      <c r="T217" s="169">
        <f t="shared" ref="T217:V218" si="1180">S217</f>
        <v>-529.9</v>
      </c>
      <c r="U217" s="169">
        <f t="shared" si="1180"/>
        <v>-529.9</v>
      </c>
      <c r="V217" s="169">
        <f t="shared" si="1180"/>
        <v>-529.9</v>
      </c>
      <c r="W217" s="170">
        <f>V217</f>
        <v>-529.9</v>
      </c>
      <c r="X217" s="169">
        <f>V217</f>
        <v>-529.9</v>
      </c>
      <c r="Y217" s="169">
        <f t="shared" ref="Y217:AA218" si="1181">X217</f>
        <v>-529.9</v>
      </c>
      <c r="Z217" s="169">
        <f t="shared" si="1181"/>
        <v>-529.9</v>
      </c>
      <c r="AA217" s="169">
        <f t="shared" si="1181"/>
        <v>-529.9</v>
      </c>
      <c r="AB217" s="170">
        <f>AA217</f>
        <v>-529.9</v>
      </c>
      <c r="AC217" s="169">
        <f>AA217</f>
        <v>-529.9</v>
      </c>
      <c r="AD217" s="169">
        <f t="shared" ref="AD217:AF218" si="1182">AC217</f>
        <v>-529.9</v>
      </c>
      <c r="AE217" s="169">
        <f t="shared" si="1182"/>
        <v>-529.9</v>
      </c>
      <c r="AF217" s="169">
        <f t="shared" si="1182"/>
        <v>-529.9</v>
      </c>
      <c r="AG217" s="170">
        <f>AF217</f>
        <v>-529.9</v>
      </c>
      <c r="AH217" s="169">
        <f>AF217</f>
        <v>-529.9</v>
      </c>
      <c r="AI217" s="169">
        <f t="shared" ref="AI217:AK218" si="1183">AH217</f>
        <v>-529.9</v>
      </c>
      <c r="AJ217" s="169">
        <f t="shared" si="1183"/>
        <v>-529.9</v>
      </c>
      <c r="AK217" s="169">
        <f t="shared" si="1183"/>
        <v>-529.9</v>
      </c>
      <c r="AL217" s="170">
        <f>AK217</f>
        <v>-529.9</v>
      </c>
    </row>
    <row r="218" spans="1:38" ht="18" outlineLevel="1" x14ac:dyDescent="0.35">
      <c r="A218" s="167"/>
      <c r="B218" s="95" t="s">
        <v>181</v>
      </c>
      <c r="C218" s="96"/>
      <c r="D218" s="28">
        <v>6.1</v>
      </c>
      <c r="E218" s="184">
        <v>1.7</v>
      </c>
      <c r="F218" s="184">
        <v>1.6</v>
      </c>
      <c r="G218" s="184">
        <v>1.2</v>
      </c>
      <c r="H218" s="29">
        <f>+G218</f>
        <v>1.2</v>
      </c>
      <c r="I218" s="184">
        <v>0.8</v>
      </c>
      <c r="J218" s="184">
        <v>-2.8</v>
      </c>
      <c r="K218" s="184">
        <v>-2.7</v>
      </c>
      <c r="L218" s="184">
        <f>K218</f>
        <v>-2.7</v>
      </c>
      <c r="M218" s="294">
        <f>L218</f>
        <v>-2.7</v>
      </c>
      <c r="N218" s="184">
        <f>M218</f>
        <v>-2.7</v>
      </c>
      <c r="O218" s="184">
        <f t="shared" si="1179"/>
        <v>-2.7</v>
      </c>
      <c r="P218" s="184">
        <f t="shared" si="1179"/>
        <v>-2.7</v>
      </c>
      <c r="Q218" s="184">
        <f t="shared" si="1179"/>
        <v>-2.7</v>
      </c>
      <c r="R218" s="294">
        <f>Q218</f>
        <v>-2.7</v>
      </c>
      <c r="S218" s="184">
        <f>R218</f>
        <v>-2.7</v>
      </c>
      <c r="T218" s="184">
        <f t="shared" si="1180"/>
        <v>-2.7</v>
      </c>
      <c r="U218" s="184">
        <f t="shared" si="1180"/>
        <v>-2.7</v>
      </c>
      <c r="V218" s="184">
        <f t="shared" si="1180"/>
        <v>-2.7</v>
      </c>
      <c r="W218" s="294">
        <f>V218</f>
        <v>-2.7</v>
      </c>
      <c r="X218" s="184">
        <f>W218</f>
        <v>-2.7</v>
      </c>
      <c r="Y218" s="184">
        <f t="shared" si="1181"/>
        <v>-2.7</v>
      </c>
      <c r="Z218" s="184">
        <f t="shared" si="1181"/>
        <v>-2.7</v>
      </c>
      <c r="AA218" s="184">
        <f t="shared" si="1181"/>
        <v>-2.7</v>
      </c>
      <c r="AB218" s="294">
        <f>AA218</f>
        <v>-2.7</v>
      </c>
      <c r="AC218" s="184">
        <f>AB218</f>
        <v>-2.7</v>
      </c>
      <c r="AD218" s="184">
        <f t="shared" si="1182"/>
        <v>-2.7</v>
      </c>
      <c r="AE218" s="184">
        <f t="shared" si="1182"/>
        <v>-2.7</v>
      </c>
      <c r="AF218" s="184">
        <f t="shared" si="1182"/>
        <v>-2.7</v>
      </c>
      <c r="AG218" s="294">
        <f>AF218</f>
        <v>-2.7</v>
      </c>
      <c r="AH218" s="184">
        <f>AG218</f>
        <v>-2.7</v>
      </c>
      <c r="AI218" s="184">
        <f t="shared" si="1183"/>
        <v>-2.7</v>
      </c>
      <c r="AJ218" s="184">
        <f t="shared" si="1183"/>
        <v>-2.7</v>
      </c>
      <c r="AK218" s="184">
        <f t="shared" si="1183"/>
        <v>-2.7</v>
      </c>
      <c r="AL218" s="294">
        <f>AK218</f>
        <v>-2.7</v>
      </c>
    </row>
    <row r="219" spans="1:38" outlineLevel="1" x14ac:dyDescent="0.2">
      <c r="A219" s="167"/>
      <c r="B219" s="439" t="s">
        <v>30</v>
      </c>
      <c r="C219" s="440"/>
      <c r="D219" s="32">
        <f t="shared" ref="D219:K219" si="1184">SUM(D215:D218)</f>
        <v>-2878.7999999999997</v>
      </c>
      <c r="E219" s="32">
        <f t="shared" si="1184"/>
        <v>-5035.2</v>
      </c>
      <c r="F219" s="32">
        <f t="shared" si="1184"/>
        <v>-4319</v>
      </c>
      <c r="G219" s="32">
        <f t="shared" si="1184"/>
        <v>-6231</v>
      </c>
      <c r="H219" s="33">
        <f t="shared" si="1184"/>
        <v>-6231</v>
      </c>
      <c r="I219" s="32">
        <f t="shared" si="1184"/>
        <v>-6759.0999999999995</v>
      </c>
      <c r="J219" s="32">
        <f t="shared" si="1184"/>
        <v>-7532.9000000000005</v>
      </c>
      <c r="K219" s="32">
        <f t="shared" si="1184"/>
        <v>-8624.2999999999993</v>
      </c>
      <c r="L219" s="199">
        <f t="shared" ref="L219:R219" si="1185">SUM(L215:L218)</f>
        <v>-9024.2452614803788</v>
      </c>
      <c r="M219" s="295">
        <f t="shared" si="1185"/>
        <v>-9024.2452614803788</v>
      </c>
      <c r="N219" s="199">
        <f t="shared" si="1185"/>
        <v>-8960.5854701861826</v>
      </c>
      <c r="O219" s="199">
        <f t="shared" si="1185"/>
        <v>-9041.2368956302216</v>
      </c>
      <c r="P219" s="199">
        <f t="shared" si="1185"/>
        <v>-8934.9563694913286</v>
      </c>
      <c r="Q219" s="199">
        <f t="shared" si="1185"/>
        <v>-8735.9812664793008</v>
      </c>
      <c r="R219" s="295">
        <f t="shared" si="1185"/>
        <v>-8735.9812664793008</v>
      </c>
      <c r="S219" s="199">
        <f t="shared" ref="S219:AL219" si="1186">SUM(S215:S218)</f>
        <v>-8626.0697581808763</v>
      </c>
      <c r="T219" s="199">
        <f t="shared" si="1186"/>
        <v>-8668.0107011323216</v>
      </c>
      <c r="U219" s="199">
        <f t="shared" si="1186"/>
        <v>-8511.3884545326709</v>
      </c>
      <c r="V219" s="199">
        <f t="shared" si="1186"/>
        <v>-8262.8439981008069</v>
      </c>
      <c r="W219" s="295">
        <f t="shared" si="1186"/>
        <v>-8262.8439981008069</v>
      </c>
      <c r="X219" s="199">
        <f t="shared" si="1186"/>
        <v>-8109.3908095558309</v>
      </c>
      <c r="Y219" s="199">
        <f t="shared" si="1186"/>
        <v>-8116.0126735124322</v>
      </c>
      <c r="Z219" s="199">
        <f t="shared" si="1186"/>
        <v>-7915.2586654631805</v>
      </c>
      <c r="AA219" s="199">
        <f t="shared" si="1186"/>
        <v>-7617.2833130750605</v>
      </c>
      <c r="AB219" s="295">
        <f t="shared" si="1186"/>
        <v>-7617.2833130750605</v>
      </c>
      <c r="AC219" s="199">
        <f t="shared" si="1186"/>
        <v>-7418.6341844080716</v>
      </c>
      <c r="AD219" s="199">
        <f t="shared" si="1186"/>
        <v>-7388.5585019193149</v>
      </c>
      <c r="AE219" s="199">
        <f t="shared" si="1186"/>
        <v>-7141.6439447458497</v>
      </c>
      <c r="AF219" s="199">
        <f t="shared" si="1186"/>
        <v>-6790.8886530546642</v>
      </c>
      <c r="AG219" s="295">
        <f t="shared" si="1186"/>
        <v>-6790.8886530546642</v>
      </c>
      <c r="AH219" s="199">
        <f t="shared" si="1186"/>
        <v>-6535.2905931071027</v>
      </c>
      <c r="AI219" s="199">
        <f t="shared" si="1186"/>
        <v>-6457.432411775907</v>
      </c>
      <c r="AJ219" s="199">
        <f t="shared" si="1186"/>
        <v>-6150.2346049443013</v>
      </c>
      <c r="AK219" s="199">
        <f t="shared" si="1186"/>
        <v>-5730.6185687453408</v>
      </c>
      <c r="AL219" s="295">
        <f t="shared" si="1186"/>
        <v>-5730.6185687453408</v>
      </c>
    </row>
    <row r="220" spans="1:38" outlineLevel="1" x14ac:dyDescent="0.2">
      <c r="A220" s="167"/>
      <c r="B220" s="434" t="s">
        <v>10</v>
      </c>
      <c r="C220" s="435"/>
      <c r="D220" s="39">
        <f t="shared" ref="D220:K220" si="1187">D219+D213</f>
        <v>19981.300000000003</v>
      </c>
      <c r="E220" s="39">
        <f t="shared" si="1187"/>
        <v>17641.899999999998</v>
      </c>
      <c r="F220" s="39">
        <f t="shared" si="1187"/>
        <v>20894.400000000001</v>
      </c>
      <c r="G220" s="39">
        <f t="shared" si="1187"/>
        <v>19219.599999999999</v>
      </c>
      <c r="H220" s="157">
        <f t="shared" si="1187"/>
        <v>19219.599999999999</v>
      </c>
      <c r="I220" s="39">
        <f t="shared" si="1187"/>
        <v>27731.300000000003</v>
      </c>
      <c r="J220" s="39">
        <f t="shared" si="1187"/>
        <v>27478.9</v>
      </c>
      <c r="K220" s="39">
        <f t="shared" si="1187"/>
        <v>29140.599999999995</v>
      </c>
      <c r="L220" s="325">
        <f t="shared" ref="L220:R220" si="1188">L219+L213</f>
        <v>28414.168697804853</v>
      </c>
      <c r="M220" s="326">
        <f t="shared" si="1188"/>
        <v>28414.168697804853</v>
      </c>
      <c r="N220" s="325">
        <f t="shared" si="1188"/>
        <v>28459.379153972623</v>
      </c>
      <c r="O220" s="325">
        <f t="shared" si="1188"/>
        <v>27372.171812913017</v>
      </c>
      <c r="P220" s="325">
        <f t="shared" si="1188"/>
        <v>26798.00487188968</v>
      </c>
      <c r="Q220" s="325">
        <f t="shared" si="1188"/>
        <v>26685.452243511681</v>
      </c>
      <c r="R220" s="326">
        <f t="shared" si="1188"/>
        <v>26685.452243511681</v>
      </c>
      <c r="S220" s="325">
        <f t="shared" ref="S220:AL220" si="1189">S219+S213</f>
        <v>27002.023235532353</v>
      </c>
      <c r="T220" s="325">
        <f t="shared" si="1189"/>
        <v>26043.097102774016</v>
      </c>
      <c r="U220" s="325">
        <f t="shared" si="1189"/>
        <v>26065.171048155855</v>
      </c>
      <c r="V220" s="325">
        <f t="shared" si="1189"/>
        <v>26026.019144268772</v>
      </c>
      <c r="W220" s="326">
        <f t="shared" si="1189"/>
        <v>26026.019144268772</v>
      </c>
      <c r="X220" s="325">
        <f t="shared" si="1189"/>
        <v>26415.151725209682</v>
      </c>
      <c r="Y220" s="325">
        <f t="shared" si="1189"/>
        <v>25452.905055637344</v>
      </c>
      <c r="Z220" s="325">
        <f t="shared" si="1189"/>
        <v>25540.003110221201</v>
      </c>
      <c r="AA220" s="325">
        <f t="shared" si="1189"/>
        <v>25552.175474637646</v>
      </c>
      <c r="AB220" s="326">
        <f t="shared" si="1189"/>
        <v>25552.175474637646</v>
      </c>
      <c r="AC220" s="325">
        <f t="shared" si="1189"/>
        <v>25902.75852711144</v>
      </c>
      <c r="AD220" s="325">
        <f t="shared" si="1189"/>
        <v>24800.062721745824</v>
      </c>
      <c r="AE220" s="325">
        <f t="shared" si="1189"/>
        <v>24814.931726166255</v>
      </c>
      <c r="AF220" s="325">
        <f t="shared" si="1189"/>
        <v>24750.440465746346</v>
      </c>
      <c r="AG220" s="326">
        <f t="shared" si="1189"/>
        <v>24750.440465746346</v>
      </c>
      <c r="AH220" s="325">
        <f t="shared" si="1189"/>
        <v>24852.728982584988</v>
      </c>
      <c r="AI220" s="325">
        <f t="shared" si="1189"/>
        <v>23386.76960922826</v>
      </c>
      <c r="AJ220" s="325">
        <f t="shared" si="1189"/>
        <v>23115.876896179056</v>
      </c>
      <c r="AK220" s="325">
        <f t="shared" si="1189"/>
        <v>22762.990348406402</v>
      </c>
      <c r="AL220" s="326">
        <f t="shared" si="1189"/>
        <v>22762.990348406402</v>
      </c>
    </row>
    <row r="221" spans="1:38" x14ac:dyDescent="0.2">
      <c r="A221" s="167"/>
      <c r="B221" s="12"/>
      <c r="C221" s="151"/>
      <c r="D221" s="296">
        <f t="shared" ref="D221:K221" si="1190">ROUND((D220-D198),0)</f>
        <v>0</v>
      </c>
      <c r="E221" s="296">
        <f t="shared" si="1190"/>
        <v>0</v>
      </c>
      <c r="F221" s="296">
        <f t="shared" si="1190"/>
        <v>0</v>
      </c>
      <c r="G221" s="296">
        <f t="shared" si="1190"/>
        <v>0</v>
      </c>
      <c r="H221" s="296">
        <f t="shared" si="1190"/>
        <v>0</v>
      </c>
      <c r="I221" s="296">
        <f t="shared" si="1190"/>
        <v>0</v>
      </c>
      <c r="J221" s="296">
        <f t="shared" si="1190"/>
        <v>0</v>
      </c>
      <c r="K221" s="296">
        <f t="shared" si="1190"/>
        <v>0</v>
      </c>
      <c r="L221" s="296">
        <f t="shared" ref="L221:R221" si="1191">ROUND((L220-L198),0)</f>
        <v>0</v>
      </c>
      <c r="M221" s="296">
        <f t="shared" si="1191"/>
        <v>0</v>
      </c>
      <c r="N221" s="296">
        <f t="shared" si="1191"/>
        <v>0</v>
      </c>
      <c r="O221" s="296">
        <f t="shared" si="1191"/>
        <v>0</v>
      </c>
      <c r="P221" s="296">
        <f t="shared" si="1191"/>
        <v>0</v>
      </c>
      <c r="Q221" s="296">
        <f t="shared" si="1191"/>
        <v>0</v>
      </c>
      <c r="R221" s="296">
        <f t="shared" si="1191"/>
        <v>0</v>
      </c>
      <c r="S221" s="296">
        <f t="shared" ref="S221:AL221" si="1192">ROUND((S220-S198),0)</f>
        <v>0</v>
      </c>
      <c r="T221" s="296">
        <f t="shared" si="1192"/>
        <v>0</v>
      </c>
      <c r="U221" s="296">
        <f t="shared" si="1192"/>
        <v>0</v>
      </c>
      <c r="V221" s="296">
        <f t="shared" si="1192"/>
        <v>0</v>
      </c>
      <c r="W221" s="296">
        <f t="shared" si="1192"/>
        <v>0</v>
      </c>
      <c r="X221" s="296">
        <f t="shared" si="1192"/>
        <v>0</v>
      </c>
      <c r="Y221" s="296">
        <f t="shared" si="1192"/>
        <v>0</v>
      </c>
      <c r="Z221" s="296">
        <f t="shared" si="1192"/>
        <v>0</v>
      </c>
      <c r="AA221" s="296">
        <f t="shared" si="1192"/>
        <v>0</v>
      </c>
      <c r="AB221" s="296">
        <f t="shared" si="1192"/>
        <v>0</v>
      </c>
      <c r="AC221" s="296">
        <f t="shared" si="1192"/>
        <v>0</v>
      </c>
      <c r="AD221" s="296">
        <f t="shared" si="1192"/>
        <v>0</v>
      </c>
      <c r="AE221" s="296">
        <f t="shared" si="1192"/>
        <v>0</v>
      </c>
      <c r="AF221" s="296">
        <f t="shared" si="1192"/>
        <v>0</v>
      </c>
      <c r="AG221" s="296">
        <f t="shared" si="1192"/>
        <v>0</v>
      </c>
      <c r="AH221" s="296">
        <f t="shared" si="1192"/>
        <v>0</v>
      </c>
      <c r="AI221" s="296">
        <f t="shared" si="1192"/>
        <v>0</v>
      </c>
      <c r="AJ221" s="296">
        <f t="shared" si="1192"/>
        <v>0</v>
      </c>
      <c r="AK221" s="296">
        <f t="shared" si="1192"/>
        <v>0</v>
      </c>
      <c r="AL221" s="296">
        <f t="shared" si="1192"/>
        <v>0</v>
      </c>
    </row>
    <row r="222" spans="1:38" ht="16" x14ac:dyDescent="0.2">
      <c r="A222" s="167"/>
      <c r="B222" s="417" t="s">
        <v>19</v>
      </c>
      <c r="C222" s="436"/>
      <c r="D222" s="22" t="s">
        <v>59</v>
      </c>
      <c r="E222" s="22" t="s">
        <v>213</v>
      </c>
      <c r="F222" s="22" t="s">
        <v>215</v>
      </c>
      <c r="G222" s="22" t="s">
        <v>73</v>
      </c>
      <c r="H222" s="77" t="s">
        <v>73</v>
      </c>
      <c r="I222" s="22" t="s">
        <v>74</v>
      </c>
      <c r="J222" s="22" t="s">
        <v>75</v>
      </c>
      <c r="K222" s="22" t="s">
        <v>76</v>
      </c>
      <c r="L222" s="24" t="s">
        <v>77</v>
      </c>
      <c r="M222" s="79" t="s">
        <v>77</v>
      </c>
      <c r="N222" s="24" t="s">
        <v>78</v>
      </c>
      <c r="O222" s="24" t="s">
        <v>79</v>
      </c>
      <c r="P222" s="24" t="s">
        <v>80</v>
      </c>
      <c r="Q222" s="24" t="s">
        <v>81</v>
      </c>
      <c r="R222" s="79" t="s">
        <v>81</v>
      </c>
      <c r="S222" s="24" t="s">
        <v>82</v>
      </c>
      <c r="T222" s="24" t="s">
        <v>83</v>
      </c>
      <c r="U222" s="24" t="s">
        <v>84</v>
      </c>
      <c r="V222" s="24" t="s">
        <v>85</v>
      </c>
      <c r="W222" s="79" t="s">
        <v>85</v>
      </c>
      <c r="X222" s="24" t="s">
        <v>86</v>
      </c>
      <c r="Y222" s="24" t="s">
        <v>87</v>
      </c>
      <c r="Z222" s="24" t="s">
        <v>88</v>
      </c>
      <c r="AA222" s="24" t="s">
        <v>89</v>
      </c>
      <c r="AB222" s="79" t="s">
        <v>89</v>
      </c>
      <c r="AC222" s="24" t="s">
        <v>217</v>
      </c>
      <c r="AD222" s="24" t="s">
        <v>218</v>
      </c>
      <c r="AE222" s="24" t="s">
        <v>219</v>
      </c>
      <c r="AF222" s="24" t="s">
        <v>220</v>
      </c>
      <c r="AG222" s="79" t="s">
        <v>220</v>
      </c>
      <c r="AH222" s="24" t="s">
        <v>250</v>
      </c>
      <c r="AI222" s="24" t="s">
        <v>251</v>
      </c>
      <c r="AJ222" s="24" t="s">
        <v>252</v>
      </c>
      <c r="AK222" s="24" t="s">
        <v>253</v>
      </c>
      <c r="AL222" s="79" t="s">
        <v>253</v>
      </c>
    </row>
    <row r="223" spans="1:38" ht="18" x14ac:dyDescent="0.35">
      <c r="A223" s="167"/>
      <c r="B223" s="432"/>
      <c r="C223" s="433"/>
      <c r="D223" s="23" t="s">
        <v>72</v>
      </c>
      <c r="E223" s="23" t="s">
        <v>212</v>
      </c>
      <c r="F223" s="23" t="s">
        <v>216</v>
      </c>
      <c r="G223" s="23" t="s">
        <v>226</v>
      </c>
      <c r="H223" s="78" t="s">
        <v>227</v>
      </c>
      <c r="I223" s="23" t="s">
        <v>228</v>
      </c>
      <c r="J223" s="23" t="s">
        <v>229</v>
      </c>
      <c r="K223" s="23" t="s">
        <v>230</v>
      </c>
      <c r="L223" s="21" t="s">
        <v>90</v>
      </c>
      <c r="M223" s="80" t="s">
        <v>91</v>
      </c>
      <c r="N223" s="21" t="s">
        <v>92</v>
      </c>
      <c r="O223" s="21" t="s">
        <v>93</v>
      </c>
      <c r="P223" s="21" t="s">
        <v>94</v>
      </c>
      <c r="Q223" s="21" t="s">
        <v>95</v>
      </c>
      <c r="R223" s="80" t="s">
        <v>96</v>
      </c>
      <c r="S223" s="21" t="s">
        <v>97</v>
      </c>
      <c r="T223" s="21" t="s">
        <v>98</v>
      </c>
      <c r="U223" s="21" t="s">
        <v>99</v>
      </c>
      <c r="V223" s="21" t="s">
        <v>100</v>
      </c>
      <c r="W223" s="80" t="s">
        <v>101</v>
      </c>
      <c r="X223" s="21" t="s">
        <v>102</v>
      </c>
      <c r="Y223" s="21" t="s">
        <v>103</v>
      </c>
      <c r="Z223" s="21" t="s">
        <v>104</v>
      </c>
      <c r="AA223" s="21" t="s">
        <v>105</v>
      </c>
      <c r="AB223" s="80" t="s">
        <v>106</v>
      </c>
      <c r="AC223" s="21" t="s">
        <v>221</v>
      </c>
      <c r="AD223" s="21" t="s">
        <v>222</v>
      </c>
      <c r="AE223" s="21" t="s">
        <v>223</v>
      </c>
      <c r="AF223" s="21" t="s">
        <v>224</v>
      </c>
      <c r="AG223" s="80" t="s">
        <v>225</v>
      </c>
      <c r="AH223" s="21" t="s">
        <v>254</v>
      </c>
      <c r="AI223" s="21" t="s">
        <v>255</v>
      </c>
      <c r="AJ223" s="21" t="s">
        <v>256</v>
      </c>
      <c r="AK223" s="21" t="s">
        <v>257</v>
      </c>
      <c r="AL223" s="80" t="s">
        <v>258</v>
      </c>
    </row>
    <row r="224" spans="1:38" outlineLevel="1" x14ac:dyDescent="0.2">
      <c r="A224" s="167"/>
      <c r="B224" s="240" t="s">
        <v>249</v>
      </c>
      <c r="C224" s="241"/>
      <c r="D224" s="191">
        <f>31+30+31</f>
        <v>92</v>
      </c>
      <c r="E224" s="191">
        <f>31+28+31</f>
        <v>90</v>
      </c>
      <c r="F224" s="191">
        <f>30+31+30</f>
        <v>91</v>
      </c>
      <c r="G224" s="191">
        <f>31+31+30</f>
        <v>92</v>
      </c>
      <c r="H224" s="207"/>
      <c r="I224" s="191">
        <f>31+30+31</f>
        <v>92</v>
      </c>
      <c r="J224" s="191">
        <f>31+29+31</f>
        <v>91</v>
      </c>
      <c r="K224" s="191">
        <f>30+31+30</f>
        <v>91</v>
      </c>
      <c r="L224" s="191">
        <v>92</v>
      </c>
      <c r="M224" s="207"/>
      <c r="N224" s="191">
        <v>92</v>
      </c>
      <c r="O224" s="191">
        <v>90</v>
      </c>
      <c r="P224" s="191">
        <v>91</v>
      </c>
      <c r="Q224" s="191">
        <v>92</v>
      </c>
      <c r="R224" s="207"/>
      <c r="S224" s="191">
        <v>92</v>
      </c>
      <c r="T224" s="191">
        <v>90</v>
      </c>
      <c r="U224" s="191">
        <v>91</v>
      </c>
      <c r="V224" s="191">
        <v>92</v>
      </c>
      <c r="W224" s="207"/>
      <c r="X224" s="191">
        <v>92</v>
      </c>
      <c r="Y224" s="191">
        <v>90</v>
      </c>
      <c r="Z224" s="191">
        <v>91</v>
      </c>
      <c r="AA224" s="191">
        <v>92</v>
      </c>
      <c r="AB224" s="207"/>
      <c r="AC224" s="191">
        <v>92</v>
      </c>
      <c r="AD224" s="191">
        <v>90</v>
      </c>
      <c r="AE224" s="191">
        <v>91</v>
      </c>
      <c r="AF224" s="191">
        <v>92</v>
      </c>
      <c r="AG224" s="207"/>
      <c r="AH224" s="191">
        <v>92</v>
      </c>
      <c r="AI224" s="191">
        <v>90</v>
      </c>
      <c r="AJ224" s="191">
        <v>91</v>
      </c>
      <c r="AK224" s="191">
        <v>92</v>
      </c>
      <c r="AL224" s="207"/>
    </row>
    <row r="225" spans="1:38" outlineLevel="1" x14ac:dyDescent="0.2">
      <c r="A225" s="167"/>
      <c r="B225" s="421" t="s">
        <v>20</v>
      </c>
      <c r="C225" s="422"/>
      <c r="D225" s="49">
        <f t="shared" ref="D225:K225" si="1193">D16/D186</f>
        <v>9.1942057111172737</v>
      </c>
      <c r="E225" s="233">
        <f t="shared" si="1193"/>
        <v>8.9623365548607161</v>
      </c>
      <c r="F225" s="233">
        <f t="shared" si="1193"/>
        <v>8.6301543131798635</v>
      </c>
      <c r="G225" s="233">
        <f t="shared" si="1193"/>
        <v>7.6757679180887379</v>
      </c>
      <c r="H225" s="234">
        <f t="shared" si="1193"/>
        <v>30.157679180887374</v>
      </c>
      <c r="I225" s="233">
        <f t="shared" si="1193"/>
        <v>7.8153287082920375</v>
      </c>
      <c r="J225" s="233">
        <f t="shared" si="1193"/>
        <v>6.3716259298618487</v>
      </c>
      <c r="K225" s="233">
        <f t="shared" si="1193"/>
        <v>4.7918510952218822</v>
      </c>
      <c r="L225" s="362">
        <v>6.7</v>
      </c>
      <c r="M225" s="234"/>
      <c r="N225" s="362">
        <v>7.5</v>
      </c>
      <c r="O225" s="362">
        <v>7.4</v>
      </c>
      <c r="P225" s="362">
        <v>7.9</v>
      </c>
      <c r="Q225" s="362">
        <v>7.7</v>
      </c>
      <c r="R225" s="234"/>
      <c r="S225" s="362">
        <v>7.5</v>
      </c>
      <c r="T225" s="362">
        <v>7.4</v>
      </c>
      <c r="U225" s="362">
        <v>7.9</v>
      </c>
      <c r="V225" s="362">
        <v>7.7</v>
      </c>
      <c r="W225" s="234"/>
      <c r="X225" s="362">
        <v>7.5</v>
      </c>
      <c r="Y225" s="362">
        <v>7.4</v>
      </c>
      <c r="Z225" s="362">
        <v>7.9</v>
      </c>
      <c r="AA225" s="362">
        <v>7.7</v>
      </c>
      <c r="AB225" s="317"/>
      <c r="AC225" s="362">
        <v>7.5</v>
      </c>
      <c r="AD225" s="362">
        <v>7.4</v>
      </c>
      <c r="AE225" s="362">
        <v>7.9</v>
      </c>
      <c r="AF225" s="362">
        <v>7.7</v>
      </c>
      <c r="AG225" s="317"/>
      <c r="AH225" s="362">
        <v>7.5</v>
      </c>
      <c r="AI225" s="362">
        <v>7.4</v>
      </c>
      <c r="AJ225" s="362">
        <v>7.9</v>
      </c>
      <c r="AK225" s="362">
        <v>7.7</v>
      </c>
      <c r="AL225" s="317"/>
    </row>
    <row r="226" spans="1:38" s="34" customFormat="1" outlineLevel="1" x14ac:dyDescent="0.2">
      <c r="A226" s="232"/>
      <c r="B226" s="474" t="s">
        <v>40</v>
      </c>
      <c r="C226" s="475"/>
      <c r="D226" s="38">
        <f>D224/D225</f>
        <v>10.00630210924661</v>
      </c>
      <c r="E226" s="38">
        <f>E224/E225</f>
        <v>10.042024136126486</v>
      </c>
      <c r="F226" s="191">
        <f>F224/F225</f>
        <v>10.544423274219552</v>
      </c>
      <c r="G226" s="191">
        <f>G224/G225</f>
        <v>11.985771453979545</v>
      </c>
      <c r="H226" s="234"/>
      <c r="I226" s="191">
        <f>I224/I225</f>
        <v>11.771737752039567</v>
      </c>
      <c r="J226" s="191">
        <f>J224/J225</f>
        <v>14.28206881598479</v>
      </c>
      <c r="K226" s="191">
        <f>K224/K225</f>
        <v>18.990573411335589</v>
      </c>
      <c r="L226" s="191">
        <f>L224/L225</f>
        <v>13.731343283582088</v>
      </c>
      <c r="M226" s="234"/>
      <c r="N226" s="191">
        <f t="shared" ref="N226:Q226" si="1194">N224/N225</f>
        <v>12.266666666666667</v>
      </c>
      <c r="O226" s="191">
        <f t="shared" si="1194"/>
        <v>12.162162162162161</v>
      </c>
      <c r="P226" s="191">
        <f t="shared" si="1194"/>
        <v>11.518987341772151</v>
      </c>
      <c r="Q226" s="191">
        <f t="shared" si="1194"/>
        <v>11.948051948051948</v>
      </c>
      <c r="R226" s="234"/>
      <c r="S226" s="191">
        <f t="shared" ref="S226" si="1195">S224/S225</f>
        <v>12.266666666666667</v>
      </c>
      <c r="T226" s="191">
        <f t="shared" ref="T226" si="1196">T224/T225</f>
        <v>12.162162162162161</v>
      </c>
      <c r="U226" s="191">
        <f t="shared" ref="U226" si="1197">U224/U225</f>
        <v>11.518987341772151</v>
      </c>
      <c r="V226" s="191">
        <f t="shared" ref="V226" si="1198">V224/V225</f>
        <v>11.948051948051948</v>
      </c>
      <c r="W226" s="234"/>
      <c r="X226" s="191">
        <f t="shared" ref="X226" si="1199">X224/X225</f>
        <v>12.266666666666667</v>
      </c>
      <c r="Y226" s="191">
        <f t="shared" ref="Y226" si="1200">Y224/Y225</f>
        <v>12.162162162162161</v>
      </c>
      <c r="Z226" s="191">
        <f t="shared" ref="Z226" si="1201">Z224/Z225</f>
        <v>11.518987341772151</v>
      </c>
      <c r="AA226" s="191">
        <f t="shared" ref="AA226" si="1202">AA224/AA225</f>
        <v>11.948051948051948</v>
      </c>
      <c r="AB226" s="234"/>
      <c r="AC226" s="191">
        <f t="shared" ref="AC226" si="1203">AC224/AC225</f>
        <v>12.266666666666667</v>
      </c>
      <c r="AD226" s="191">
        <f t="shared" ref="AD226" si="1204">AD224/AD225</f>
        <v>12.162162162162161</v>
      </c>
      <c r="AE226" s="191">
        <f t="shared" ref="AE226" si="1205">AE224/AE225</f>
        <v>11.518987341772151</v>
      </c>
      <c r="AF226" s="191">
        <f t="shared" ref="AF226" si="1206">AF224/AF225</f>
        <v>11.948051948051948</v>
      </c>
      <c r="AG226" s="234"/>
      <c r="AH226" s="191">
        <f t="shared" ref="AH226" si="1207">AH224/AH225</f>
        <v>12.266666666666667</v>
      </c>
      <c r="AI226" s="191">
        <f t="shared" ref="AI226" si="1208">AI224/AI225</f>
        <v>12.162162162162161</v>
      </c>
      <c r="AJ226" s="191">
        <f t="shared" ref="AJ226" si="1209">AJ224/AJ225</f>
        <v>11.518987341772151</v>
      </c>
      <c r="AK226" s="191">
        <f t="shared" ref="AK226" si="1210">AK224/AK225</f>
        <v>11.948051948051948</v>
      </c>
      <c r="AL226" s="234"/>
    </row>
    <row r="227" spans="1:38" outlineLevel="1" x14ac:dyDescent="0.2">
      <c r="A227" s="167"/>
      <c r="B227" s="421" t="s">
        <v>201</v>
      </c>
      <c r="C227" s="422"/>
      <c r="D227" s="49">
        <f t="shared" ref="D227:K227" si="1211">D17/D187</f>
        <v>1.6062306215857083</v>
      </c>
      <c r="E227" s="49">
        <f t="shared" si="1211"/>
        <v>1.3943173943173943</v>
      </c>
      <c r="F227" s="233">
        <f t="shared" si="1211"/>
        <v>1.4497759029791721</v>
      </c>
      <c r="G227" s="233">
        <f t="shared" si="1211"/>
        <v>1.3989146070354381</v>
      </c>
      <c r="H227" s="234">
        <f t="shared" si="1211"/>
        <v>5.5753236563358177</v>
      </c>
      <c r="I227" s="233">
        <f t="shared" si="1211"/>
        <v>1.5875630013487614</v>
      </c>
      <c r="J227" s="233">
        <f t="shared" si="1211"/>
        <v>1.3387615601125855</v>
      </c>
      <c r="K227" s="233">
        <f t="shared" si="1211"/>
        <v>0.93698699330723578</v>
      </c>
      <c r="L227" s="362">
        <v>1</v>
      </c>
      <c r="M227" s="234"/>
      <c r="N227" s="362">
        <v>1.1000000000000001</v>
      </c>
      <c r="O227" s="362">
        <v>1.1000000000000001</v>
      </c>
      <c r="P227" s="362">
        <v>1.1000000000000001</v>
      </c>
      <c r="Q227" s="362">
        <v>1</v>
      </c>
      <c r="R227" s="234"/>
      <c r="S227" s="362">
        <v>1.1000000000000001</v>
      </c>
      <c r="T227" s="362">
        <v>1.1000000000000001</v>
      </c>
      <c r="U227" s="362">
        <v>1.1000000000000001</v>
      </c>
      <c r="V227" s="362">
        <v>1</v>
      </c>
      <c r="W227" s="234"/>
      <c r="X227" s="362">
        <v>1.1000000000000001</v>
      </c>
      <c r="Y227" s="362">
        <v>1.1000000000000001</v>
      </c>
      <c r="Z227" s="362">
        <v>1.1000000000000001</v>
      </c>
      <c r="AA227" s="362">
        <v>1</v>
      </c>
      <c r="AB227" s="317"/>
      <c r="AC227" s="362">
        <v>1.1000000000000001</v>
      </c>
      <c r="AD227" s="362">
        <v>1.1000000000000001</v>
      </c>
      <c r="AE227" s="362">
        <v>1.1000000000000001</v>
      </c>
      <c r="AF227" s="362">
        <v>1</v>
      </c>
      <c r="AG227" s="317"/>
      <c r="AH227" s="362">
        <v>1.1000000000000001</v>
      </c>
      <c r="AI227" s="362">
        <v>1.1000000000000001</v>
      </c>
      <c r="AJ227" s="362">
        <v>1.1000000000000001</v>
      </c>
      <c r="AK227" s="362">
        <v>1</v>
      </c>
      <c r="AL227" s="317"/>
    </row>
    <row r="228" spans="1:38" s="34" customFormat="1" outlineLevel="1" x14ac:dyDescent="0.2">
      <c r="A228" s="232"/>
      <c r="B228" s="474" t="s">
        <v>288</v>
      </c>
      <c r="C228" s="475"/>
      <c r="D228" s="38">
        <f t="shared" ref="D228:J228" si="1212">D224/D227</f>
        <v>57.276955602536987</v>
      </c>
      <c r="E228" s="38">
        <f t="shared" si="1212"/>
        <v>64.547713717693838</v>
      </c>
      <c r="F228" s="191">
        <f t="shared" si="1212"/>
        <v>62.768321513002363</v>
      </c>
      <c r="G228" s="191">
        <f t="shared" si="1212"/>
        <v>65.765272259873825</v>
      </c>
      <c r="H228" s="234"/>
      <c r="I228" s="191">
        <f t="shared" si="1212"/>
        <v>57.950456090144868</v>
      </c>
      <c r="J228" s="191">
        <f t="shared" si="1212"/>
        <v>67.973269259648589</v>
      </c>
      <c r="K228" s="191">
        <f>K224/K227</f>
        <v>97.119811320754721</v>
      </c>
      <c r="L228" s="191">
        <v>90</v>
      </c>
      <c r="M228" s="234"/>
      <c r="N228" s="191">
        <v>81</v>
      </c>
      <c r="O228" s="191">
        <v>85</v>
      </c>
      <c r="P228" s="191">
        <v>86</v>
      </c>
      <c r="Q228" s="191">
        <v>90</v>
      </c>
      <c r="R228" s="234"/>
      <c r="S228" s="191">
        <v>81</v>
      </c>
      <c r="T228" s="191">
        <v>85</v>
      </c>
      <c r="U228" s="191">
        <v>86</v>
      </c>
      <c r="V228" s="191">
        <v>90</v>
      </c>
      <c r="W228" s="234"/>
      <c r="X228" s="191">
        <v>81</v>
      </c>
      <c r="Y228" s="191">
        <v>85</v>
      </c>
      <c r="Z228" s="191">
        <v>86</v>
      </c>
      <c r="AA228" s="191">
        <v>90</v>
      </c>
      <c r="AB228" s="234"/>
      <c r="AC228" s="191">
        <v>81</v>
      </c>
      <c r="AD228" s="191">
        <v>85</v>
      </c>
      <c r="AE228" s="191">
        <v>86</v>
      </c>
      <c r="AF228" s="191">
        <v>90</v>
      </c>
      <c r="AG228" s="234"/>
      <c r="AH228" s="191">
        <v>81</v>
      </c>
      <c r="AI228" s="191">
        <v>85</v>
      </c>
      <c r="AJ228" s="191">
        <v>86</v>
      </c>
      <c r="AK228" s="191">
        <v>90</v>
      </c>
      <c r="AL228" s="234"/>
    </row>
    <row r="229" spans="1:38" s="34" customFormat="1" outlineLevel="1" x14ac:dyDescent="0.2">
      <c r="A229" s="232"/>
      <c r="B229" s="421" t="s">
        <v>41</v>
      </c>
      <c r="C229" s="422"/>
      <c r="D229" s="49">
        <f t="shared" ref="D229:K229" si="1213">D21/D200</f>
        <v>0.40708768741481144</v>
      </c>
      <c r="E229" s="49">
        <f t="shared" si="1213"/>
        <v>0.41770766845992524</v>
      </c>
      <c r="F229" s="233">
        <f t="shared" si="1213"/>
        <v>0.40134450846865721</v>
      </c>
      <c r="G229" s="233">
        <f t="shared" si="1213"/>
        <v>0.38522316550390839</v>
      </c>
      <c r="H229" s="235">
        <f t="shared" si="1213"/>
        <v>1.533243674876019</v>
      </c>
      <c r="I229" s="233">
        <f t="shared" si="1213"/>
        <v>0.39996315401621224</v>
      </c>
      <c r="J229" s="233">
        <f t="shared" si="1213"/>
        <v>0.40743710534228722</v>
      </c>
      <c r="K229" s="233">
        <f t="shared" si="1213"/>
        <v>0.464567843866171</v>
      </c>
      <c r="L229" s="362">
        <v>0.4</v>
      </c>
      <c r="M229" s="235"/>
      <c r="N229" s="362">
        <v>0.4</v>
      </c>
      <c r="O229" s="362">
        <v>0.4</v>
      </c>
      <c r="P229" s="362">
        <v>0.4</v>
      </c>
      <c r="Q229" s="362">
        <v>0.4</v>
      </c>
      <c r="R229" s="235"/>
      <c r="S229" s="362">
        <v>0.4</v>
      </c>
      <c r="T229" s="362">
        <v>0.4</v>
      </c>
      <c r="U229" s="362">
        <v>0.4</v>
      </c>
      <c r="V229" s="362">
        <v>0.4</v>
      </c>
      <c r="W229" s="235"/>
      <c r="X229" s="362">
        <v>0.4</v>
      </c>
      <c r="Y229" s="362">
        <v>0.4</v>
      </c>
      <c r="Z229" s="362">
        <v>0.4</v>
      </c>
      <c r="AA229" s="362">
        <v>0.4</v>
      </c>
      <c r="AB229" s="234"/>
      <c r="AC229" s="362">
        <v>0.4</v>
      </c>
      <c r="AD229" s="362">
        <v>0.4</v>
      </c>
      <c r="AE229" s="362">
        <v>0.4</v>
      </c>
      <c r="AF229" s="362">
        <v>0.4</v>
      </c>
      <c r="AG229" s="234"/>
      <c r="AH229" s="362">
        <v>0.4</v>
      </c>
      <c r="AI229" s="362">
        <v>0.4</v>
      </c>
      <c r="AJ229" s="362">
        <v>0.4</v>
      </c>
      <c r="AK229" s="362">
        <v>0.4</v>
      </c>
      <c r="AL229" s="234"/>
    </row>
    <row r="230" spans="1:38" s="34" customFormat="1" outlineLevel="1" x14ac:dyDescent="0.2">
      <c r="A230" s="232"/>
      <c r="B230" s="474" t="s">
        <v>21</v>
      </c>
      <c r="C230" s="475"/>
      <c r="D230" s="25">
        <f>D224/D229</f>
        <v>225.99553571428572</v>
      </c>
      <c r="E230" s="25">
        <f>E224/E229</f>
        <v>215.46168958742632</v>
      </c>
      <c r="F230" s="169">
        <f>F224/F229</f>
        <v>226.73787252556016</v>
      </c>
      <c r="G230" s="169">
        <f>G224/G229</f>
        <v>238.82260528038412</v>
      </c>
      <c r="H230" s="236"/>
      <c r="I230" s="169">
        <f>I224/I229</f>
        <v>230.02118839244588</v>
      </c>
      <c r="J230" s="169">
        <f>J224/J229</f>
        <v>223.34735547355476</v>
      </c>
      <c r="K230" s="169">
        <f>K224/K229</f>
        <v>195.88097024256064</v>
      </c>
      <c r="L230" s="169">
        <v>239</v>
      </c>
      <c r="M230" s="236"/>
      <c r="N230" s="169">
        <v>228</v>
      </c>
      <c r="O230" s="169">
        <v>218</v>
      </c>
      <c r="P230" s="169">
        <v>210</v>
      </c>
      <c r="Q230" s="169">
        <v>239</v>
      </c>
      <c r="R230" s="236"/>
      <c r="S230" s="169">
        <v>228</v>
      </c>
      <c r="T230" s="169">
        <v>218</v>
      </c>
      <c r="U230" s="169">
        <v>210</v>
      </c>
      <c r="V230" s="169">
        <v>239</v>
      </c>
      <c r="W230" s="236"/>
      <c r="X230" s="169">
        <v>228</v>
      </c>
      <c r="Y230" s="169">
        <v>218</v>
      </c>
      <c r="Z230" s="169">
        <v>210</v>
      </c>
      <c r="AA230" s="169">
        <v>239</v>
      </c>
      <c r="AB230" s="236"/>
      <c r="AC230" s="169">
        <v>228</v>
      </c>
      <c r="AD230" s="169">
        <v>218</v>
      </c>
      <c r="AE230" s="169">
        <v>210</v>
      </c>
      <c r="AF230" s="169">
        <v>239</v>
      </c>
      <c r="AG230" s="236"/>
      <c r="AH230" s="169">
        <v>228</v>
      </c>
      <c r="AI230" s="169">
        <v>218</v>
      </c>
      <c r="AJ230" s="169">
        <v>210</v>
      </c>
      <c r="AK230" s="169">
        <v>239</v>
      </c>
      <c r="AL230" s="236"/>
    </row>
    <row r="231" spans="1:38" s="34" customFormat="1" outlineLevel="1" x14ac:dyDescent="0.2">
      <c r="A231" s="232"/>
      <c r="B231" s="421" t="s">
        <v>203</v>
      </c>
      <c r="C231" s="422"/>
      <c r="D231" s="47">
        <f>(D190+D185)/D198</f>
        <v>2.4783172266068774E-2</v>
      </c>
      <c r="E231" s="47">
        <f>(E190+E185)/E198</f>
        <v>1.862044337628033E-2</v>
      </c>
      <c r="F231" s="201">
        <f t="shared" ref="F231:K231" si="1214">(F190+F185)/F198</f>
        <v>1.4104190097872643E-2</v>
      </c>
      <c r="G231" s="201">
        <f t="shared" si="1214"/>
        <v>1.5114935950133718E-2</v>
      </c>
      <c r="H231" s="236">
        <f t="shared" si="1214"/>
        <v>1.5114935950133718E-2</v>
      </c>
      <c r="I231" s="201">
        <f t="shared" si="1214"/>
        <v>9.6713821566244626E-3</v>
      </c>
      <c r="J231" s="201">
        <f t="shared" si="1214"/>
        <v>9.1597553031598795E-3</v>
      </c>
      <c r="K231" s="201">
        <f t="shared" si="1214"/>
        <v>1.5555616562459249E-2</v>
      </c>
      <c r="L231" s="356">
        <v>0.01</v>
      </c>
      <c r="M231" s="236"/>
      <c r="N231" s="356">
        <v>0.01</v>
      </c>
      <c r="O231" s="356">
        <v>0.01</v>
      </c>
      <c r="P231" s="356">
        <v>0.01</v>
      </c>
      <c r="Q231" s="356">
        <v>0.01</v>
      </c>
      <c r="R231" s="236"/>
      <c r="S231" s="356">
        <v>0.01</v>
      </c>
      <c r="T231" s="356">
        <v>0.01</v>
      </c>
      <c r="U231" s="356">
        <v>0.01</v>
      </c>
      <c r="V231" s="356">
        <v>0.01</v>
      </c>
      <c r="W231" s="236"/>
      <c r="X231" s="356">
        <v>0.01</v>
      </c>
      <c r="Y231" s="356">
        <v>0.01</v>
      </c>
      <c r="Z231" s="356">
        <v>0.01</v>
      </c>
      <c r="AA231" s="356">
        <v>0.01</v>
      </c>
      <c r="AB231" s="236"/>
      <c r="AC231" s="356">
        <v>0.01</v>
      </c>
      <c r="AD231" s="356">
        <v>0.01</v>
      </c>
      <c r="AE231" s="356">
        <v>0.01</v>
      </c>
      <c r="AF231" s="356">
        <v>0.01</v>
      </c>
      <c r="AG231" s="236"/>
      <c r="AH231" s="356">
        <v>0.01</v>
      </c>
      <c r="AI231" s="356">
        <v>0.01</v>
      </c>
      <c r="AJ231" s="356">
        <v>0.01</v>
      </c>
      <c r="AK231" s="356">
        <v>0.01</v>
      </c>
      <c r="AL231" s="236"/>
    </row>
    <row r="232" spans="1:38" s="34" customFormat="1" outlineLevel="1" x14ac:dyDescent="0.2">
      <c r="A232" s="232"/>
      <c r="B232" s="36" t="s">
        <v>202</v>
      </c>
      <c r="C232" s="164"/>
      <c r="D232" s="47">
        <f>D185/(D185+D190)</f>
        <v>0.4648626817447496</v>
      </c>
      <c r="E232" s="47">
        <f>E185/(E185+E190)</f>
        <v>0.23318112633181123</v>
      </c>
      <c r="F232" s="201">
        <f t="shared" ref="F232:K232" si="1215">F185/(F185+F190)</f>
        <v>0.24465558194774345</v>
      </c>
      <c r="G232" s="201">
        <f t="shared" si="1215"/>
        <v>0.24268502581755594</v>
      </c>
      <c r="H232" s="236">
        <f t="shared" si="1215"/>
        <v>0.24268502581755594</v>
      </c>
      <c r="I232" s="201">
        <f t="shared" si="1215"/>
        <v>0.25503355704697983</v>
      </c>
      <c r="J232" s="201">
        <f t="shared" si="1215"/>
        <v>0.21017083829956296</v>
      </c>
      <c r="K232" s="201">
        <f t="shared" si="1215"/>
        <v>0.50716964482682547</v>
      </c>
      <c r="L232" s="356">
        <v>0.3</v>
      </c>
      <c r="M232" s="236"/>
      <c r="N232" s="356">
        <v>0.3</v>
      </c>
      <c r="O232" s="356">
        <v>0.3</v>
      </c>
      <c r="P232" s="356">
        <v>0.3</v>
      </c>
      <c r="Q232" s="356">
        <v>0.3</v>
      </c>
      <c r="R232" s="236"/>
      <c r="S232" s="356">
        <v>0.3</v>
      </c>
      <c r="T232" s="356">
        <v>0.3</v>
      </c>
      <c r="U232" s="356">
        <v>0.3</v>
      </c>
      <c r="V232" s="356">
        <v>0.3</v>
      </c>
      <c r="W232" s="236"/>
      <c r="X232" s="356">
        <v>0.3</v>
      </c>
      <c r="Y232" s="356">
        <v>0.3</v>
      </c>
      <c r="Z232" s="356">
        <v>0.3</v>
      </c>
      <c r="AA232" s="356">
        <v>0.3</v>
      </c>
      <c r="AB232" s="236"/>
      <c r="AC232" s="356">
        <v>0.3</v>
      </c>
      <c r="AD232" s="356">
        <v>0.3</v>
      </c>
      <c r="AE232" s="356">
        <v>0.3</v>
      </c>
      <c r="AF232" s="356">
        <v>0.3</v>
      </c>
      <c r="AG232" s="236"/>
      <c r="AH232" s="356">
        <v>0.3</v>
      </c>
      <c r="AI232" s="356">
        <v>0.3</v>
      </c>
      <c r="AJ232" s="356">
        <v>0.3</v>
      </c>
      <c r="AK232" s="356">
        <v>0.3</v>
      </c>
      <c r="AL232" s="236"/>
    </row>
    <row r="233" spans="1:38" s="34" customFormat="1" outlineLevel="1" x14ac:dyDescent="0.2">
      <c r="A233" s="232"/>
      <c r="B233" s="60" t="s">
        <v>204</v>
      </c>
      <c r="C233" s="164"/>
      <c r="D233" s="47">
        <f>+(D206+D209)/D219</f>
        <v>-3.1717034875642636</v>
      </c>
      <c r="E233" s="47">
        <f>+(E206+E209)/E219</f>
        <v>-1.8304138862408643</v>
      </c>
      <c r="F233" s="201">
        <f>+(F206+F209)/F219</f>
        <v>-2.5837230840472332</v>
      </c>
      <c r="G233" s="201">
        <f>+(G206+G209)/G219</f>
        <v>-1.7921681913015568</v>
      </c>
      <c r="H233" s="236"/>
      <c r="I233" s="201">
        <f>+(I206+I209)/I219</f>
        <v>-1.7235726649997785</v>
      </c>
      <c r="J233" s="201">
        <f>+(J206+J209)/J219</f>
        <v>-1.8605318005017988</v>
      </c>
      <c r="K233" s="201">
        <f>+(K206+K209)/K219</f>
        <v>-1.9516598448569742</v>
      </c>
      <c r="L233" s="201">
        <f t="shared" ref="L233:AL233" si="1216">+(L206+L209)/L219</f>
        <v>-1.8167391870409491</v>
      </c>
      <c r="M233" s="236">
        <f t="shared" si="1216"/>
        <v>-1.8167391870409491</v>
      </c>
      <c r="N233" s="201">
        <f t="shared" si="1216"/>
        <v>-1.7808769363446999</v>
      </c>
      <c r="O233" s="201">
        <f t="shared" si="1216"/>
        <v>-1.7166567118157705</v>
      </c>
      <c r="P233" s="201">
        <f t="shared" si="1216"/>
        <v>-1.6881671690646121</v>
      </c>
      <c r="Q233" s="201">
        <f t="shared" si="1216"/>
        <v>-1.6764687964930061</v>
      </c>
      <c r="R233" s="236">
        <f t="shared" si="1216"/>
        <v>-1.6764687964930061</v>
      </c>
      <c r="S233" s="201">
        <f t="shared" si="1216"/>
        <v>-1.6688480853458623</v>
      </c>
      <c r="T233" s="201">
        <f t="shared" si="1216"/>
        <v>-1.631931533973779</v>
      </c>
      <c r="U233" s="201">
        <f t="shared" si="1216"/>
        <v>-1.632589098033707</v>
      </c>
      <c r="V233" s="201">
        <f t="shared" si="1216"/>
        <v>-1.6514410780521096</v>
      </c>
      <c r="W233" s="236">
        <f t="shared" si="1216"/>
        <v>-1.6514410780521096</v>
      </c>
      <c r="X233" s="201">
        <f t="shared" si="1216"/>
        <v>-1.6518626755804</v>
      </c>
      <c r="Y233" s="201">
        <f t="shared" si="1216"/>
        <v>-1.6197116156437534</v>
      </c>
      <c r="Z233" s="201">
        <f t="shared" si="1216"/>
        <v>-1.6292076538531395</v>
      </c>
      <c r="AA233" s="201">
        <f t="shared" si="1216"/>
        <v>-1.6601194258186298</v>
      </c>
      <c r="AB233" s="236">
        <f t="shared" si="1216"/>
        <v>-1.6601194258186298</v>
      </c>
      <c r="AC233" s="201">
        <f t="shared" si="1216"/>
        <v>-1.6525413836641665</v>
      </c>
      <c r="AD233" s="201">
        <f t="shared" si="1216"/>
        <v>-1.6071605844246009</v>
      </c>
      <c r="AE233" s="201">
        <f t="shared" si="1216"/>
        <v>-1.6086772301848278</v>
      </c>
      <c r="AF233" s="201">
        <f t="shared" si="1216"/>
        <v>-1.6349259378602607</v>
      </c>
      <c r="AG233" s="236">
        <f t="shared" si="1216"/>
        <v>-1.6349259378602607</v>
      </c>
      <c r="AH233" s="201">
        <f t="shared" si="1216"/>
        <v>-1.5841070649435371</v>
      </c>
      <c r="AI233" s="201">
        <f t="shared" si="1216"/>
        <v>-1.4870616349756136</v>
      </c>
      <c r="AJ233" s="201">
        <f t="shared" si="1216"/>
        <v>-1.4393922457662365</v>
      </c>
      <c r="AK233" s="201">
        <f t="shared" si="1216"/>
        <v>-1.4139136818826838</v>
      </c>
      <c r="AL233" s="236">
        <f t="shared" si="1216"/>
        <v>-1.4139136818826838</v>
      </c>
    </row>
    <row r="234" spans="1:38" s="34" customFormat="1" outlineLevel="1" x14ac:dyDescent="0.2">
      <c r="A234" s="232"/>
      <c r="B234" s="36" t="s">
        <v>205</v>
      </c>
      <c r="C234" s="164"/>
      <c r="D234" s="47">
        <f>+D206/(D206+D209)</f>
        <v>0</v>
      </c>
      <c r="E234" s="47">
        <f>+E206/(E206+E209)</f>
        <v>8.1375793413985785E-3</v>
      </c>
      <c r="F234" s="201">
        <f>+F206/(F206+F209)</f>
        <v>0</v>
      </c>
      <c r="G234" s="201">
        <f>+G206/(G206+G209)</f>
        <v>0</v>
      </c>
      <c r="H234" s="236"/>
      <c r="I234" s="201">
        <f>+I206/(I206+I209)</f>
        <v>8.5546532987690757E-2</v>
      </c>
      <c r="J234" s="201">
        <f>+J206/(J206+J209)</f>
        <v>0.16813887778982817</v>
      </c>
      <c r="K234" s="201">
        <f>+K206/(K206+K209)</f>
        <v>0.12987992894360045</v>
      </c>
      <c r="L234" s="201">
        <f t="shared" ref="L234:AL234" si="1217">+L206/(L206+L209)</f>
        <v>0.10668691711345739</v>
      </c>
      <c r="M234" s="236">
        <f t="shared" si="1217"/>
        <v>0.10668691711345739</v>
      </c>
      <c r="N234" s="201">
        <f t="shared" si="1217"/>
        <v>8.2223628718424327E-2</v>
      </c>
      <c r="O234" s="201">
        <f t="shared" si="1217"/>
        <v>5.6382766241213342E-2</v>
      </c>
      <c r="P234" s="201">
        <f t="shared" si="1217"/>
        <v>2.9044597810881936E-2</v>
      </c>
      <c r="Q234" s="201">
        <f t="shared" si="1217"/>
        <v>6.827989293712787E-2</v>
      </c>
      <c r="R234" s="236">
        <f t="shared" si="1217"/>
        <v>6.827989293712787E-2</v>
      </c>
      <c r="S234" s="201">
        <f t="shared" si="1217"/>
        <v>5.2099252549390088E-2</v>
      </c>
      <c r="T234" s="201">
        <f t="shared" si="1217"/>
        <v>3.5346680239791879E-2</v>
      </c>
      <c r="U234" s="201">
        <f t="shared" si="1217"/>
        <v>1.7991306600650566E-2</v>
      </c>
      <c r="V234" s="201">
        <f t="shared" si="1217"/>
        <v>7.3283695843348776E-2</v>
      </c>
      <c r="W234" s="236">
        <f t="shared" si="1217"/>
        <v>7.3283695843348776E-2</v>
      </c>
      <c r="X234" s="201">
        <f t="shared" si="1217"/>
        <v>5.5988533548329299E-2</v>
      </c>
      <c r="Y234" s="201">
        <f t="shared" si="1217"/>
        <v>3.8035540408958131E-2</v>
      </c>
      <c r="Z234" s="201">
        <f t="shared" si="1217"/>
        <v>1.9386457396321225E-2</v>
      </c>
      <c r="AA234" s="201">
        <f t="shared" si="1217"/>
        <v>0.12201872588093882</v>
      </c>
      <c r="AB234" s="236">
        <f t="shared" si="1217"/>
        <v>0.12201872588093882</v>
      </c>
      <c r="AC234" s="201">
        <f t="shared" si="1217"/>
        <v>9.4375020392182443E-2</v>
      </c>
      <c r="AD234" s="201">
        <f t="shared" si="1217"/>
        <v>6.5012716217809435E-2</v>
      </c>
      <c r="AE234" s="201">
        <f t="shared" si="1217"/>
        <v>3.3598523753982208E-2</v>
      </c>
      <c r="AF234" s="201">
        <f t="shared" si="1217"/>
        <v>0.27020697854556591</v>
      </c>
      <c r="AG234" s="236">
        <f t="shared" si="1217"/>
        <v>0.27020697854556591</v>
      </c>
      <c r="AH234" s="201">
        <f t="shared" si="1217"/>
        <v>0.21733670768695787</v>
      </c>
      <c r="AI234" s="201">
        <f t="shared" si="1217"/>
        <v>0.15620769374960947</v>
      </c>
      <c r="AJ234" s="201">
        <f t="shared" si="1217"/>
        <v>8.472087296387501E-2</v>
      </c>
      <c r="AK234" s="201">
        <f t="shared" si="1217"/>
        <v>0.24683434946807198</v>
      </c>
      <c r="AL234" s="236">
        <f t="shared" si="1217"/>
        <v>0.24683434946807198</v>
      </c>
    </row>
    <row r="235" spans="1:38" s="34" customFormat="1" outlineLevel="1" x14ac:dyDescent="0.2">
      <c r="A235" s="232"/>
      <c r="B235" s="60" t="s">
        <v>199</v>
      </c>
      <c r="C235" s="164"/>
      <c r="D235" s="47">
        <f>+D194/(D205+D211)</f>
        <v>7.7585075018799465E-2</v>
      </c>
      <c r="E235" s="47">
        <f>+E194/(E205+E211)</f>
        <v>0.12468259571674534</v>
      </c>
      <c r="F235" s="192">
        <f t="shared" ref="F235:K235" si="1218">+F194/(F205+F211)</f>
        <v>0.19119242713361023</v>
      </c>
      <c r="G235" s="192">
        <f t="shared" si="1218"/>
        <v>0.22035590386103276</v>
      </c>
      <c r="H235" s="231">
        <f t="shared" si="1218"/>
        <v>0.22035590386103276</v>
      </c>
      <c r="I235" s="230">
        <f t="shared" si="1218"/>
        <v>0.20507171706404201</v>
      </c>
      <c r="J235" s="230">
        <f t="shared" si="1218"/>
        <v>0.21050752296288999</v>
      </c>
      <c r="K235" s="192">
        <f t="shared" si="1218"/>
        <v>0.2146584586535733</v>
      </c>
      <c r="L235" s="357">
        <f>K235</f>
        <v>0.2146584586535733</v>
      </c>
      <c r="M235" s="231"/>
      <c r="N235" s="368">
        <f>L235</f>
        <v>0.2146584586535733</v>
      </c>
      <c r="O235" s="368">
        <f>N235</f>
        <v>0.2146584586535733</v>
      </c>
      <c r="P235" s="368">
        <f>O235</f>
        <v>0.2146584586535733</v>
      </c>
      <c r="Q235" s="368">
        <f>P235</f>
        <v>0.2146584586535733</v>
      </c>
      <c r="R235" s="231"/>
      <c r="S235" s="368">
        <f>Q235</f>
        <v>0.2146584586535733</v>
      </c>
      <c r="T235" s="368">
        <f>S235</f>
        <v>0.2146584586535733</v>
      </c>
      <c r="U235" s="368">
        <f>T235</f>
        <v>0.2146584586535733</v>
      </c>
      <c r="V235" s="368">
        <f>U235</f>
        <v>0.2146584586535733</v>
      </c>
      <c r="W235" s="231"/>
      <c r="X235" s="368">
        <f>V235</f>
        <v>0.2146584586535733</v>
      </c>
      <c r="Y235" s="368">
        <f>X235</f>
        <v>0.2146584586535733</v>
      </c>
      <c r="Z235" s="368">
        <f>Y235</f>
        <v>0.2146584586535733</v>
      </c>
      <c r="AA235" s="368">
        <f>Z235</f>
        <v>0.2146584586535733</v>
      </c>
      <c r="AB235" s="236"/>
      <c r="AC235" s="368">
        <f>AA235</f>
        <v>0.2146584586535733</v>
      </c>
      <c r="AD235" s="368">
        <f>AC235</f>
        <v>0.2146584586535733</v>
      </c>
      <c r="AE235" s="368">
        <f>AD235</f>
        <v>0.2146584586535733</v>
      </c>
      <c r="AF235" s="368">
        <f>AE235</f>
        <v>0.2146584586535733</v>
      </c>
      <c r="AG235" s="236"/>
      <c r="AH235" s="368">
        <f>AF235</f>
        <v>0.2146584586535733</v>
      </c>
      <c r="AI235" s="368">
        <f>AH235</f>
        <v>0.2146584586535733</v>
      </c>
      <c r="AJ235" s="368">
        <f>AI235</f>
        <v>0.2146584586535733</v>
      </c>
      <c r="AK235" s="368">
        <f>AJ235</f>
        <v>0.2146584586535733</v>
      </c>
      <c r="AL235" s="236"/>
    </row>
    <row r="236" spans="1:38" outlineLevel="1" x14ac:dyDescent="0.2">
      <c r="A236" s="167"/>
      <c r="B236" s="70" t="s">
        <v>47</v>
      </c>
      <c r="C236" s="165"/>
      <c r="D236" s="148"/>
      <c r="E236" s="148">
        <f>+E242/((E192+D192)/2)</f>
        <v>6.122482504846076E-2</v>
      </c>
      <c r="F236" s="237">
        <f t="shared" ref="F236:H236" si="1219">+F242/((F192+E192)/2)</f>
        <v>5.8442138063667992E-2</v>
      </c>
      <c r="G236" s="237">
        <f t="shared" si="1219"/>
        <v>5.7957922263164152E-2</v>
      </c>
      <c r="H236" s="238">
        <f t="shared" si="1219"/>
        <v>0.2253370026587061</v>
      </c>
      <c r="I236" s="239">
        <f>+I242/((I192+G192)/2)</f>
        <v>5.75858250276855E-2</v>
      </c>
      <c r="J236" s="239">
        <f>+J242/((J192+I192)/2)</f>
        <v>5.9117695395957084E-2</v>
      </c>
      <c r="K236" s="237">
        <f>+K242/((K192+J192)/2)</f>
        <v>5.9467301657388859E-2</v>
      </c>
      <c r="L236" s="365">
        <f>K236</f>
        <v>5.9467301657388859E-2</v>
      </c>
      <c r="M236" s="238"/>
      <c r="N236" s="365">
        <f>L236</f>
        <v>5.9467301657388859E-2</v>
      </c>
      <c r="O236" s="365">
        <f t="shared" ref="O236:Q236" si="1220">N236</f>
        <v>5.9467301657388859E-2</v>
      </c>
      <c r="P236" s="365">
        <f t="shared" si="1220"/>
        <v>5.9467301657388859E-2</v>
      </c>
      <c r="Q236" s="365">
        <f t="shared" si="1220"/>
        <v>5.9467301657388859E-2</v>
      </c>
      <c r="R236" s="238"/>
      <c r="S236" s="365">
        <f>Q236</f>
        <v>5.9467301657388859E-2</v>
      </c>
      <c r="T236" s="365">
        <f t="shared" ref="T236:V236" si="1221">S236</f>
        <v>5.9467301657388859E-2</v>
      </c>
      <c r="U236" s="365">
        <f t="shared" si="1221"/>
        <v>5.9467301657388859E-2</v>
      </c>
      <c r="V236" s="365">
        <f t="shared" si="1221"/>
        <v>5.9467301657388859E-2</v>
      </c>
      <c r="W236" s="238"/>
      <c r="X236" s="365">
        <f>V236</f>
        <v>5.9467301657388859E-2</v>
      </c>
      <c r="Y236" s="365">
        <f t="shared" ref="Y236:AA236" si="1222">X236</f>
        <v>5.9467301657388859E-2</v>
      </c>
      <c r="Z236" s="365">
        <f t="shared" si="1222"/>
        <v>5.9467301657388859E-2</v>
      </c>
      <c r="AA236" s="365">
        <f t="shared" si="1222"/>
        <v>5.9467301657388859E-2</v>
      </c>
      <c r="AB236" s="327"/>
      <c r="AC236" s="365">
        <f>AA236</f>
        <v>5.9467301657388859E-2</v>
      </c>
      <c r="AD236" s="365">
        <f t="shared" ref="AD236:AF236" si="1223">AC236</f>
        <v>5.9467301657388859E-2</v>
      </c>
      <c r="AE236" s="365">
        <f t="shared" si="1223"/>
        <v>5.9467301657388859E-2</v>
      </c>
      <c r="AF236" s="365">
        <f t="shared" si="1223"/>
        <v>5.9467301657388859E-2</v>
      </c>
      <c r="AG236" s="327"/>
      <c r="AH236" s="365">
        <f>AF236</f>
        <v>5.9467301657388859E-2</v>
      </c>
      <c r="AI236" s="365">
        <f t="shared" ref="AI236:AK236" si="1224">AH236</f>
        <v>5.9467301657388859E-2</v>
      </c>
      <c r="AJ236" s="365">
        <f t="shared" si="1224"/>
        <v>5.9467301657388859E-2</v>
      </c>
      <c r="AK236" s="365">
        <f t="shared" si="1224"/>
        <v>5.9467301657388859E-2</v>
      </c>
      <c r="AL236" s="327"/>
    </row>
    <row r="237" spans="1:38" x14ac:dyDescent="0.2">
      <c r="A237" s="167"/>
      <c r="B237" s="12"/>
      <c r="C237" s="12"/>
      <c r="D237" s="5"/>
      <c r="E237" s="5"/>
      <c r="F237" s="5"/>
      <c r="G237" s="5"/>
    </row>
    <row r="238" spans="1:38" ht="16" x14ac:dyDescent="0.2">
      <c r="A238" s="167"/>
      <c r="B238" s="417" t="s">
        <v>71</v>
      </c>
      <c r="C238" s="436"/>
      <c r="D238" s="22" t="s">
        <v>59</v>
      </c>
      <c r="E238" s="22" t="s">
        <v>213</v>
      </c>
      <c r="F238" s="22" t="s">
        <v>215</v>
      </c>
      <c r="G238" s="22" t="s">
        <v>73</v>
      </c>
      <c r="H238" s="77" t="s">
        <v>73</v>
      </c>
      <c r="I238" s="22" t="s">
        <v>74</v>
      </c>
      <c r="J238" s="22" t="s">
        <v>75</v>
      </c>
      <c r="K238" s="22" t="s">
        <v>76</v>
      </c>
      <c r="L238" s="24" t="s">
        <v>77</v>
      </c>
      <c r="M238" s="79" t="s">
        <v>77</v>
      </c>
      <c r="N238" s="24" t="s">
        <v>78</v>
      </c>
      <c r="O238" s="24" t="s">
        <v>79</v>
      </c>
      <c r="P238" s="24" t="s">
        <v>80</v>
      </c>
      <c r="Q238" s="24" t="s">
        <v>81</v>
      </c>
      <c r="R238" s="79" t="s">
        <v>81</v>
      </c>
      <c r="S238" s="24" t="s">
        <v>82</v>
      </c>
      <c r="T238" s="24" t="s">
        <v>83</v>
      </c>
      <c r="U238" s="24" t="s">
        <v>84</v>
      </c>
      <c r="V238" s="24" t="s">
        <v>85</v>
      </c>
      <c r="W238" s="79" t="s">
        <v>85</v>
      </c>
      <c r="X238" s="24" t="s">
        <v>86</v>
      </c>
      <c r="Y238" s="24" t="s">
        <v>87</v>
      </c>
      <c r="Z238" s="24" t="s">
        <v>88</v>
      </c>
      <c r="AA238" s="24" t="s">
        <v>89</v>
      </c>
      <c r="AB238" s="79" t="s">
        <v>89</v>
      </c>
      <c r="AC238" s="24" t="s">
        <v>217</v>
      </c>
      <c r="AD238" s="24" t="s">
        <v>218</v>
      </c>
      <c r="AE238" s="24" t="s">
        <v>219</v>
      </c>
      <c r="AF238" s="24" t="s">
        <v>220</v>
      </c>
      <c r="AG238" s="79" t="s">
        <v>220</v>
      </c>
      <c r="AH238" s="24" t="s">
        <v>250</v>
      </c>
      <c r="AI238" s="24" t="s">
        <v>251</v>
      </c>
      <c r="AJ238" s="24" t="s">
        <v>252</v>
      </c>
      <c r="AK238" s="24" t="s">
        <v>253</v>
      </c>
      <c r="AL238" s="79" t="s">
        <v>253</v>
      </c>
    </row>
    <row r="239" spans="1:38" ht="18" x14ac:dyDescent="0.35">
      <c r="A239" s="167"/>
      <c r="B239" s="64" t="s">
        <v>3</v>
      </c>
      <c r="C239" s="81"/>
      <c r="D239" s="23" t="s">
        <v>72</v>
      </c>
      <c r="E239" s="23" t="s">
        <v>212</v>
      </c>
      <c r="F239" s="23" t="s">
        <v>216</v>
      </c>
      <c r="G239" s="23" t="s">
        <v>226</v>
      </c>
      <c r="H239" s="78" t="s">
        <v>227</v>
      </c>
      <c r="I239" s="23" t="s">
        <v>228</v>
      </c>
      <c r="J239" s="23" t="s">
        <v>229</v>
      </c>
      <c r="K239" s="23" t="s">
        <v>230</v>
      </c>
      <c r="L239" s="21" t="s">
        <v>90</v>
      </c>
      <c r="M239" s="80" t="s">
        <v>91</v>
      </c>
      <c r="N239" s="21" t="s">
        <v>92</v>
      </c>
      <c r="O239" s="21" t="s">
        <v>93</v>
      </c>
      <c r="P239" s="21" t="s">
        <v>94</v>
      </c>
      <c r="Q239" s="21" t="s">
        <v>95</v>
      </c>
      <c r="R239" s="80" t="s">
        <v>96</v>
      </c>
      <c r="S239" s="21" t="s">
        <v>97</v>
      </c>
      <c r="T239" s="21" t="s">
        <v>98</v>
      </c>
      <c r="U239" s="21" t="s">
        <v>99</v>
      </c>
      <c r="V239" s="21" t="s">
        <v>100</v>
      </c>
      <c r="W239" s="80" t="s">
        <v>101</v>
      </c>
      <c r="X239" s="21" t="s">
        <v>102</v>
      </c>
      <c r="Y239" s="21" t="s">
        <v>103</v>
      </c>
      <c r="Z239" s="21" t="s">
        <v>104</v>
      </c>
      <c r="AA239" s="21" t="s">
        <v>105</v>
      </c>
      <c r="AB239" s="80" t="s">
        <v>106</v>
      </c>
      <c r="AC239" s="21" t="s">
        <v>221</v>
      </c>
      <c r="AD239" s="21" t="s">
        <v>222</v>
      </c>
      <c r="AE239" s="21" t="s">
        <v>223</v>
      </c>
      <c r="AF239" s="21" t="s">
        <v>224</v>
      </c>
      <c r="AG239" s="80" t="s">
        <v>225</v>
      </c>
      <c r="AH239" s="21" t="s">
        <v>254</v>
      </c>
      <c r="AI239" s="21" t="s">
        <v>255</v>
      </c>
      <c r="AJ239" s="21" t="s">
        <v>256</v>
      </c>
      <c r="AK239" s="21" t="s">
        <v>257</v>
      </c>
      <c r="AL239" s="80" t="s">
        <v>258</v>
      </c>
    </row>
    <row r="240" spans="1:38" outlineLevel="1" x14ac:dyDescent="0.2">
      <c r="A240" s="167"/>
      <c r="B240" s="430" t="s">
        <v>11</v>
      </c>
      <c r="C240" s="431"/>
      <c r="D240" s="5"/>
      <c r="E240" s="5"/>
      <c r="F240" s="5"/>
      <c r="G240" s="5"/>
      <c r="H240" s="8"/>
      <c r="I240" s="5"/>
      <c r="J240" s="5"/>
      <c r="K240" s="227"/>
      <c r="L240" s="328"/>
      <c r="M240" s="329"/>
      <c r="N240" s="328"/>
      <c r="O240" s="328"/>
      <c r="P240" s="328"/>
      <c r="Q240" s="328"/>
      <c r="R240" s="329"/>
      <c r="S240" s="328"/>
      <c r="T240" s="328"/>
      <c r="U240" s="328"/>
      <c r="V240" s="328"/>
      <c r="W240" s="329"/>
      <c r="X240" s="328"/>
      <c r="Y240" s="328"/>
      <c r="Z240" s="328"/>
      <c r="AA240" s="328"/>
      <c r="AB240" s="329"/>
      <c r="AC240" s="328"/>
      <c r="AD240" s="328"/>
      <c r="AE240" s="328"/>
      <c r="AF240" s="328"/>
      <c r="AG240" s="329"/>
      <c r="AH240" s="328"/>
      <c r="AI240" s="328"/>
      <c r="AJ240" s="328"/>
      <c r="AK240" s="328"/>
      <c r="AL240" s="329"/>
    </row>
    <row r="241" spans="1:38" outlineLevel="1" x14ac:dyDescent="0.2">
      <c r="A241" s="167"/>
      <c r="B241" s="48" t="s">
        <v>182</v>
      </c>
      <c r="C241" s="90"/>
      <c r="D241" s="25">
        <f>D33</f>
        <v>760.40000000000043</v>
      </c>
      <c r="E241" s="169">
        <f>E33-0.2</f>
        <v>658.59999999999968</v>
      </c>
      <c r="F241" s="25">
        <f>F33</f>
        <v>1373.200000000001</v>
      </c>
      <c r="G241" s="25">
        <f>G33+0.2</f>
        <v>802.400000000001</v>
      </c>
      <c r="H241" s="26">
        <f t="shared" ref="H241:K241" si="1225">H33</f>
        <v>3594.6000000000054</v>
      </c>
      <c r="I241" s="25">
        <f t="shared" si="1225"/>
        <v>885.29999999999882</v>
      </c>
      <c r="J241" s="25">
        <f t="shared" si="1225"/>
        <v>324.79999999999905</v>
      </c>
      <c r="K241" s="25">
        <f t="shared" si="1225"/>
        <v>-678.09999999999923</v>
      </c>
      <c r="L241" s="169">
        <f>L33</f>
        <v>153.68249098192484</v>
      </c>
      <c r="M241" s="170">
        <f t="shared" ref="M241:M248" si="1226">SUM(I241:L241)</f>
        <v>685.68249098192348</v>
      </c>
      <c r="N241" s="169">
        <f t="shared" ref="N241:R241" si="1227">N33</f>
        <v>603.21473974865899</v>
      </c>
      <c r="O241" s="169">
        <f t="shared" si="1227"/>
        <v>469.18182910765518</v>
      </c>
      <c r="P241" s="169">
        <f t="shared" si="1227"/>
        <v>645.56900342179415</v>
      </c>
      <c r="Q241" s="169">
        <f t="shared" si="1227"/>
        <v>757.92041068845629</v>
      </c>
      <c r="R241" s="170">
        <f t="shared" si="1227"/>
        <v>2475.8859829665666</v>
      </c>
      <c r="S241" s="169">
        <f t="shared" ref="S241:AL241" si="1228">S33</f>
        <v>666.44294887597516</v>
      </c>
      <c r="T241" s="169">
        <f t="shared" si="1228"/>
        <v>522.21185666092515</v>
      </c>
      <c r="U241" s="169">
        <f t="shared" si="1228"/>
        <v>709.97002024214885</v>
      </c>
      <c r="V241" s="169">
        <f t="shared" si="1228"/>
        <v>822.5475102431393</v>
      </c>
      <c r="W241" s="170">
        <f t="shared" si="1228"/>
        <v>2721.1723360221872</v>
      </c>
      <c r="X241" s="169">
        <f t="shared" si="1228"/>
        <v>725.36319390158167</v>
      </c>
      <c r="Y241" s="169">
        <f t="shared" si="1228"/>
        <v>572.85086525767974</v>
      </c>
      <c r="Z241" s="169">
        <f t="shared" si="1228"/>
        <v>769.00449388628806</v>
      </c>
      <c r="AA241" s="169">
        <f t="shared" si="1228"/>
        <v>887.59021759579537</v>
      </c>
      <c r="AB241" s="170">
        <f t="shared" si="1228"/>
        <v>2954.8087706413494</v>
      </c>
      <c r="AC241" s="169">
        <f t="shared" si="1228"/>
        <v>786.02880341936213</v>
      </c>
      <c r="AD241" s="169">
        <f t="shared" si="1228"/>
        <v>625.44456676037953</v>
      </c>
      <c r="AE241" s="169">
        <f t="shared" si="1228"/>
        <v>830.53953817344905</v>
      </c>
      <c r="AF241" s="169">
        <f t="shared" si="1228"/>
        <v>956.42338571885239</v>
      </c>
      <c r="AG241" s="170">
        <f t="shared" si="1228"/>
        <v>3198.4362940720348</v>
      </c>
      <c r="AH241" s="169">
        <f t="shared" si="1228"/>
        <v>858.41726229056724</v>
      </c>
      <c r="AI241" s="169">
        <f t="shared" si="1228"/>
        <v>689.24419980559287</v>
      </c>
      <c r="AJ241" s="169">
        <f t="shared" si="1228"/>
        <v>906.20914890593338</v>
      </c>
      <c r="AK241" s="169">
        <f t="shared" si="1228"/>
        <v>1041.3330088524813</v>
      </c>
      <c r="AL241" s="170">
        <f t="shared" si="1228"/>
        <v>3495.2036198545702</v>
      </c>
    </row>
    <row r="242" spans="1:38" outlineLevel="1" x14ac:dyDescent="0.2">
      <c r="A242" s="167"/>
      <c r="B242" s="48" t="s">
        <v>45</v>
      </c>
      <c r="C242" s="90"/>
      <c r="D242" s="25">
        <v>350.8</v>
      </c>
      <c r="E242" s="25">
        <f>723.5-D242</f>
        <v>372.7</v>
      </c>
      <c r="F242" s="25">
        <f>1083.6-E242-D242</f>
        <v>360.09999999999985</v>
      </c>
      <c r="G242" s="25">
        <f>1449.3-F242-E242-D242</f>
        <v>365.7</v>
      </c>
      <c r="H242" s="26">
        <f t="shared" ref="H242:H248" si="1229">SUM(D242:G242)</f>
        <v>1449.3</v>
      </c>
      <c r="I242" s="25">
        <v>369.2</v>
      </c>
      <c r="J242" s="25">
        <f>746.9-I242</f>
        <v>377.7</v>
      </c>
      <c r="K242" s="25">
        <f>1124-J242-I242</f>
        <v>377.09999999999997</v>
      </c>
      <c r="L242" s="169">
        <f>(K192*L236)</f>
        <v>374.3823443142573</v>
      </c>
      <c r="M242" s="170">
        <f t="shared" si="1226"/>
        <v>1498.3823443142574</v>
      </c>
      <c r="N242" s="169">
        <f>(L192*N236)</f>
        <v>373.9337946419102</v>
      </c>
      <c r="O242" s="169">
        <f t="shared" ref="O242:Q242" si="1230">(M192*O236)</f>
        <v>373.9337946419102</v>
      </c>
      <c r="P242" s="169">
        <f t="shared" si="1230"/>
        <v>376.35409881252446</v>
      </c>
      <c r="Q242" s="169">
        <f t="shared" si="1230"/>
        <v>375.74088260170049</v>
      </c>
      <c r="R242" s="170">
        <f>SUM(N242:Q242)</f>
        <v>1499.9625706980455</v>
      </c>
      <c r="S242" s="169">
        <f>(Q192*S236)</f>
        <v>381.54903251325658</v>
      </c>
      <c r="T242" s="169">
        <f t="shared" ref="T242" si="1231">(R192*T236)</f>
        <v>381.54903251325658</v>
      </c>
      <c r="U242" s="169">
        <f t="shared" ref="U242" si="1232">(S192*U236)</f>
        <v>384.8223670895037</v>
      </c>
      <c r="V242" s="169">
        <f t="shared" ref="V242" si="1233">(T192*V236)</f>
        <v>384.84331124896204</v>
      </c>
      <c r="W242" s="170">
        <f>SUM(S242:V242)</f>
        <v>1532.7637433649788</v>
      </c>
      <c r="X242" s="169">
        <f>(V192*X236)</f>
        <v>392.25714655644805</v>
      </c>
      <c r="Y242" s="169">
        <f t="shared" ref="Y242" si="1234">(W192*Y236)</f>
        <v>392.25714655644805</v>
      </c>
      <c r="Z242" s="169">
        <f t="shared" ref="Z242" si="1235">(X192*Z236)</f>
        <v>396.22998120306482</v>
      </c>
      <c r="AA242" s="169">
        <f t="shared" ref="AA242" si="1236">(Y192*AA236)</f>
        <v>396.7471889966352</v>
      </c>
      <c r="AB242" s="170">
        <f>SUM(X242:AA242)</f>
        <v>1577.4914633125961</v>
      </c>
      <c r="AC242" s="169">
        <f>(AA192*AC236)</f>
        <v>405.46517547930677</v>
      </c>
      <c r="AD242" s="169">
        <f t="shared" ref="AD242" si="1237">(AB192*AD236)</f>
        <v>405.46517547930677</v>
      </c>
      <c r="AE242" s="169">
        <f t="shared" ref="AE242" si="1238">(AC192*AE236)</f>
        <v>410.0648536960021</v>
      </c>
      <c r="AF242" s="169">
        <f t="shared" ref="AF242" si="1239">(AD192*AF236)</f>
        <v>410.99402686816472</v>
      </c>
      <c r="AG242" s="170">
        <f>SUM(AC242:AF242)</f>
        <v>1631.9892315227803</v>
      </c>
      <c r="AH242" s="169">
        <f>(AF192*AH236)</f>
        <v>420.86552150352867</v>
      </c>
      <c r="AI242" s="169">
        <f t="shared" ref="AI242" si="1240">(AG192*AI236)</f>
        <v>420.86552150352867</v>
      </c>
      <c r="AJ242" s="169">
        <f t="shared" ref="AJ242" si="1241">(AH192*AJ236)</f>
        <v>426.19340880844112</v>
      </c>
      <c r="AK242" s="169">
        <f t="shared" ref="AK242" si="1242">(AI192*AK236)</f>
        <v>427.60518709089268</v>
      </c>
      <c r="AL242" s="170">
        <f>SUM(AH242:AK242)</f>
        <v>1695.5296389063913</v>
      </c>
    </row>
    <row r="243" spans="1:38" outlineLevel="1" x14ac:dyDescent="0.2">
      <c r="A243" s="167"/>
      <c r="B243" s="48" t="s">
        <v>183</v>
      </c>
      <c r="C243" s="90"/>
      <c r="D243" s="25">
        <v>-354.6</v>
      </c>
      <c r="E243" s="25">
        <f>-714.5-D243</f>
        <v>-359.9</v>
      </c>
      <c r="F243" s="25">
        <f>-1243.5-E243-D243</f>
        <v>-529</v>
      </c>
      <c r="G243" s="169">
        <f>-1495.4-F243-E243-D243</f>
        <v>-251.90000000000009</v>
      </c>
      <c r="H243" s="26">
        <f>SUM(D243:G243)</f>
        <v>-1495.4</v>
      </c>
      <c r="I243" s="25">
        <v>10.4</v>
      </c>
      <c r="J243" s="25">
        <f>47.7-I243</f>
        <v>37.300000000000004</v>
      </c>
      <c r="K243" s="25">
        <f>20-J243-I243</f>
        <v>-27.700000000000003</v>
      </c>
      <c r="L243" s="169">
        <f>-(L194-K194)</f>
        <v>8.8446583352865673</v>
      </c>
      <c r="M243" s="170">
        <f t="shared" si="1226"/>
        <v>28.844658335286567</v>
      </c>
      <c r="N243" s="169">
        <f>-(N194-L194)</f>
        <v>-87.609840731318855</v>
      </c>
      <c r="O243" s="169">
        <f t="shared" ref="O243:Q243" si="1243">-(O194-N194)</f>
        <v>66.296905815755736</v>
      </c>
      <c r="P243" s="169">
        <f t="shared" si="1243"/>
        <v>9.0715950922078719</v>
      </c>
      <c r="Q243" s="169">
        <f t="shared" si="1243"/>
        <v>9.0146914919803294</v>
      </c>
      <c r="R243" s="170">
        <f>SUM(N243:Q243)</f>
        <v>-3.2266483313749177</v>
      </c>
      <c r="S243" s="169">
        <f>-(S194-Q194)</f>
        <v>-95.444287103977558</v>
      </c>
      <c r="T243" s="169">
        <f t="shared" ref="T243:V243" si="1244">-(T194-S194)</f>
        <v>71.240583066097543</v>
      </c>
      <c r="U243" s="169">
        <f t="shared" si="1244"/>
        <v>9.2672093349319766</v>
      </c>
      <c r="V243" s="169">
        <f t="shared" si="1244"/>
        <v>9.2078118320046087</v>
      </c>
      <c r="W243" s="170">
        <f>SUM(S243:V243)</f>
        <v>-5.7286828709434303</v>
      </c>
      <c r="X243" s="169">
        <f>-(X194-V194)</f>
        <v>-103.92013803186114</v>
      </c>
      <c r="Y243" s="169">
        <f t="shared" ref="Y243:AA243" si="1245">-(Y194-X194)</f>
        <v>76.603538445200911</v>
      </c>
      <c r="Z243" s="169">
        <f t="shared" si="1245"/>
        <v>9.4879270180895219</v>
      </c>
      <c r="AA243" s="169">
        <f t="shared" si="1245"/>
        <v>9.4257931307349736</v>
      </c>
      <c r="AB243" s="170">
        <f>SUM(X243:AA243)</f>
        <v>-8.4028794378357361</v>
      </c>
      <c r="AC243" s="169">
        <f>-(AC194-AA194)</f>
        <v>-113.09077896024382</v>
      </c>
      <c r="AD243" s="169">
        <f t="shared" ref="AD243:AF243" si="1246">-(AD194-AC194)</f>
        <v>82.420434876258241</v>
      </c>
      <c r="AE243" s="169">
        <f t="shared" si="1246"/>
        <v>9.7356909931661448</v>
      </c>
      <c r="AF243" s="169">
        <f t="shared" si="1246"/>
        <v>9.6705586751168084</v>
      </c>
      <c r="AG243" s="170">
        <f>SUM(AC243:AF243)</f>
        <v>-11.26409441570263</v>
      </c>
      <c r="AH243" s="169">
        <f>-(AH194-AF194)</f>
        <v>-123.01402462639453</v>
      </c>
      <c r="AI243" s="169">
        <f t="shared" ref="AI243:AK243" si="1247">-(AI194-AH194)</f>
        <v>88.728814920519426</v>
      </c>
      <c r="AJ243" s="169">
        <f t="shared" si="1247"/>
        <v>10.012607631179208</v>
      </c>
      <c r="AK243" s="169">
        <f t="shared" si="1247"/>
        <v>9.9441936386001544</v>
      </c>
      <c r="AL243" s="170">
        <f>SUM(AH243:AK243)</f>
        <v>-14.328408436095742</v>
      </c>
    </row>
    <row r="244" spans="1:38" outlineLevel="1" x14ac:dyDescent="0.2">
      <c r="A244" s="167"/>
      <c r="B244" s="48" t="s">
        <v>184</v>
      </c>
      <c r="C244" s="90"/>
      <c r="D244" s="25">
        <v>-55</v>
      </c>
      <c r="E244" s="25">
        <f>-108.2-D244</f>
        <v>-53.2</v>
      </c>
      <c r="F244" s="25">
        <f>-174.1-E244-D244</f>
        <v>-65.899999999999991</v>
      </c>
      <c r="G244" s="169">
        <f>-250.6-F244-E244-D244</f>
        <v>-76.5</v>
      </c>
      <c r="H244" s="26">
        <f t="shared" si="1229"/>
        <v>-250.6</v>
      </c>
      <c r="I244" s="25">
        <v>-62.9</v>
      </c>
      <c r="J244" s="25">
        <f>-116.3-I244</f>
        <v>-53.4</v>
      </c>
      <c r="K244" s="25">
        <f>-182.3-J244-I244</f>
        <v>-66</v>
      </c>
      <c r="L244" s="169">
        <f>-L24</f>
        <v>-75.524999999999991</v>
      </c>
      <c r="M244" s="170">
        <f t="shared" si="1226"/>
        <v>-257.82499999999999</v>
      </c>
      <c r="N244" s="169">
        <f>-N24</f>
        <v>-71.431249999999991</v>
      </c>
      <c r="O244" s="169">
        <f t="shared" ref="O244:Q244" si="1248">-O24</f>
        <v>-70.814062499999991</v>
      </c>
      <c r="P244" s="169">
        <f t="shared" si="1248"/>
        <v>-71.542578124999991</v>
      </c>
      <c r="Q244" s="169">
        <f t="shared" si="1248"/>
        <v>-72.328222656250006</v>
      </c>
      <c r="R244" s="170">
        <f t="shared" ref="R244:R246" si="1249">SUM(N244:Q244)</f>
        <v>-286.11611328125002</v>
      </c>
      <c r="S244" s="169">
        <f>-S24</f>
        <v>-71.529028320312506</v>
      </c>
      <c r="T244" s="169">
        <f t="shared" ref="T244:V244" si="1250">-T24</f>
        <v>-71.553472900390616</v>
      </c>
      <c r="U244" s="169">
        <f t="shared" si="1250"/>
        <v>-71.738325500488287</v>
      </c>
      <c r="V244" s="169">
        <f t="shared" si="1250"/>
        <v>-71.787262344360357</v>
      </c>
      <c r="W244" s="170">
        <f t="shared" ref="W244:W246" si="1251">SUM(S244:V244)</f>
        <v>-286.60808906555178</v>
      </c>
      <c r="X244" s="169">
        <f>-X24</f>
        <v>-71.652022266387931</v>
      </c>
      <c r="Y244" s="169">
        <f t="shared" ref="Y244:AA244" si="1252">-Y24</f>
        <v>-71.682770752906805</v>
      </c>
      <c r="Z244" s="169">
        <f t="shared" si="1252"/>
        <v>-71.715095216035849</v>
      </c>
      <c r="AA244" s="169">
        <f t="shared" si="1252"/>
        <v>-71.709287644922739</v>
      </c>
      <c r="AB244" s="170">
        <f t="shared" ref="AB244:AB246" si="1253">SUM(X244:AA244)</f>
        <v>-286.75917588025334</v>
      </c>
      <c r="AC244" s="169">
        <f>-AC24</f>
        <v>-71.689793970063334</v>
      </c>
      <c r="AD244" s="169">
        <f t="shared" ref="AD244:AF244" si="1254">-AD24</f>
        <v>-71.699236895982182</v>
      </c>
      <c r="AE244" s="169">
        <f t="shared" si="1254"/>
        <v>-71.703353431751026</v>
      </c>
      <c r="AF244" s="169">
        <f t="shared" si="1254"/>
        <v>-71.70041798567982</v>
      </c>
      <c r="AG244" s="170">
        <f t="shared" ref="AG244:AG246" si="1255">SUM(AC244:AF244)</f>
        <v>-286.79280228347636</v>
      </c>
      <c r="AH244" s="169">
        <f>-AH24</f>
        <v>-71.698200570869091</v>
      </c>
      <c r="AI244" s="169">
        <f t="shared" ref="AI244:AK244" si="1256">-AI24</f>
        <v>-71.70030222107053</v>
      </c>
      <c r="AJ244" s="169">
        <f t="shared" si="1256"/>
        <v>-71.700568552342617</v>
      </c>
      <c r="AK244" s="169">
        <f t="shared" si="1256"/>
        <v>-71.699872332490514</v>
      </c>
      <c r="AL244" s="170">
        <f t="shared" ref="AL244:AL246" si="1257">SUM(AH244:AK244)</f>
        <v>-286.79894367677275</v>
      </c>
    </row>
    <row r="245" spans="1:38" outlineLevel="1" x14ac:dyDescent="0.2">
      <c r="A245" s="167"/>
      <c r="B245" s="48" t="s">
        <v>185</v>
      </c>
      <c r="C245" s="90"/>
      <c r="D245" s="25">
        <v>63.7</v>
      </c>
      <c r="E245" s="25">
        <f>93.3-D245</f>
        <v>29.599999999999994</v>
      </c>
      <c r="F245" s="25">
        <f>163.7-E245-D245</f>
        <v>70.399999999999991</v>
      </c>
      <c r="G245" s="169">
        <f>216.8-F245-E245-D245</f>
        <v>53.100000000000037</v>
      </c>
      <c r="H245" s="26">
        <f t="shared" si="1229"/>
        <v>216.8</v>
      </c>
      <c r="I245" s="25">
        <v>64.3</v>
      </c>
      <c r="J245" s="25">
        <f>98.1-I245</f>
        <v>33.799999999999997</v>
      </c>
      <c r="K245" s="25">
        <f>165.6-J245-I245</f>
        <v>67.500000000000014</v>
      </c>
      <c r="L245" s="169">
        <f>-L289*L244</f>
        <v>75.524999999999991</v>
      </c>
      <c r="M245" s="170">
        <f t="shared" si="1226"/>
        <v>241.125</v>
      </c>
      <c r="N245" s="169">
        <f>-N289*N244</f>
        <v>71.431249999999991</v>
      </c>
      <c r="O245" s="169">
        <f t="shared" ref="O245:Q245" si="1258">-O289*O244</f>
        <v>70.814062499999991</v>
      </c>
      <c r="P245" s="169">
        <f t="shared" si="1258"/>
        <v>71.542578124999991</v>
      </c>
      <c r="Q245" s="169">
        <f t="shared" si="1258"/>
        <v>72.328222656250006</v>
      </c>
      <c r="R245" s="170">
        <f t="shared" si="1249"/>
        <v>286.11611328125002</v>
      </c>
      <c r="S245" s="169">
        <f>-S289*S244</f>
        <v>71.529028320312506</v>
      </c>
      <c r="T245" s="169">
        <f t="shared" ref="T245" si="1259">-T289*T244</f>
        <v>71.553472900390616</v>
      </c>
      <c r="U245" s="169">
        <f t="shared" ref="U245" si="1260">-U289*U244</f>
        <v>71.738325500488287</v>
      </c>
      <c r="V245" s="169">
        <f t="shared" ref="V245" si="1261">-V289*V244</f>
        <v>71.787262344360357</v>
      </c>
      <c r="W245" s="170">
        <f t="shared" si="1251"/>
        <v>286.60808906555178</v>
      </c>
      <c r="X245" s="169">
        <f>-X289*X244</f>
        <v>71.652022266387931</v>
      </c>
      <c r="Y245" s="169">
        <f t="shared" ref="Y245" si="1262">-Y289*Y244</f>
        <v>71.682770752906805</v>
      </c>
      <c r="Z245" s="169">
        <f t="shared" ref="Z245" si="1263">-Z289*Z244</f>
        <v>71.715095216035849</v>
      </c>
      <c r="AA245" s="169">
        <f t="shared" ref="AA245" si="1264">-AA289*AA244</f>
        <v>71.709287644922739</v>
      </c>
      <c r="AB245" s="170">
        <f t="shared" si="1253"/>
        <v>286.75917588025334</v>
      </c>
      <c r="AC245" s="169">
        <f>-AC289*AC244</f>
        <v>71.689793970063334</v>
      </c>
      <c r="AD245" s="169">
        <f t="shared" ref="AD245" si="1265">-AD289*AD244</f>
        <v>71.699236895982182</v>
      </c>
      <c r="AE245" s="169">
        <f t="shared" ref="AE245" si="1266">-AE289*AE244</f>
        <v>71.703353431751026</v>
      </c>
      <c r="AF245" s="169">
        <f t="shared" ref="AF245" si="1267">-AF289*AF244</f>
        <v>71.70041798567982</v>
      </c>
      <c r="AG245" s="170">
        <f t="shared" si="1255"/>
        <v>286.79280228347636</v>
      </c>
      <c r="AH245" s="169">
        <f>-AH289*AH244</f>
        <v>71.698200570869091</v>
      </c>
      <c r="AI245" s="169">
        <f t="shared" ref="AI245" si="1268">-AI289*AI244</f>
        <v>71.70030222107053</v>
      </c>
      <c r="AJ245" s="169">
        <f t="shared" ref="AJ245" si="1269">-AJ289*AJ244</f>
        <v>71.700568552342617</v>
      </c>
      <c r="AK245" s="169">
        <f t="shared" ref="AK245" si="1270">-AK289*AK244</f>
        <v>71.699872332490514</v>
      </c>
      <c r="AL245" s="170">
        <f t="shared" si="1257"/>
        <v>286.79894367677275</v>
      </c>
    </row>
    <row r="246" spans="1:38" outlineLevel="1" x14ac:dyDescent="0.2">
      <c r="A246" s="167"/>
      <c r="B246" s="48" t="s">
        <v>191</v>
      </c>
      <c r="C246" s="90"/>
      <c r="D246" s="25">
        <v>0</v>
      </c>
      <c r="E246" s="25">
        <f>-21-D246</f>
        <v>-21</v>
      </c>
      <c r="F246" s="25">
        <f>-622.8-E246-D246</f>
        <v>-601.79999999999995</v>
      </c>
      <c r="G246" s="169">
        <f>-622.8-F246-E246-D246</f>
        <v>0</v>
      </c>
      <c r="H246" s="26">
        <f t="shared" si="1229"/>
        <v>-622.79999999999995</v>
      </c>
      <c r="I246" s="25">
        <v>0</v>
      </c>
      <c r="J246" s="25">
        <f t="shared" ref="J246" si="1271">0-I246</f>
        <v>0</v>
      </c>
      <c r="K246" s="25">
        <f t="shared" ref="K246" si="1272">0-J246-I246</f>
        <v>0</v>
      </c>
      <c r="L246" s="169">
        <v>0</v>
      </c>
      <c r="M246" s="170">
        <f t="shared" si="1226"/>
        <v>0</v>
      </c>
      <c r="N246" s="169">
        <v>0</v>
      </c>
      <c r="O246" s="169">
        <v>0</v>
      </c>
      <c r="P246" s="169">
        <v>0</v>
      </c>
      <c r="Q246" s="169">
        <v>0</v>
      </c>
      <c r="R246" s="170">
        <f t="shared" si="1249"/>
        <v>0</v>
      </c>
      <c r="S246" s="169">
        <v>0</v>
      </c>
      <c r="T246" s="169">
        <v>0</v>
      </c>
      <c r="U246" s="169">
        <v>0</v>
      </c>
      <c r="V246" s="169">
        <v>0</v>
      </c>
      <c r="W246" s="170">
        <f t="shared" si="1251"/>
        <v>0</v>
      </c>
      <c r="X246" s="169">
        <v>0</v>
      </c>
      <c r="Y246" s="169">
        <v>0</v>
      </c>
      <c r="Z246" s="169">
        <v>0</v>
      </c>
      <c r="AA246" s="169">
        <v>0</v>
      </c>
      <c r="AB246" s="170">
        <f t="shared" si="1253"/>
        <v>0</v>
      </c>
      <c r="AC246" s="169">
        <v>0</v>
      </c>
      <c r="AD246" s="169">
        <v>0</v>
      </c>
      <c r="AE246" s="169">
        <v>0</v>
      </c>
      <c r="AF246" s="169">
        <v>0</v>
      </c>
      <c r="AG246" s="170">
        <f t="shared" si="1255"/>
        <v>0</v>
      </c>
      <c r="AH246" s="169">
        <v>0</v>
      </c>
      <c r="AI246" s="169">
        <v>0</v>
      </c>
      <c r="AJ246" s="169">
        <v>0</v>
      </c>
      <c r="AK246" s="169">
        <v>0</v>
      </c>
      <c r="AL246" s="170">
        <f t="shared" si="1257"/>
        <v>0</v>
      </c>
    </row>
    <row r="247" spans="1:38" outlineLevel="1" x14ac:dyDescent="0.2">
      <c r="A247" s="167"/>
      <c r="B247" s="48" t="s">
        <v>186</v>
      </c>
      <c r="C247" s="90"/>
      <c r="D247" s="25">
        <v>97.3</v>
      </c>
      <c r="E247" s="25">
        <f>192.1-D247</f>
        <v>94.8</v>
      </c>
      <c r="F247" s="25">
        <f>255.4-E247-D247</f>
        <v>63.300000000000026</v>
      </c>
      <c r="G247" s="169">
        <f>308-F247-E247-D247</f>
        <v>52.59999999999998</v>
      </c>
      <c r="H247" s="26">
        <f t="shared" si="1229"/>
        <v>308</v>
      </c>
      <c r="I247" s="25">
        <v>90.3</v>
      </c>
      <c r="J247" s="25">
        <f>146.6-I247</f>
        <v>56.3</v>
      </c>
      <c r="K247" s="25">
        <f>188-J247-I247</f>
        <v>41.399999999999991</v>
      </c>
      <c r="L247" s="169">
        <f>L16*L288</f>
        <v>60.704569124589391</v>
      </c>
      <c r="M247" s="170">
        <f t="shared" si="1226"/>
        <v>248.7045691245894</v>
      </c>
      <c r="N247" s="169">
        <f t="shared" ref="N247:Q247" si="1273">N16*N288</f>
        <v>72.298113529788111</v>
      </c>
      <c r="O247" s="169">
        <f t="shared" si="1273"/>
        <v>59.976991470113639</v>
      </c>
      <c r="P247" s="169">
        <f t="shared" si="1273"/>
        <v>69.143424926344679</v>
      </c>
      <c r="Q247" s="169">
        <f t="shared" si="1273"/>
        <v>73.208321265501709</v>
      </c>
      <c r="R247" s="170">
        <f>SUM(N247:Q247)</f>
        <v>274.62685119174813</v>
      </c>
      <c r="S247" s="169">
        <f t="shared" ref="S247:V247" si="1274">S16*S288</f>
        <v>73.601354401716051</v>
      </c>
      <c r="T247" s="169">
        <f t="shared" si="1274"/>
        <v>63.828957954644423</v>
      </c>
      <c r="U247" s="169">
        <f t="shared" si="1274"/>
        <v>73.144923469719757</v>
      </c>
      <c r="V247" s="169">
        <f t="shared" si="1274"/>
        <v>76.891753425289991</v>
      </c>
      <c r="W247" s="170">
        <f>SUM(S247:V247)</f>
        <v>287.46698925137025</v>
      </c>
      <c r="X247" s="169">
        <f t="shared" ref="X247:AA247" si="1275">X16*X288</f>
        <v>77.035350577123822</v>
      </c>
      <c r="Y247" s="169">
        <f t="shared" si="1275"/>
        <v>67.206654941678565</v>
      </c>
      <c r="Z247" s="169">
        <f t="shared" si="1275"/>
        <v>76.863307908299106</v>
      </c>
      <c r="AA247" s="169">
        <f t="shared" si="1275"/>
        <v>80.745477997429191</v>
      </c>
      <c r="AB247" s="170">
        <f>SUM(X247:AA247)</f>
        <v>301.85079142453071</v>
      </c>
      <c r="AC247" s="169">
        <f t="shared" ref="AC247:AF247" si="1276">AC16*AC288</f>
        <v>80.981550435866112</v>
      </c>
      <c r="AD247" s="169">
        <f t="shared" si="1276"/>
        <v>70.620300993805699</v>
      </c>
      <c r="AE247" s="169">
        <f t="shared" si="1276"/>
        <v>80.736290782798108</v>
      </c>
      <c r="AF247" s="169">
        <f t="shared" si="1276"/>
        <v>84.823296453348348</v>
      </c>
      <c r="AG247" s="170">
        <f>SUM(AC247:AF247)</f>
        <v>317.16143866581825</v>
      </c>
      <c r="AH247" s="169">
        <f t="shared" ref="AH247:AK247" si="1277">AH16*AH288</f>
        <v>85.616456790721017</v>
      </c>
      <c r="AI247" s="169">
        <f t="shared" si="1277"/>
        <v>74.570818631052902</v>
      </c>
      <c r="AJ247" s="169">
        <f t="shared" si="1277"/>
        <v>85.258555555309499</v>
      </c>
      <c r="AK247" s="169">
        <f t="shared" si="1277"/>
        <v>89.596465168698771</v>
      </c>
      <c r="AL247" s="170">
        <f>SUM(AH247:AK247)</f>
        <v>335.04229614578219</v>
      </c>
    </row>
    <row r="248" spans="1:38" outlineLevel="1" x14ac:dyDescent="0.2">
      <c r="A248" s="167"/>
      <c r="B248" s="91" t="s">
        <v>192</v>
      </c>
      <c r="C248" s="92"/>
      <c r="D248" s="25">
        <v>6.1</v>
      </c>
      <c r="E248" s="169">
        <f>5.4+91.1-D248</f>
        <v>90.4</v>
      </c>
      <c r="F248" s="169">
        <f>10.5+122.3-E248-D248</f>
        <v>36.300000000000004</v>
      </c>
      <c r="G248" s="169">
        <f>10.5+187.9-F248-E248-D248</f>
        <v>65.599999999999994</v>
      </c>
      <c r="H248" s="26">
        <f t="shared" si="1229"/>
        <v>198.4</v>
      </c>
      <c r="I248" s="169">
        <f>5.1+294.9</f>
        <v>300</v>
      </c>
      <c r="J248" s="169">
        <f>596.3+67.7-I248</f>
        <v>364</v>
      </c>
      <c r="K248" s="169">
        <f>902.4+124.6+63.7-J248-I248</f>
        <v>426.70000000000005</v>
      </c>
      <c r="L248" s="169">
        <v>0</v>
      </c>
      <c r="M248" s="170">
        <f t="shared" si="1226"/>
        <v>1090.7</v>
      </c>
      <c r="N248" s="169">
        <v>0</v>
      </c>
      <c r="O248" s="169">
        <v>0</v>
      </c>
      <c r="P248" s="169">
        <v>0</v>
      </c>
      <c r="Q248" s="169">
        <v>0</v>
      </c>
      <c r="R248" s="170">
        <f>SUM(N248:Q248)</f>
        <v>0</v>
      </c>
      <c r="S248" s="169">
        <v>0</v>
      </c>
      <c r="T248" s="169">
        <v>0</v>
      </c>
      <c r="U248" s="169">
        <v>0</v>
      </c>
      <c r="V248" s="169">
        <v>0</v>
      </c>
      <c r="W248" s="170">
        <f>SUM(S248:V248)</f>
        <v>0</v>
      </c>
      <c r="X248" s="169">
        <v>0</v>
      </c>
      <c r="Y248" s="169">
        <v>0</v>
      </c>
      <c r="Z248" s="169">
        <v>0</v>
      </c>
      <c r="AA248" s="169">
        <v>0</v>
      </c>
      <c r="AB248" s="170">
        <f>SUM(X248:AA248)</f>
        <v>0</v>
      </c>
      <c r="AC248" s="169">
        <v>0</v>
      </c>
      <c r="AD248" s="169">
        <v>0</v>
      </c>
      <c r="AE248" s="169">
        <v>0</v>
      </c>
      <c r="AF248" s="169">
        <v>0</v>
      </c>
      <c r="AG248" s="170">
        <f>SUM(AC248:AF248)</f>
        <v>0</v>
      </c>
      <c r="AH248" s="169">
        <v>0</v>
      </c>
      <c r="AI248" s="169">
        <v>0</v>
      </c>
      <c r="AJ248" s="169">
        <v>0</v>
      </c>
      <c r="AK248" s="169">
        <v>0</v>
      </c>
      <c r="AL248" s="170">
        <f>SUM(AH248:AK248)</f>
        <v>0</v>
      </c>
    </row>
    <row r="249" spans="1:38" outlineLevel="1" x14ac:dyDescent="0.2">
      <c r="A249" s="167"/>
      <c r="B249" s="426" t="s">
        <v>46</v>
      </c>
      <c r="C249" s="427"/>
      <c r="D249" s="162"/>
      <c r="E249" s="291"/>
      <c r="F249" s="158"/>
      <c r="G249" s="158"/>
      <c r="H249" s="159"/>
      <c r="I249" s="158"/>
      <c r="J249" s="158"/>
      <c r="K249" s="158"/>
      <c r="L249" s="158"/>
      <c r="M249" s="159"/>
      <c r="N249" s="158"/>
      <c r="O249" s="158"/>
      <c r="P249" s="158"/>
      <c r="Q249" s="158"/>
      <c r="R249" s="159"/>
      <c r="S249" s="158"/>
      <c r="T249" s="158"/>
      <c r="U249" s="158"/>
      <c r="V249" s="158"/>
      <c r="W249" s="159"/>
      <c r="X249" s="158"/>
      <c r="Y249" s="158"/>
      <c r="Z249" s="158"/>
      <c r="AA249" s="158"/>
      <c r="AB249" s="159"/>
      <c r="AC249" s="158"/>
      <c r="AD249" s="158"/>
      <c r="AE249" s="158"/>
      <c r="AF249" s="158"/>
      <c r="AG249" s="159"/>
      <c r="AH249" s="158"/>
      <c r="AI249" s="158"/>
      <c r="AJ249" s="158"/>
      <c r="AK249" s="158"/>
      <c r="AL249" s="159"/>
    </row>
    <row r="250" spans="1:38" outlineLevel="1" x14ac:dyDescent="0.2">
      <c r="A250" s="167"/>
      <c r="B250" s="437" t="s">
        <v>61</v>
      </c>
      <c r="C250" s="438"/>
      <c r="D250" s="73">
        <v>-28.8</v>
      </c>
      <c r="E250" s="73">
        <f>9.8-D250</f>
        <v>38.6</v>
      </c>
      <c r="F250" s="73">
        <f>-70.1-E250-D250</f>
        <v>-79.899999999999991</v>
      </c>
      <c r="G250" s="73">
        <f>-197.7-F250-E250-D250</f>
        <v>-127.60000000000001</v>
      </c>
      <c r="H250" s="74">
        <f t="shared" ref="H250:H255" si="1278">SUM(D250:G250)</f>
        <v>-197.7</v>
      </c>
      <c r="I250" s="73">
        <v>-22.9</v>
      </c>
      <c r="J250" s="73">
        <f>-60.7-I250</f>
        <v>-37.800000000000004</v>
      </c>
      <c r="K250" s="73">
        <f>13.4-J250-I250</f>
        <v>74.099999999999994</v>
      </c>
      <c r="L250" s="73">
        <f>-(L186-K186)</f>
        <v>-31.436192041988534</v>
      </c>
      <c r="M250" s="74">
        <f>SUM(I250:L250)</f>
        <v>-18.036192041988542</v>
      </c>
      <c r="N250" s="73">
        <f>-(N186-L186)</f>
        <v>-8.8716797078005811</v>
      </c>
      <c r="O250" s="73">
        <f t="shared" ref="O250:Q250" si="1279">-(O186-N186)</f>
        <v>102.43946419088093</v>
      </c>
      <c r="P250" s="73">
        <f t="shared" si="1279"/>
        <v>-54.236509677198114</v>
      </c>
      <c r="Q250" s="73">
        <f t="shared" si="1279"/>
        <v>-70.226879490794204</v>
      </c>
      <c r="R250" s="74">
        <f t="shared" ref="R250:R256" si="1280">SUM(N250:Q250)</f>
        <v>-30.895604684911973</v>
      </c>
      <c r="S250" s="73">
        <f>-(S186-Q186)</f>
        <v>-26.775555929956113</v>
      </c>
      <c r="T250" s="73">
        <f t="shared" ref="T250:V250" si="1281">-(T186-S186)</f>
        <v>110.06945008171522</v>
      </c>
      <c r="U250" s="73">
        <f t="shared" si="1281"/>
        <v>-60.137593362370012</v>
      </c>
      <c r="V250" s="73">
        <f t="shared" si="1281"/>
        <v>-71.33896383952856</v>
      </c>
      <c r="W250" s="74">
        <f t="shared" ref="W250:W256" si="1282">SUM(S250:V250)</f>
        <v>-48.182663050139467</v>
      </c>
      <c r="X250" s="73">
        <f>-(X186-V186)</f>
        <v>-28.52818621151232</v>
      </c>
      <c r="Y250" s="73">
        <f t="shared" ref="Y250:AA250" si="1283">-(Y186-X186)</f>
        <v>117.09198346562027</v>
      </c>
      <c r="Z250" s="73">
        <f t="shared" si="1283"/>
        <v>-63.693309866491404</v>
      </c>
      <c r="AA250" s="73">
        <f t="shared" si="1283"/>
        <v>-75.121554814285332</v>
      </c>
      <c r="AB250" s="74">
        <f t="shared" ref="AB250:AB256" si="1284">SUM(X250:AA250)</f>
        <v>-50.251067426668783</v>
      </c>
      <c r="AC250" s="73">
        <f>-(AC186-AA186)</f>
        <v>-31.052691652336534</v>
      </c>
      <c r="AD250" s="73">
        <f t="shared" ref="AD250:AF250" si="1285">-(AD186-AC186)</f>
        <v>124.51705211722083</v>
      </c>
      <c r="AE250" s="73">
        <f t="shared" si="1285"/>
        <v>-67.091115138189025</v>
      </c>
      <c r="AF250" s="73">
        <f t="shared" si="1285"/>
        <v>-79.127278145080027</v>
      </c>
      <c r="AG250" s="74">
        <f t="shared" ref="AG250:AG256" si="1286">SUM(AC250:AF250)</f>
        <v>-52.754032818384758</v>
      </c>
      <c r="AH250" s="73">
        <f>-(AH186-AF186)</f>
        <v>-39.733956142921215</v>
      </c>
      <c r="AI250" s="73">
        <f t="shared" ref="AI250:AK250" si="1287">-(AI186-AH186)</f>
        <v>132.98879953017558</v>
      </c>
      <c r="AJ250" s="73">
        <f t="shared" si="1287"/>
        <v>-71.033759919570684</v>
      </c>
      <c r="AK250" s="73">
        <f t="shared" si="1287"/>
        <v>-83.841699370212609</v>
      </c>
      <c r="AL250" s="74">
        <f t="shared" ref="AL250:AL256" si="1288">SUM(AH250:AK250)</f>
        <v>-61.620615902528925</v>
      </c>
    </row>
    <row r="251" spans="1:38" outlineLevel="1" x14ac:dyDescent="0.2">
      <c r="A251" s="167"/>
      <c r="B251" s="42" t="s">
        <v>172</v>
      </c>
      <c r="C251" s="37"/>
      <c r="D251" s="73">
        <v>44.8</v>
      </c>
      <c r="E251" s="73">
        <f>-51-D251</f>
        <v>-95.8</v>
      </c>
      <c r="F251" s="73">
        <f>-140.5-E251-D251</f>
        <v>-89.5</v>
      </c>
      <c r="G251" s="73">
        <f>-173-F251-E251-D251</f>
        <v>-32.5</v>
      </c>
      <c r="H251" s="74">
        <f t="shared" si="1278"/>
        <v>-173</v>
      </c>
      <c r="I251" s="73">
        <v>122.8</v>
      </c>
      <c r="J251" s="73">
        <f>36.9-I251</f>
        <v>-85.9</v>
      </c>
      <c r="K251" s="73">
        <f>-51.7-J251-I251</f>
        <v>-88.6</v>
      </c>
      <c r="L251" s="73">
        <f>-(L187-K187)</f>
        <v>-152.70724293189255</v>
      </c>
      <c r="M251" s="74">
        <f t="shared" ref="M251:M256" si="1289">SUM(I251:L251)</f>
        <v>-204.40724293189254</v>
      </c>
      <c r="N251" s="73">
        <f>-(N187-L187)</f>
        <v>109.92745885728368</v>
      </c>
      <c r="O251" s="73">
        <f t="shared" ref="O251:Q251" si="1290">-(O187-N187)</f>
        <v>177.94856755674346</v>
      </c>
      <c r="P251" s="73">
        <f t="shared" si="1290"/>
        <v>-142.53707324456241</v>
      </c>
      <c r="Q251" s="73">
        <f t="shared" si="1290"/>
        <v>-261.02230860956684</v>
      </c>
      <c r="R251" s="74">
        <f t="shared" si="1280"/>
        <v>-115.6833554401021</v>
      </c>
      <c r="S251" s="73">
        <f>-(S187-Q187)</f>
        <v>132.25602647547908</v>
      </c>
      <c r="T251" s="73">
        <f t="shared" ref="T251:V251" si="1291">-(T187-S187)</f>
        <v>191.51685409234574</v>
      </c>
      <c r="U251" s="73">
        <f t="shared" si="1291"/>
        <v>-154.02168217662302</v>
      </c>
      <c r="V251" s="73">
        <f t="shared" si="1291"/>
        <v>-271.67675118942748</v>
      </c>
      <c r="W251" s="74">
        <f t="shared" si="1282"/>
        <v>-101.92555279822568</v>
      </c>
      <c r="X251" s="73">
        <f>-(X187-V187)</f>
        <v>138.95336413915152</v>
      </c>
      <c r="Y251" s="73">
        <f t="shared" ref="Y251:AA251" si="1292">-(Y187-X187)</f>
        <v>204.68268567296263</v>
      </c>
      <c r="Z251" s="73">
        <f t="shared" si="1292"/>
        <v>-163.10937566468397</v>
      </c>
      <c r="AA251" s="73">
        <f t="shared" si="1292"/>
        <v>-287.09582322025653</v>
      </c>
      <c r="AB251" s="74">
        <f t="shared" si="1284"/>
        <v>-106.56914907282635</v>
      </c>
      <c r="AC251" s="73">
        <f>-(AC187-AA187)</f>
        <v>144.81723224261623</v>
      </c>
      <c r="AD251" s="73">
        <f t="shared" ref="AD251:AF251" si="1293">-(AD187-AC187)</f>
        <v>218.5606469421225</v>
      </c>
      <c r="AE251" s="73">
        <f t="shared" si="1293"/>
        <v>-172.27239767501919</v>
      </c>
      <c r="AF251" s="73">
        <f t="shared" si="1293"/>
        <v>-303.31693940084961</v>
      </c>
      <c r="AG251" s="74">
        <f t="shared" si="1286"/>
        <v>-112.21145789113007</v>
      </c>
      <c r="AH251" s="73">
        <f>-(AH187-AF187)</f>
        <v>142.60071750221027</v>
      </c>
      <c r="AI251" s="73">
        <f t="shared" ref="AI251:AK251" si="1294">-(AI187-AH187)</f>
        <v>234.09270119616417</v>
      </c>
      <c r="AJ251" s="73">
        <f t="shared" si="1294"/>
        <v>-182.72185351499934</v>
      </c>
      <c r="AK251" s="73">
        <f t="shared" si="1294"/>
        <v>-321.77561810211205</v>
      </c>
      <c r="AL251" s="74">
        <f t="shared" si="1288"/>
        <v>-127.80405291873694</v>
      </c>
    </row>
    <row r="252" spans="1:38" outlineLevel="1" x14ac:dyDescent="0.2">
      <c r="A252" s="167"/>
      <c r="B252" s="437" t="s">
        <v>195</v>
      </c>
      <c r="C252" s="438"/>
      <c r="D252" s="73">
        <v>847.3</v>
      </c>
      <c r="E252" s="73">
        <f>774.6-D252</f>
        <v>-72.699999999999932</v>
      </c>
      <c r="F252" s="73">
        <f>831.6-E252-D252</f>
        <v>57</v>
      </c>
      <c r="G252" s="73">
        <f>922-F252-E252-D252</f>
        <v>90.399999999999977</v>
      </c>
      <c r="H252" s="74">
        <f t="shared" si="1278"/>
        <v>922</v>
      </c>
      <c r="I252" s="73">
        <v>-28.5</v>
      </c>
      <c r="J252" s="73">
        <f>-247.7-I252</f>
        <v>-219.2</v>
      </c>
      <c r="K252" s="73">
        <f>-492.1-J252-I252</f>
        <v>-244.40000000000003</v>
      </c>
      <c r="L252" s="73">
        <f>-(L188-K188)</f>
        <v>138.04499999999996</v>
      </c>
      <c r="M252" s="74">
        <f t="shared" si="1289"/>
        <v>-354.05500000000006</v>
      </c>
      <c r="N252" s="73">
        <f>-(N188-L188)</f>
        <v>39.112750000000005</v>
      </c>
      <c r="O252" s="73">
        <f t="shared" ref="O252:Q252" si="1295">-(O188-N188)</f>
        <v>74.314224999999965</v>
      </c>
      <c r="P252" s="73">
        <f t="shared" si="1295"/>
        <v>66.882802500000025</v>
      </c>
      <c r="Q252" s="73">
        <f t="shared" si="1295"/>
        <v>60.194522249999977</v>
      </c>
      <c r="R252" s="74">
        <f t="shared" si="1280"/>
        <v>240.50429974999997</v>
      </c>
      <c r="S252" s="73">
        <f>-(S188-Q188)</f>
        <v>-10.835014005000062</v>
      </c>
      <c r="T252" s="73">
        <f t="shared" ref="T252:V252" si="1296">-(T188-S188)</f>
        <v>-11.051714285100047</v>
      </c>
      <c r="U252" s="73">
        <f t="shared" si="1296"/>
        <v>-11.272748570802037</v>
      </c>
      <c r="V252" s="73">
        <f t="shared" si="1296"/>
        <v>-11.498203542218107</v>
      </c>
      <c r="W252" s="74">
        <f t="shared" si="1282"/>
        <v>-44.657680403120253</v>
      </c>
      <c r="X252" s="73">
        <f>-(X188-V188)</f>
        <v>-11.728167613062396</v>
      </c>
      <c r="Y252" s="73">
        <f t="shared" ref="Y252:AA252" si="1297">-(Y188-X188)</f>
        <v>-11.962730965323658</v>
      </c>
      <c r="Z252" s="73">
        <f t="shared" si="1297"/>
        <v>-12.201985584630165</v>
      </c>
      <c r="AA252" s="73">
        <f t="shared" si="1297"/>
        <v>-12.446025296322773</v>
      </c>
      <c r="AB252" s="74">
        <f t="shared" si="1284"/>
        <v>-48.338909459338993</v>
      </c>
      <c r="AC252" s="73">
        <f>-(AC188-AA188)</f>
        <v>-12.694945802249208</v>
      </c>
      <c r="AD252" s="73">
        <f t="shared" ref="AD252:AF252" si="1298">-(AD188-AC188)</f>
        <v>-12.94884471829414</v>
      </c>
      <c r="AE252" s="73">
        <f t="shared" si="1298"/>
        <v>-13.207821612660041</v>
      </c>
      <c r="AF252" s="73">
        <f t="shared" si="1298"/>
        <v>-13.471978044913271</v>
      </c>
      <c r="AG252" s="74">
        <f t="shared" si="1286"/>
        <v>-52.32359017811666</v>
      </c>
      <c r="AH252" s="73">
        <f>-(AH188-AF188)</f>
        <v>-13.741417605811534</v>
      </c>
      <c r="AI252" s="73">
        <f t="shared" ref="AI252:AK252" si="1299">-(AI188-AH188)</f>
        <v>-14.016245957927708</v>
      </c>
      <c r="AJ252" s="73">
        <f t="shared" si="1299"/>
        <v>-14.29657087708631</v>
      </c>
      <c r="AK252" s="73">
        <f t="shared" si="1299"/>
        <v>-14.582502294628057</v>
      </c>
      <c r="AL252" s="74">
        <f t="shared" si="1288"/>
        <v>-56.63673673545361</v>
      </c>
    </row>
    <row r="253" spans="1:38" outlineLevel="1" x14ac:dyDescent="0.2">
      <c r="A253" s="167"/>
      <c r="B253" s="437" t="s">
        <v>28</v>
      </c>
      <c r="C253" s="438"/>
      <c r="D253" s="73">
        <v>-21.3</v>
      </c>
      <c r="E253" s="73">
        <f>-83.4-D253</f>
        <v>-62.100000000000009</v>
      </c>
      <c r="F253" s="73">
        <f>-15.1-E253-D253</f>
        <v>68.300000000000011</v>
      </c>
      <c r="G253" s="73">
        <f>31.9-F253-E253-D253</f>
        <v>47</v>
      </c>
      <c r="H253" s="74">
        <f t="shared" si="1278"/>
        <v>31.900000000000006</v>
      </c>
      <c r="I253" s="73">
        <v>-110.3</v>
      </c>
      <c r="J253" s="73">
        <f>-186.4-I253</f>
        <v>-76.100000000000009</v>
      </c>
      <c r="K253" s="73">
        <f>-320.3-J253-I253</f>
        <v>-133.89999999999998</v>
      </c>
      <c r="L253" s="73">
        <f>L200-K200</f>
        <v>227.66361722034185</v>
      </c>
      <c r="M253" s="74">
        <f t="shared" si="1289"/>
        <v>-92.636382779658106</v>
      </c>
      <c r="N253" s="73">
        <f>N200-L200</f>
        <v>31.39487445448276</v>
      </c>
      <c r="O253" s="73">
        <f t="shared" ref="O253:Q253" si="1300">O200-N200</f>
        <v>-81.695316017706318</v>
      </c>
      <c r="P253" s="73">
        <f t="shared" si="1300"/>
        <v>58.554427454088682</v>
      </c>
      <c r="Q253" s="73">
        <f t="shared" si="1300"/>
        <v>15.796529888900977</v>
      </c>
      <c r="R253" s="74">
        <f t="shared" si="1280"/>
        <v>24.050515779766101</v>
      </c>
      <c r="S253" s="73">
        <f>S200-Q200</f>
        <v>29.947004899610874</v>
      </c>
      <c r="T253" s="73">
        <f t="shared" ref="T253:V253" si="1301">T200-S200</f>
        <v>-80.583446515187688</v>
      </c>
      <c r="U253" s="73">
        <f t="shared" si="1301"/>
        <v>63.257645434065353</v>
      </c>
      <c r="V253" s="73">
        <f t="shared" si="1301"/>
        <v>12.175707833361685</v>
      </c>
      <c r="W253" s="74">
        <f t="shared" si="1282"/>
        <v>24.796911651850223</v>
      </c>
      <c r="X253" s="73">
        <f>X200-V200</f>
        <v>32.144118781334782</v>
      </c>
      <c r="Y253" s="73">
        <f t="shared" ref="Y253:AA253" si="1302">Y200-X200</f>
        <v>-85.710285609670564</v>
      </c>
      <c r="Z253" s="73">
        <f t="shared" si="1302"/>
        <v>67.338485138352098</v>
      </c>
      <c r="AA253" s="73">
        <f t="shared" si="1302"/>
        <v>12.470644790677397</v>
      </c>
      <c r="AB253" s="74">
        <f t="shared" si="1284"/>
        <v>26.242963100693714</v>
      </c>
      <c r="AC253" s="73">
        <f>AC200-AA200</f>
        <v>35.005356857285506</v>
      </c>
      <c r="AD253" s="73">
        <f t="shared" ref="AD253:AF253" si="1303">AD200-AC200</f>
        <v>-92.232882248643818</v>
      </c>
      <c r="AE253" s="73">
        <f t="shared" si="1303"/>
        <v>71.77964875708858</v>
      </c>
      <c r="AF253" s="73">
        <f t="shared" si="1303"/>
        <v>13.115805641552924</v>
      </c>
      <c r="AG253" s="74">
        <f t="shared" si="1286"/>
        <v>27.667929007283192</v>
      </c>
      <c r="AH253" s="73">
        <f>AH200-AF200</f>
        <v>39.700155602508403</v>
      </c>
      <c r="AI253" s="73">
        <f t="shared" ref="AI253:AK253" si="1304">AI200-AH200</f>
        <v>-99.448947773855934</v>
      </c>
      <c r="AJ253" s="73">
        <f t="shared" si="1304"/>
        <v>76.70366471502075</v>
      </c>
      <c r="AK253" s="73">
        <f t="shared" si="1304"/>
        <v>13.932299191960965</v>
      </c>
      <c r="AL253" s="74">
        <f t="shared" si="1288"/>
        <v>30.887171735634183</v>
      </c>
    </row>
    <row r="254" spans="1:38" outlineLevel="1" x14ac:dyDescent="0.2">
      <c r="A254" s="167"/>
      <c r="B254" s="42" t="s">
        <v>177</v>
      </c>
      <c r="C254" s="37"/>
      <c r="D254" s="73">
        <v>362.7</v>
      </c>
      <c r="E254" s="73">
        <f>9.4-D254</f>
        <v>-353.3</v>
      </c>
      <c r="F254" s="73">
        <f>-32.4-E254-D254</f>
        <v>-41.799999999999955</v>
      </c>
      <c r="G254" s="73">
        <f>-30.5-F254-E254-D254</f>
        <v>1.8999999999999773</v>
      </c>
      <c r="H254" s="74">
        <f t="shared" si="1278"/>
        <v>-30.5</v>
      </c>
      <c r="I254" s="73">
        <v>426.7</v>
      </c>
      <c r="J254" s="73">
        <f>112.1-I254</f>
        <v>-314.60000000000002</v>
      </c>
      <c r="K254" s="73">
        <f>92-J254-I254</f>
        <v>-20.099999999999966</v>
      </c>
      <c r="L254" s="73">
        <f>+(L205-K205)</f>
        <v>-14.633000000000038</v>
      </c>
      <c r="M254" s="74">
        <f t="shared" si="1289"/>
        <v>77.366999999999962</v>
      </c>
      <c r="N254" s="73">
        <f>+(N205-L205)</f>
        <v>434.60010000000011</v>
      </c>
      <c r="O254" s="73">
        <f t="shared" ref="O254:Q254" si="1305">+(O205-N205)</f>
        <v>-282.49006499999996</v>
      </c>
      <c r="P254" s="73">
        <f t="shared" si="1305"/>
        <v>-16.007770350000101</v>
      </c>
      <c r="Q254" s="73">
        <f t="shared" si="1305"/>
        <v>-15.847692646500036</v>
      </c>
      <c r="R254" s="74">
        <f t="shared" si="1280"/>
        <v>120.25457200350002</v>
      </c>
      <c r="S254" s="73">
        <f>+(S205-Q205)</f>
        <v>470.67647160105003</v>
      </c>
      <c r="T254" s="73">
        <f t="shared" ref="T254:V254" si="1306">+(T205-S205)</f>
        <v>-305.93970654068244</v>
      </c>
      <c r="U254" s="73">
        <f t="shared" si="1306"/>
        <v>-17.336583370638664</v>
      </c>
      <c r="V254" s="73">
        <f t="shared" si="1306"/>
        <v>-17.163217536932279</v>
      </c>
      <c r="W254" s="74">
        <f t="shared" si="1282"/>
        <v>130.23696415279665</v>
      </c>
      <c r="X254" s="73">
        <f>+(X205-V205)</f>
        <v>509.74756084688897</v>
      </c>
      <c r="Y254" s="73">
        <f t="shared" ref="Y254:AA254" si="1307">+(Y205-X205)</f>
        <v>-331.33591455047781</v>
      </c>
      <c r="Z254" s="73">
        <f t="shared" si="1307"/>
        <v>-18.775701824527005</v>
      </c>
      <c r="AA254" s="73">
        <f t="shared" si="1307"/>
        <v>-18.587944806281712</v>
      </c>
      <c r="AB254" s="74">
        <f t="shared" si="1284"/>
        <v>141.04799966560245</v>
      </c>
      <c r="AC254" s="73">
        <f>+(AC205-AA205)</f>
        <v>552.06196074656987</v>
      </c>
      <c r="AD254" s="73">
        <f t="shared" ref="AD254:AF254" si="1308">+(AD205-AC205)</f>
        <v>-358.84027448527036</v>
      </c>
      <c r="AE254" s="73">
        <f t="shared" si="1308"/>
        <v>-20.334282220831938</v>
      </c>
      <c r="AF254" s="73">
        <f t="shared" si="1308"/>
        <v>-20.130939398623696</v>
      </c>
      <c r="AG254" s="74">
        <f t="shared" si="1286"/>
        <v>152.75646464184388</v>
      </c>
      <c r="AH254" s="73">
        <f>+(AH205-AF205)</f>
        <v>597.88890013912305</v>
      </c>
      <c r="AI254" s="73">
        <f t="shared" ref="AI254:AK254" si="1309">+(AI205-AH205)</f>
        <v>-388.62778509042982</v>
      </c>
      <c r="AJ254" s="73">
        <f t="shared" si="1309"/>
        <v>-22.022241155124448</v>
      </c>
      <c r="AK254" s="73">
        <f t="shared" si="1309"/>
        <v>-21.802018743573171</v>
      </c>
      <c r="AL254" s="74">
        <f t="shared" si="1288"/>
        <v>165.43685514999561</v>
      </c>
    </row>
    <row r="255" spans="1:38" outlineLevel="1" x14ac:dyDescent="0.2">
      <c r="A255" s="167"/>
      <c r="B255" s="212" t="s">
        <v>237</v>
      </c>
      <c r="C255" s="213"/>
      <c r="D255" s="73">
        <v>0</v>
      </c>
      <c r="E255" s="73">
        <v>0</v>
      </c>
      <c r="F255" s="73">
        <f>1045.4-E255-D255</f>
        <v>1045.4000000000001</v>
      </c>
      <c r="G255" s="73">
        <f>1237-F255-E255-D255</f>
        <v>191.59999999999991</v>
      </c>
      <c r="H255" s="74">
        <f t="shared" si="1278"/>
        <v>1237</v>
      </c>
      <c r="I255" s="73">
        <v>125.1</v>
      </c>
      <c r="J255" s="73">
        <f>-1227.4-I255</f>
        <v>-1352.5</v>
      </c>
      <c r="K255" s="73">
        <f>-1224.5-J255-I255</f>
        <v>2.9000000000000057</v>
      </c>
      <c r="L255" s="73">
        <f>+(L203-K203)</f>
        <v>0</v>
      </c>
      <c r="M255" s="74">
        <f t="shared" si="1289"/>
        <v>-1224.5</v>
      </c>
      <c r="N255" s="73">
        <f>+(N203-L203)</f>
        <v>0</v>
      </c>
      <c r="O255" s="73">
        <f t="shared" ref="O255:Q255" si="1310">+(O203-N203)</f>
        <v>0</v>
      </c>
      <c r="P255" s="73">
        <f t="shared" si="1310"/>
        <v>0</v>
      </c>
      <c r="Q255" s="73">
        <f t="shared" si="1310"/>
        <v>0</v>
      </c>
      <c r="R255" s="74">
        <f t="shared" si="1280"/>
        <v>0</v>
      </c>
      <c r="S255" s="73">
        <f>+(S203-Q203)</f>
        <v>0</v>
      </c>
      <c r="T255" s="73">
        <f t="shared" ref="T255:V255" si="1311">+(T203-S203)</f>
        <v>0</v>
      </c>
      <c r="U255" s="73">
        <f t="shared" si="1311"/>
        <v>0</v>
      </c>
      <c r="V255" s="73">
        <f t="shared" si="1311"/>
        <v>0</v>
      </c>
      <c r="W255" s="74">
        <f t="shared" si="1282"/>
        <v>0</v>
      </c>
      <c r="X255" s="73">
        <f>+(X203-V203)</f>
        <v>0</v>
      </c>
      <c r="Y255" s="73">
        <f t="shared" ref="Y255:AA255" si="1312">+(Y203-X203)</f>
        <v>0</v>
      </c>
      <c r="Z255" s="73">
        <f t="shared" si="1312"/>
        <v>0</v>
      </c>
      <c r="AA255" s="73">
        <f t="shared" si="1312"/>
        <v>0</v>
      </c>
      <c r="AB255" s="74">
        <f t="shared" si="1284"/>
        <v>0</v>
      </c>
      <c r="AC255" s="73">
        <f>+(AC203-AA203)</f>
        <v>0</v>
      </c>
      <c r="AD255" s="73">
        <f t="shared" ref="AD255:AF255" si="1313">+(AD203-AC203)</f>
        <v>0</v>
      </c>
      <c r="AE255" s="73">
        <f t="shared" si="1313"/>
        <v>0</v>
      </c>
      <c r="AF255" s="73">
        <f t="shared" si="1313"/>
        <v>0</v>
      </c>
      <c r="AG255" s="74">
        <f t="shared" si="1286"/>
        <v>0</v>
      </c>
      <c r="AH255" s="73">
        <f>+(AH203-AF203)</f>
        <v>0</v>
      </c>
      <c r="AI255" s="73">
        <f t="shared" ref="AI255:AK255" si="1314">+(AI203-AH203)</f>
        <v>0</v>
      </c>
      <c r="AJ255" s="73">
        <f t="shared" si="1314"/>
        <v>0</v>
      </c>
      <c r="AK255" s="73">
        <f t="shared" si="1314"/>
        <v>0</v>
      </c>
      <c r="AL255" s="74">
        <f t="shared" si="1288"/>
        <v>0</v>
      </c>
    </row>
    <row r="256" spans="1:38" ht="18" outlineLevel="1" x14ac:dyDescent="0.35">
      <c r="A256" s="167"/>
      <c r="B256" s="437" t="s">
        <v>193</v>
      </c>
      <c r="C256" s="438"/>
      <c r="D256" s="160">
        <v>305.60000000000002</v>
      </c>
      <c r="E256" s="160">
        <f>429.3-D256</f>
        <v>123.69999999999999</v>
      </c>
      <c r="F256" s="160">
        <f>-67.4-E256-D256</f>
        <v>-496.70000000000005</v>
      </c>
      <c r="G256" s="160">
        <f>-141.1-F256-E256-D256</f>
        <v>-73.699999999999989</v>
      </c>
      <c r="H256" s="153">
        <f t="shared" ref="H256" si="1315">SUM(D256:G256)</f>
        <v>-141.10000000000002</v>
      </c>
      <c r="I256" s="160">
        <f>-31.8-301.6</f>
        <v>-333.40000000000003</v>
      </c>
      <c r="J256" s="160">
        <f>-608.6-140.5-I256</f>
        <v>-415.7</v>
      </c>
      <c r="K256" s="160">
        <f>-918.2+70.5-J256-I256</f>
        <v>-98.600000000000023</v>
      </c>
      <c r="L256" s="160">
        <f>(L201-K201)+(L211-K211)+(L212-K212)+(L204-K204)+(L202-K202)</f>
        <v>-25.980657935110003</v>
      </c>
      <c r="M256" s="74">
        <f t="shared" si="1289"/>
        <v>-873.68065793511005</v>
      </c>
      <c r="N256" s="160">
        <f>(N201-L201)+(N211-L211)+(N212-L212)+(N204-L204)+(N202-L202)</f>
        <v>28.326330419090027</v>
      </c>
      <c r="O256" s="160">
        <f t="shared" ref="O256:Q256" si="1316">(O201-N201)+(O211-N211)+(O212-N212)+(O204-N204)+(O202-N202)</f>
        <v>-130.35760099785728</v>
      </c>
      <c r="P256" s="160">
        <f t="shared" si="1316"/>
        <v>-211.73132000232044</v>
      </c>
      <c r="Q256" s="160">
        <f t="shared" si="1316"/>
        <v>200.14360758892917</v>
      </c>
      <c r="R256" s="153">
        <f t="shared" si="1280"/>
        <v>-113.61898299215852</v>
      </c>
      <c r="S256" s="160">
        <f>(S201-Q201)+(S211-Q211)+(S212-Q212)+(S204-Q204)+(S202-Q202)</f>
        <v>28.820981680736736</v>
      </c>
      <c r="T256" s="160">
        <f t="shared" ref="T256:V256" si="1317">(T201-S201)+(T211-S211)+(T212-S212)+(T204-S204)+(T202-S202)</f>
        <v>-208.40491203647002</v>
      </c>
      <c r="U256" s="160">
        <f t="shared" si="1317"/>
        <v>140.86719018617794</v>
      </c>
      <c r="V256" s="160">
        <f t="shared" si="1317"/>
        <v>37.91433731735151</v>
      </c>
      <c r="W256" s="153">
        <f t="shared" si="1282"/>
        <v>-0.80240285220384067</v>
      </c>
      <c r="X256" s="160">
        <f>(X201-V201)+(X211-V211)+(X212-V212)+(X204-V204)+(X202-V202)</f>
        <v>13.704668821123164</v>
      </c>
      <c r="Y256" s="160">
        <f t="shared" ref="Y256:AA256" si="1318">(Y201-X201)+(Y211-X211)+(Y212-X212)+(Y204-X204)+(Y202-X202)</f>
        <v>-219.36081896271526</v>
      </c>
      <c r="Z256" s="160">
        <f t="shared" si="1318"/>
        <v>156.30687184872147</v>
      </c>
      <c r="AA256" s="160">
        <f t="shared" si="1318"/>
        <v>38.154664585598539</v>
      </c>
      <c r="AB256" s="153">
        <f t="shared" si="1284"/>
        <v>-11.194613707272083</v>
      </c>
      <c r="AC256" s="160">
        <f>(AC201-AA201)+(AC211-AA211)+(AC212-AA212)+(AC204-AA204)+(AC202-AA202)</f>
        <v>18.028555219191048</v>
      </c>
      <c r="AD256" s="160">
        <f t="shared" ref="AD256:AF256" si="1319">(AD201-AC201)+(AD211-AC211)+(AD212-AC212)+(AD204-AC204)+(AD202-AC202)</f>
        <v>-230.20800159436408</v>
      </c>
      <c r="AE256" s="160">
        <f t="shared" si="1319"/>
        <v>168.33450694153362</v>
      </c>
      <c r="AF256" s="160">
        <f t="shared" si="1319"/>
        <v>42.935753614489386</v>
      </c>
      <c r="AG256" s="153">
        <f t="shared" si="1286"/>
        <v>-0.90918581915002505</v>
      </c>
      <c r="AH256" s="160">
        <f>(AH201-AF201)+(AH211-AF211)+(AH212-AF212)+(AH204-AF204)+(AH202-AF202)</f>
        <v>23.6169013982867</v>
      </c>
      <c r="AI256" s="160">
        <f t="shared" ref="AI256:AK256" si="1320">(AI201-AH201)+(AI211-AH211)+(AI212-AH212)+(AI204-AH204)+(AI202-AH202)</f>
        <v>-241.87047657729272</v>
      </c>
      <c r="AJ256" s="160">
        <f t="shared" si="1320"/>
        <v>180.45969835317123</v>
      </c>
      <c r="AK256" s="160">
        <f t="shared" si="1320"/>
        <v>47.966460955941102</v>
      </c>
      <c r="AL256" s="153">
        <f t="shared" si="1288"/>
        <v>10.172584130106316</v>
      </c>
    </row>
    <row r="257" spans="1:38" outlineLevel="1" x14ac:dyDescent="0.2">
      <c r="A257" s="167"/>
      <c r="B257" s="443" t="s">
        <v>12</v>
      </c>
      <c r="C257" s="444"/>
      <c r="D257" s="72">
        <f t="shared" ref="D257:R257" si="1321">D241+SUM(D242:D256)</f>
        <v>2379.0000000000005</v>
      </c>
      <c r="E257" s="72">
        <f t="shared" si="1321"/>
        <v>390.39999999999969</v>
      </c>
      <c r="F257" s="72">
        <f t="shared" si="1321"/>
        <v>1169.400000000001</v>
      </c>
      <c r="G257" s="72">
        <f t="shared" si="1321"/>
        <v>1108.1000000000008</v>
      </c>
      <c r="H257" s="154">
        <f t="shared" si="1321"/>
        <v>5046.9000000000051</v>
      </c>
      <c r="I257" s="72">
        <f t="shared" si="1321"/>
        <v>1836.0999999999985</v>
      </c>
      <c r="J257" s="72">
        <f t="shared" si="1321"/>
        <v>-1361.3000000000009</v>
      </c>
      <c r="K257" s="72">
        <f t="shared" si="1321"/>
        <v>-367.69999999999925</v>
      </c>
      <c r="L257" s="72">
        <f t="shared" si="1321"/>
        <v>738.56558706740873</v>
      </c>
      <c r="M257" s="154">
        <f t="shared" si="1321"/>
        <v>845.66558706740727</v>
      </c>
      <c r="N257" s="72">
        <f t="shared" si="1321"/>
        <v>1596.3266412120945</v>
      </c>
      <c r="O257" s="72">
        <f t="shared" si="1321"/>
        <v>829.54879576749556</v>
      </c>
      <c r="P257" s="72">
        <f t="shared" si="1321"/>
        <v>801.06267893287873</v>
      </c>
      <c r="Q257" s="72">
        <f t="shared" si="1321"/>
        <v>1144.9220850286079</v>
      </c>
      <c r="R257" s="72">
        <f t="shared" si="1321"/>
        <v>4371.8602009410788</v>
      </c>
      <c r="S257" s="72">
        <f t="shared" ref="S257:AL257" si="1322">S241+SUM(S242:S256)</f>
        <v>1650.2389634088909</v>
      </c>
      <c r="T257" s="72">
        <f t="shared" si="1322"/>
        <v>734.43695499154444</v>
      </c>
      <c r="U257" s="72">
        <f t="shared" si="1322"/>
        <v>1138.5607482761138</v>
      </c>
      <c r="V257" s="72">
        <f t="shared" si="1322"/>
        <v>971.90329579200261</v>
      </c>
      <c r="W257" s="72">
        <f t="shared" si="1322"/>
        <v>4495.13996246855</v>
      </c>
      <c r="X257" s="72">
        <f t="shared" si="1322"/>
        <v>1745.0289117672162</v>
      </c>
      <c r="Y257" s="72">
        <f t="shared" si="1322"/>
        <v>782.32312425140287</v>
      </c>
      <c r="Z257" s="72">
        <f t="shared" si="1322"/>
        <v>1217.4506940624824</v>
      </c>
      <c r="AA257" s="72">
        <f t="shared" si="1322"/>
        <v>1031.8826389597243</v>
      </c>
      <c r="AB257" s="72">
        <f t="shared" si="1322"/>
        <v>4776.6853690408307</v>
      </c>
      <c r="AC257" s="72">
        <f t="shared" si="1322"/>
        <v>1865.5502179853679</v>
      </c>
      <c r="AD257" s="72">
        <f t="shared" si="1322"/>
        <v>832.79817412252112</v>
      </c>
      <c r="AE257" s="72">
        <f t="shared" si="1322"/>
        <v>1298.2849126973374</v>
      </c>
      <c r="AF257" s="72">
        <f t="shared" si="1322"/>
        <v>1101.915691982058</v>
      </c>
      <c r="AG257" s="72">
        <f t="shared" si="1322"/>
        <v>5098.5489967872763</v>
      </c>
      <c r="AH257" s="72">
        <f t="shared" si="1322"/>
        <v>1992.2165168518181</v>
      </c>
      <c r="AI257" s="72">
        <f t="shared" si="1322"/>
        <v>896.52740018752741</v>
      </c>
      <c r="AJ257" s="72">
        <f t="shared" si="1322"/>
        <v>1394.7626585022745</v>
      </c>
      <c r="AK257" s="72">
        <f t="shared" si="1322"/>
        <v>1188.375776388049</v>
      </c>
      <c r="AL257" s="72">
        <f t="shared" si="1322"/>
        <v>5471.8823519296648</v>
      </c>
    </row>
    <row r="258" spans="1:38" outlineLevel="1" x14ac:dyDescent="0.2">
      <c r="A258" s="167"/>
      <c r="B258" s="419" t="s">
        <v>13</v>
      </c>
      <c r="C258" s="420"/>
      <c r="D258" s="292"/>
      <c r="E258" s="15"/>
      <c r="F258" s="15"/>
      <c r="G258" s="15"/>
      <c r="H258" s="16"/>
      <c r="I258" s="226"/>
      <c r="J258" s="226"/>
      <c r="K258" s="15"/>
      <c r="L258" s="15"/>
      <c r="M258" s="161"/>
      <c r="N258" s="15"/>
      <c r="O258" s="15"/>
      <c r="P258" s="15"/>
      <c r="Q258" s="15"/>
      <c r="R258" s="161"/>
      <c r="S258" s="15"/>
      <c r="T258" s="15"/>
      <c r="U258" s="15"/>
      <c r="V258" s="15"/>
      <c r="W258" s="161"/>
      <c r="X258" s="15"/>
      <c r="Y258" s="15"/>
      <c r="Z258" s="15"/>
      <c r="AA258" s="15"/>
      <c r="AB258" s="161"/>
      <c r="AC258" s="15"/>
      <c r="AD258" s="15"/>
      <c r="AE258" s="15"/>
      <c r="AF258" s="15"/>
      <c r="AG258" s="161"/>
      <c r="AH258" s="15"/>
      <c r="AI258" s="15"/>
      <c r="AJ258" s="15"/>
      <c r="AK258" s="15"/>
      <c r="AL258" s="161"/>
    </row>
    <row r="259" spans="1:38" outlineLevel="1" x14ac:dyDescent="0.2">
      <c r="A259" s="167"/>
      <c r="B259" s="60" t="s">
        <v>189</v>
      </c>
      <c r="C259" s="61"/>
      <c r="D259" s="25">
        <f>-108.7+32.1+14.2</f>
        <v>-62.399999999999991</v>
      </c>
      <c r="E259" s="25">
        <f>-150.2+218.3+55.1-D259</f>
        <v>185.60000000000002</v>
      </c>
      <c r="F259" s="25">
        <f>-176.3+281.7+57.5-E259-D259</f>
        <v>39.699999999999946</v>
      </c>
      <c r="G259" s="25">
        <f>-190.4+298.3+59.8-F259-E259-D259</f>
        <v>4.8000000000000256</v>
      </c>
      <c r="H259" s="26">
        <f>SUM(D259:G259)</f>
        <v>167.7</v>
      </c>
      <c r="I259" s="25">
        <f>-38+64.6+1.3</f>
        <v>27.899999999999995</v>
      </c>
      <c r="J259" s="25">
        <f>-65.1+93.7+4.3-I259</f>
        <v>5.0000000000000107</v>
      </c>
      <c r="K259" s="25">
        <f>-297.4+133.5+10-J259-I259</f>
        <v>-186.79999999999998</v>
      </c>
      <c r="L259" s="25">
        <f>-(L185-K185)-(L190-K190)</f>
        <v>169.15831302195147</v>
      </c>
      <c r="M259" s="26">
        <f>SUM(I259:L259)</f>
        <v>15.258313021951494</v>
      </c>
      <c r="N259" s="25">
        <f>-(N185-L185)-(N190-L190)</f>
        <v>-0.45210456167767177</v>
      </c>
      <c r="O259" s="25">
        <f t="shared" ref="O259:Q259" si="1323">-(O185-N185)-(O190-N190)</f>
        <v>10.872073410596045</v>
      </c>
      <c r="P259" s="25">
        <f t="shared" si="1323"/>
        <v>5.741669410233385</v>
      </c>
      <c r="Q259" s="25">
        <f t="shared" si="1323"/>
        <v>1.1255262837800046</v>
      </c>
      <c r="R259" s="26">
        <f>SUM(N259:Q259)</f>
        <v>17.287164542931762</v>
      </c>
      <c r="S259" s="25">
        <f>-(S185-Q185)-(S190-Q190)</f>
        <v>-3.1657099202067229</v>
      </c>
      <c r="T259" s="25">
        <f t="shared" ref="T259:V259" si="1324">-(T185-S185)-(T190-S190)</f>
        <v>9.5892613275833583</v>
      </c>
      <c r="U259" s="25">
        <f t="shared" si="1324"/>
        <v>-0.22073945381839621</v>
      </c>
      <c r="V259" s="25">
        <f t="shared" si="1324"/>
        <v>0.39151903887086803</v>
      </c>
      <c r="W259" s="26">
        <f>SUM(S259:V259)</f>
        <v>6.5943309924291071</v>
      </c>
      <c r="X259" s="25">
        <f>-(X185-V185)-(X190-V190)</f>
        <v>-3.8913258094091532</v>
      </c>
      <c r="Y259" s="25">
        <f t="shared" ref="Y259:AA259" si="1325">-(Y185-X185)-(Y190-X190)</f>
        <v>9.6224666957233893</v>
      </c>
      <c r="Z259" s="25">
        <f t="shared" si="1325"/>
        <v>-0.87098054583857731</v>
      </c>
      <c r="AA259" s="25">
        <f t="shared" si="1325"/>
        <v>-0.12172364416443315</v>
      </c>
      <c r="AB259" s="26">
        <f>SUM(X259:AA259)</f>
        <v>4.7384366963112257</v>
      </c>
      <c r="AC259" s="25">
        <f>-(AC185-AA185)-(AC190-AA190)</f>
        <v>-3.5058305247379309</v>
      </c>
      <c r="AD259" s="25">
        <f t="shared" ref="AD259:AF259" si="1326">-(AD185-AC185)-(AD190-AC190)</f>
        <v>11.026958053656131</v>
      </c>
      <c r="AE259" s="25">
        <f t="shared" si="1326"/>
        <v>-0.14869004420431509</v>
      </c>
      <c r="AF259" s="25">
        <f t="shared" si="1326"/>
        <v>0.64491260419912066</v>
      </c>
      <c r="AG259" s="26">
        <f>SUM(AC259:AF259)</f>
        <v>8.0173500889130054</v>
      </c>
      <c r="AH259" s="25">
        <f>-(AH185-AF185)-(AH190-AF190)</f>
        <v>-1.0228851683864235</v>
      </c>
      <c r="AI259" s="25">
        <f t="shared" ref="AI259:AK259" si="1327">-(AI185-AH185)-(AI190-AH190)</f>
        <v>14.659593733567249</v>
      </c>
      <c r="AJ259" s="25">
        <f t="shared" si="1327"/>
        <v>2.7089271304920572</v>
      </c>
      <c r="AK259" s="25">
        <f t="shared" si="1327"/>
        <v>3.5288654777265691</v>
      </c>
      <c r="AL259" s="26">
        <f>SUM(AH259:AK259)</f>
        <v>19.874501173399452</v>
      </c>
    </row>
    <row r="260" spans="1:38" outlineLevel="1" x14ac:dyDescent="0.2">
      <c r="A260" s="167"/>
      <c r="B260" s="421" t="s">
        <v>190</v>
      </c>
      <c r="C260" s="422"/>
      <c r="D260" s="25">
        <v>-431.4</v>
      </c>
      <c r="E260" s="25">
        <f>-845.6-D260</f>
        <v>-414.20000000000005</v>
      </c>
      <c r="F260" s="25">
        <f>-1280.7-E260-D260</f>
        <v>-435.1</v>
      </c>
      <c r="G260" s="25">
        <f>-1806.6-F260-E260-D260</f>
        <v>-525.9</v>
      </c>
      <c r="H260" s="170">
        <f>SUM(D260:G260)</f>
        <v>-1806.6</v>
      </c>
      <c r="I260" s="25">
        <v>-394.3</v>
      </c>
      <c r="J260" s="25">
        <f>-758.3-I260</f>
        <v>-363.99999999999994</v>
      </c>
      <c r="K260" s="25">
        <f>-1138.4-J260-I260</f>
        <v>-380.10000000000008</v>
      </c>
      <c r="L260" s="25">
        <f>-L291*L16</f>
        <v>-366.83954920087939</v>
      </c>
      <c r="M260" s="170">
        <f>SUM(I260:L260)</f>
        <v>-1505.2395492008795</v>
      </c>
      <c r="N260" s="25">
        <f t="shared" ref="N260:Q260" si="1328">-N291*N16</f>
        <v>-414.63354228740513</v>
      </c>
      <c r="O260" s="25">
        <f t="shared" si="1328"/>
        <v>-363.62197295615522</v>
      </c>
      <c r="P260" s="25">
        <f t="shared" si="1328"/>
        <v>-413.89913076991439</v>
      </c>
      <c r="Q260" s="25">
        <f t="shared" si="1328"/>
        <v>-435.86549008782805</v>
      </c>
      <c r="R260" s="170">
        <f>SUM(N260:Q260)</f>
        <v>-1628.0201361013028</v>
      </c>
      <c r="S260" s="25">
        <f t="shared" ref="S260:V260" si="1329">-S291*S16</f>
        <v>-436.59330869558545</v>
      </c>
      <c r="T260" s="25">
        <f t="shared" si="1329"/>
        <v>-381.90122874336276</v>
      </c>
      <c r="U260" s="25">
        <f t="shared" si="1329"/>
        <v>-436.21058507438039</v>
      </c>
      <c r="V260" s="25">
        <f t="shared" si="1329"/>
        <v>-458.12588041699252</v>
      </c>
      <c r="W260" s="170">
        <f>SUM(S260:V260)</f>
        <v>-1712.8310029303211</v>
      </c>
      <c r="X260" s="25">
        <f t="shared" ref="X260:AA260" si="1330">-X291*X16</f>
        <v>-459.06419069484855</v>
      </c>
      <c r="Y260" s="25">
        <f t="shared" si="1330"/>
        <v>-400.95449416018187</v>
      </c>
      <c r="Z260" s="25">
        <f t="shared" si="1330"/>
        <v>-458.23664291258672</v>
      </c>
      <c r="AA260" s="25">
        <f t="shared" si="1330"/>
        <v>-481.3418735681135</v>
      </c>
      <c r="AB260" s="170">
        <f>SUM(X260:AA260)</f>
        <v>-1799.5972013357305</v>
      </c>
      <c r="AC260" s="25">
        <f t="shared" ref="AC260:AF260" si="1331">-AC291*AC16</f>
        <v>-482.81319848522043</v>
      </c>
      <c r="AD260" s="25">
        <f t="shared" si="1331"/>
        <v>-421.09011803203811</v>
      </c>
      <c r="AE260" s="25">
        <f t="shared" si="1331"/>
        <v>-481.3433416097044</v>
      </c>
      <c r="AF260" s="25">
        <f t="shared" si="1331"/>
        <v>-505.71423673020723</v>
      </c>
      <c r="AG260" s="170">
        <f>SUM(AC260:AF260)</f>
        <v>-1890.9608948571702</v>
      </c>
      <c r="AH260" s="25">
        <f t="shared" ref="AH260:AK260" si="1332">-AH291*AH16</f>
        <v>-510.45908227425662</v>
      </c>
      <c r="AI260" s="25">
        <f t="shared" si="1332"/>
        <v>-444.60593418586859</v>
      </c>
      <c r="AJ260" s="25">
        <f t="shared" si="1332"/>
        <v>-508.31687788679028</v>
      </c>
      <c r="AK260" s="25">
        <f t="shared" si="1332"/>
        <v>-534.18296127717565</v>
      </c>
      <c r="AL260" s="170">
        <f>SUM(AH260:AK260)</f>
        <v>-1997.5648556240913</v>
      </c>
    </row>
    <row r="261" spans="1:38" ht="18" outlineLevel="1" x14ac:dyDescent="0.35">
      <c r="A261" s="167"/>
      <c r="B261" s="421" t="s">
        <v>62</v>
      </c>
      <c r="C261" s="422"/>
      <c r="D261" s="28">
        <v>-16.600000000000001</v>
      </c>
      <c r="E261" s="28">
        <f>48.5-37.1-D261</f>
        <v>28</v>
      </c>
      <c r="F261" s="28">
        <f>684.2-72.9-E261-D261</f>
        <v>599.90000000000009</v>
      </c>
      <c r="G261" s="28">
        <f>684.3-56.2-F261-E261-D261</f>
        <v>16.79999999999982</v>
      </c>
      <c r="H261" s="29">
        <f>SUM(D261:G261)</f>
        <v>628.09999999999991</v>
      </c>
      <c r="I261" s="28">
        <v>-19.899999999999999</v>
      </c>
      <c r="J261" s="28">
        <f>-22.5-I261</f>
        <v>-2.6000000000000014</v>
      </c>
      <c r="K261" s="28">
        <f>-39.4-J261-I261</f>
        <v>-16.899999999999999</v>
      </c>
      <c r="L261" s="28">
        <f>-(L191-K191)-(L195-K195)-(L193-K193)+(L210-K210)-(L196-K196)-(L197-K197)</f>
        <v>55.31061506108631</v>
      </c>
      <c r="M261" s="294">
        <f>SUM(I261:L261)</f>
        <v>15.910615061086311</v>
      </c>
      <c r="N261" s="28">
        <f>-(N191-L191)-(N195-L195)-(N193-L193)+(N210-L210)-(N196-L196)-(N197-L197)</f>
        <v>38.510856193174277</v>
      </c>
      <c r="O261" s="28">
        <f>-(O191-N191)-(O195-N195)-(O193-N193)+(O210-N210)-(O196-N196)-(O197-N197)</f>
        <v>57.830684348985244</v>
      </c>
      <c r="P261" s="28">
        <f>-(P191-O191)-(P195-O195)-(P193-O193)+(P210-O210)-(P196-O196)-(P197-O197)</f>
        <v>46.17124130952061</v>
      </c>
      <c r="Q261" s="28">
        <f t="shared" ref="Q261" si="1333">-(Q191-P191)-(Q195-P195)-(Q193-P193)+(Q210-P210)-(Q196-P196)-(Q197-P197)</f>
        <v>35.598814071291827</v>
      </c>
      <c r="R261" s="294">
        <f>SUM(N261:Q261)</f>
        <v>178.11159592297196</v>
      </c>
      <c r="S261" s="28">
        <f>-(S191-Q191)-(S195-Q195)-(S193-Q193)+(S210-Q210)-(S196-Q196)-(S197-Q197)</f>
        <v>25.748624160350346</v>
      </c>
      <c r="T261" s="28">
        <f>-(T191-S191)-(T195-S195)-(T193-S193)+(T210-S210)-(T196-S196)-(T197-S197)</f>
        <v>48.219917717008116</v>
      </c>
      <c r="U261" s="28">
        <f>-(U191-T191)-(U195-T195)-(U193-T193)+(U210-T210)-(U196-T196)-(U197-T197)</f>
        <v>28.135694255764918</v>
      </c>
      <c r="V261" s="28">
        <f t="shared" ref="V261" si="1334">-(V191-U191)-(V195-U195)-(V193-U193)+(V210-U210)-(V196-U196)-(V197-U197)</f>
        <v>27.840941699911411</v>
      </c>
      <c r="W261" s="294">
        <f>SUM(S261:V261)</f>
        <v>129.94517783303479</v>
      </c>
      <c r="X261" s="28">
        <f>-(X191-V191)-(X195-V195)-(X193-V193)+(X210-V210)-(X196-V196)-(X197-V197)</f>
        <v>18.378236214542312</v>
      </c>
      <c r="Y261" s="28">
        <f>-(Y191-X191)-(Y195-X195)-(Y193-X193)+(Y210-X210)-(Y196-X196)-(Y197-X197)</f>
        <v>42.633245216364173</v>
      </c>
      <c r="Z261" s="28">
        <f>-(Z191-Y191)-(Z195-Y195)-(Z193-Y193)+(Z210-Y210)-(Z196-Y196)-(Z197-Y197)</f>
        <v>21.58577914317118</v>
      </c>
      <c r="AA261" s="28">
        <f t="shared" ref="AA261" si="1335">-(AA191-Z191)-(AA195-Z195)-(AA193-Z193)+(AA210-Z210)-(AA196-Z196)-(AA197-Z197)</f>
        <v>21.858934559809825</v>
      </c>
      <c r="AB261" s="294">
        <f>SUM(X261:AA261)</f>
        <v>104.45619513388749</v>
      </c>
      <c r="AC261" s="28">
        <f>-(AC191-AA191)-(AC195-AA195)-(AC193-AA193)+(AC210-AA210)-(AC196-AA196)-(AC197-AA197)</f>
        <v>14.385501580672098</v>
      </c>
      <c r="AD261" s="28">
        <f>-(AD191-AC191)-(AD195-AC195)-(AD193-AC193)+(AD210-AC210)-(AD196-AC196)-(AD197-AC197)</f>
        <v>40.839758822812286</v>
      </c>
      <c r="AE261" s="28">
        <f>-(AE191-AD191)-(AE195-AD195)-(AE193-AD193)+(AE210-AD210)-(AE196-AD196)-(AE197-AD197)</f>
        <v>18.759738820757235</v>
      </c>
      <c r="AF261" s="28">
        <f t="shared" ref="AF261" si="1336">-(AF191-AE191)-(AF195-AE195)-(AF193-AE193)+(AF210-AE210)-(AF196-AE196)-(AF197-AE197)</f>
        <v>19.358305269336057</v>
      </c>
      <c r="AG261" s="294">
        <f>SUM(AC261:AF261)</f>
        <v>93.343304493577676</v>
      </c>
      <c r="AH261" s="28">
        <f>-(AH191-AF191)-(AH195-AF195)-(AH193-AF193)+(AH210-AF210)-(AH196-AF196)-(AH197-AF197)</f>
        <v>15.356142229362263</v>
      </c>
      <c r="AI261" s="28">
        <f>-(AI191-AH191)-(AI195-AH195)-(AI193-AH193)+(AI210-AH210)-(AI196-AH196)-(AI197-AH197)</f>
        <v>44.197143156322596</v>
      </c>
      <c r="AJ261" s="28">
        <f>-(AJ191-AI191)-(AJ195-AI195)-(AJ193-AI193)+(AJ210-AI210)-(AJ196-AI196)-(AJ197-AI197)</f>
        <v>20.853162634600665</v>
      </c>
      <c r="AK261" s="28">
        <f t="shared" ref="AK261" si="1337">-(AK191-AJ191)-(AK195-AJ195)-(AK193-AJ193)+(AK210-AJ210)-(AK196-AJ196)-(AK197-AJ197)</f>
        <v>21.690484965787306</v>
      </c>
      <c r="AL261" s="294">
        <f>SUM(AH261:AK261)</f>
        <v>102.09693298607283</v>
      </c>
    </row>
    <row r="262" spans="1:38" outlineLevel="1" x14ac:dyDescent="0.2">
      <c r="A262" s="167"/>
      <c r="B262" s="428" t="s">
        <v>14</v>
      </c>
      <c r="C262" s="429"/>
      <c r="D262" s="32">
        <f t="shared" ref="D262:Q262" si="1338">SUM(D259:D261)</f>
        <v>-510.4</v>
      </c>
      <c r="E262" s="32">
        <f t="shared" si="1338"/>
        <v>-200.60000000000002</v>
      </c>
      <c r="F262" s="32">
        <f t="shared" si="1338"/>
        <v>204.5</v>
      </c>
      <c r="G262" s="32">
        <f t="shared" si="1338"/>
        <v>-504.30000000000007</v>
      </c>
      <c r="H262" s="33">
        <f t="shared" si="1338"/>
        <v>-1010.8</v>
      </c>
      <c r="I262" s="32">
        <f t="shared" si="1338"/>
        <v>-386.3</v>
      </c>
      <c r="J262" s="32">
        <f t="shared" si="1338"/>
        <v>-361.59999999999997</v>
      </c>
      <c r="K262" s="32">
        <f t="shared" si="1338"/>
        <v>-583.80000000000007</v>
      </c>
      <c r="L262" s="32">
        <f t="shared" si="1338"/>
        <v>-142.37062111784161</v>
      </c>
      <c r="M262" s="33">
        <f t="shared" si="1338"/>
        <v>-1474.0706211178419</v>
      </c>
      <c r="N262" s="32">
        <f t="shared" si="1338"/>
        <v>-376.57479065590854</v>
      </c>
      <c r="O262" s="32">
        <f t="shared" si="1338"/>
        <v>-294.91921519657393</v>
      </c>
      <c r="P262" s="32">
        <f t="shared" si="1338"/>
        <v>-361.9862200501604</v>
      </c>
      <c r="Q262" s="32">
        <f t="shared" si="1338"/>
        <v>-399.14114973275622</v>
      </c>
      <c r="R262" s="33">
        <f t="shared" ref="R262:V262" si="1339">SUM(R259:R261)</f>
        <v>-1432.6213756353991</v>
      </c>
      <c r="S262" s="32">
        <f t="shared" si="1339"/>
        <v>-414.01039445544183</v>
      </c>
      <c r="T262" s="32">
        <f t="shared" si="1339"/>
        <v>-324.09204969877129</v>
      </c>
      <c r="U262" s="32">
        <f t="shared" si="1339"/>
        <v>-408.29563027243387</v>
      </c>
      <c r="V262" s="32">
        <f t="shared" si="1339"/>
        <v>-429.89341967821025</v>
      </c>
      <c r="W262" s="33">
        <f t="shared" ref="W262:AL262" si="1340">SUM(W259:W261)</f>
        <v>-1576.2914941048571</v>
      </c>
      <c r="X262" s="32">
        <f t="shared" si="1340"/>
        <v>-444.57728028971542</v>
      </c>
      <c r="Y262" s="32">
        <f t="shared" si="1340"/>
        <v>-348.69878224809429</v>
      </c>
      <c r="Z262" s="32">
        <f t="shared" si="1340"/>
        <v>-437.5218443152541</v>
      </c>
      <c r="AA262" s="32">
        <f t="shared" si="1340"/>
        <v>-459.60466265246811</v>
      </c>
      <c r="AB262" s="33">
        <f t="shared" si="1340"/>
        <v>-1690.4025695055316</v>
      </c>
      <c r="AC262" s="32">
        <f t="shared" si="1340"/>
        <v>-471.93352742928624</v>
      </c>
      <c r="AD262" s="32">
        <f t="shared" si="1340"/>
        <v>-369.22340115556972</v>
      </c>
      <c r="AE262" s="32">
        <f t="shared" si="1340"/>
        <v>-462.73229283315152</v>
      </c>
      <c r="AF262" s="32">
        <f t="shared" si="1340"/>
        <v>-485.71101885667201</v>
      </c>
      <c r="AG262" s="33">
        <f t="shared" si="1340"/>
        <v>-1789.6002402746794</v>
      </c>
      <c r="AH262" s="32">
        <f t="shared" si="1340"/>
        <v>-496.12582521328079</v>
      </c>
      <c r="AI262" s="32">
        <f t="shared" si="1340"/>
        <v>-385.74919729597877</v>
      </c>
      <c r="AJ262" s="32">
        <f t="shared" si="1340"/>
        <v>-484.75478812169757</v>
      </c>
      <c r="AK262" s="32">
        <f t="shared" si="1340"/>
        <v>-508.96361083366185</v>
      </c>
      <c r="AL262" s="33">
        <f t="shared" si="1340"/>
        <v>-1875.593421464619</v>
      </c>
    </row>
    <row r="263" spans="1:38" outlineLevel="1" x14ac:dyDescent="0.2">
      <c r="A263" s="167"/>
      <c r="B263" s="426" t="s">
        <v>15</v>
      </c>
      <c r="C263" s="427"/>
      <c r="D263" s="162"/>
      <c r="E263" s="158"/>
      <c r="F263" s="158"/>
      <c r="G263" s="158"/>
      <c r="H263" s="159"/>
      <c r="I263" s="158"/>
      <c r="J263" s="158"/>
      <c r="K263" s="158"/>
      <c r="L263" s="158"/>
      <c r="M263" s="159"/>
      <c r="N263" s="158"/>
      <c r="O263" s="158"/>
      <c r="P263" s="158"/>
      <c r="Q263" s="158"/>
      <c r="R263" s="159"/>
      <c r="S263" s="158"/>
      <c r="T263" s="158"/>
      <c r="U263" s="158"/>
      <c r="V263" s="158"/>
      <c r="W263" s="159"/>
      <c r="X263" s="158"/>
      <c r="Y263" s="158"/>
      <c r="Z263" s="158"/>
      <c r="AA263" s="158"/>
      <c r="AB263" s="159"/>
      <c r="AC263" s="158"/>
      <c r="AD263" s="158"/>
      <c r="AE263" s="158"/>
      <c r="AF263" s="158"/>
      <c r="AG263" s="159"/>
      <c r="AH263" s="158"/>
      <c r="AI263" s="158"/>
      <c r="AJ263" s="158"/>
      <c r="AK263" s="158"/>
      <c r="AL263" s="159"/>
    </row>
    <row r="264" spans="1:38" outlineLevel="1" x14ac:dyDescent="0.2">
      <c r="A264" s="167"/>
      <c r="B264" s="437" t="s">
        <v>239</v>
      </c>
      <c r="C264" s="438"/>
      <c r="D264" s="73">
        <v>0</v>
      </c>
      <c r="E264" s="73">
        <f>-D264</f>
        <v>0</v>
      </c>
      <c r="F264" s="73">
        <f>1996-350-E264-D264</f>
        <v>1646</v>
      </c>
      <c r="G264" s="73">
        <f>1996-F264-E264-D264</f>
        <v>350</v>
      </c>
      <c r="H264" s="74">
        <f t="shared" ref="H264:H268" si="1341">SUM(D264:G264)</f>
        <v>1996</v>
      </c>
      <c r="I264" s="73">
        <v>0</v>
      </c>
      <c r="J264" s="73">
        <f>1739.7-I264</f>
        <v>1739.7</v>
      </c>
      <c r="K264" s="73">
        <f>1157.2+4727.6-J264-I264</f>
        <v>4145.1000000000004</v>
      </c>
      <c r="L264" s="73">
        <f>+(L206-K206)+(L209-K209)</f>
        <v>-437</v>
      </c>
      <c r="M264" s="74">
        <f t="shared" ref="M264:M271" si="1342">SUM(I264:L264)</f>
        <v>5447.8</v>
      </c>
      <c r="N264" s="73">
        <f>+(N206-L206)+(N209-L209)</f>
        <v>-437</v>
      </c>
      <c r="O264" s="73">
        <f t="shared" ref="O264:P264" si="1343">+(O206-N206)+(O209-N209)</f>
        <v>-437</v>
      </c>
      <c r="P264" s="73">
        <f t="shared" si="1343"/>
        <v>-437</v>
      </c>
      <c r="Q264" s="73">
        <f>+(Q206-P206)+(Q209-P209)</f>
        <v>-438.09999999999991</v>
      </c>
      <c r="R264" s="74">
        <f t="shared" ref="R264:R271" si="1344">SUM(N264:Q264)</f>
        <v>-1749.1</v>
      </c>
      <c r="S264" s="73">
        <f>+(S206-Q206)+(S209-Q209)</f>
        <v>-250</v>
      </c>
      <c r="T264" s="73">
        <f t="shared" ref="T264:U264" si="1345">+(T206-S206)+(T209-S209)</f>
        <v>-250</v>
      </c>
      <c r="U264" s="73">
        <f t="shared" si="1345"/>
        <v>-250</v>
      </c>
      <c r="V264" s="73">
        <f>+(V206-U206)+(V209-U209)</f>
        <v>-250</v>
      </c>
      <c r="W264" s="74">
        <f t="shared" ref="W264:W271" si="1346">SUM(S264:V264)</f>
        <v>-1000</v>
      </c>
      <c r="X264" s="73">
        <f>+(X206-V206)+(X209-V209)</f>
        <v>-250</v>
      </c>
      <c r="Y264" s="73">
        <f t="shared" ref="Y264:Z264" si="1347">+(Y206-X206)+(Y209-X209)</f>
        <v>-250</v>
      </c>
      <c r="Z264" s="73">
        <f t="shared" si="1347"/>
        <v>-250</v>
      </c>
      <c r="AA264" s="73">
        <f>+(AA206-Z206)+(AA209-Z209)</f>
        <v>-250</v>
      </c>
      <c r="AB264" s="74">
        <f t="shared" ref="AB264:AB271" si="1348">SUM(X264:AA264)</f>
        <v>-1000</v>
      </c>
      <c r="AC264" s="73">
        <f>+(AC206-AA206)+(AC209-AA209)</f>
        <v>-386</v>
      </c>
      <c r="AD264" s="73">
        <f t="shared" ref="AD264:AE264" si="1349">+(AD206-AC206)+(AD209-AC209)</f>
        <v>-385</v>
      </c>
      <c r="AE264" s="73">
        <f t="shared" si="1349"/>
        <v>-386</v>
      </c>
      <c r="AF264" s="73">
        <f>+(AF206-AE206)+(AF209-AE209)</f>
        <v>-386</v>
      </c>
      <c r="AG264" s="74">
        <f t="shared" ref="AG264:AG271" si="1350">SUM(AC264:AF264)</f>
        <v>-1543</v>
      </c>
      <c r="AH264" s="73">
        <f>+(AH206-AF206)+(AH209-AF209)</f>
        <v>-750</v>
      </c>
      <c r="AI264" s="73">
        <f t="shared" ref="AI264:AJ264" si="1351">+(AI206-AH206)+(AI209-AH209)</f>
        <v>-750</v>
      </c>
      <c r="AJ264" s="73">
        <f t="shared" si="1351"/>
        <v>-750</v>
      </c>
      <c r="AK264" s="73">
        <f>+(AK206-AJ206)+(AK209-AJ209)</f>
        <v>-750</v>
      </c>
      <c r="AL264" s="74">
        <f t="shared" ref="AL264:AL271" si="1352">SUM(AH264:AK264)</f>
        <v>-3000</v>
      </c>
    </row>
    <row r="265" spans="1:38" outlineLevel="1" x14ac:dyDescent="0.2">
      <c r="A265" s="167"/>
      <c r="B265" s="212" t="s">
        <v>238</v>
      </c>
      <c r="C265" s="213"/>
      <c r="D265" s="73">
        <v>-350</v>
      </c>
      <c r="E265" s="73">
        <v>0</v>
      </c>
      <c r="F265" s="73">
        <f>-75-E265-D265</f>
        <v>275</v>
      </c>
      <c r="G265" s="73">
        <f>-350-F265-E265-D265</f>
        <v>-275</v>
      </c>
      <c r="H265" s="74">
        <f t="shared" si="1341"/>
        <v>-350</v>
      </c>
      <c r="I265" s="73"/>
      <c r="J265" s="73">
        <f t="shared" ref="J265" si="1353">0-I265</f>
        <v>0</v>
      </c>
      <c r="K265" s="73">
        <v>-220.7</v>
      </c>
      <c r="L265" s="73"/>
      <c r="M265" s="74">
        <f t="shared" si="1342"/>
        <v>-220.7</v>
      </c>
      <c r="N265" s="73"/>
      <c r="O265" s="73"/>
      <c r="P265" s="73"/>
      <c r="Q265" s="73"/>
      <c r="R265" s="74">
        <f t="shared" si="1344"/>
        <v>0</v>
      </c>
      <c r="S265" s="73"/>
      <c r="T265" s="73"/>
      <c r="U265" s="73"/>
      <c r="V265" s="73"/>
      <c r="W265" s="74">
        <f t="shared" si="1346"/>
        <v>0</v>
      </c>
      <c r="X265" s="73"/>
      <c r="Y265" s="73"/>
      <c r="Z265" s="73"/>
      <c r="AA265" s="73"/>
      <c r="AB265" s="74">
        <f t="shared" si="1348"/>
        <v>0</v>
      </c>
      <c r="AC265" s="73"/>
      <c r="AD265" s="73"/>
      <c r="AE265" s="73"/>
      <c r="AF265" s="73"/>
      <c r="AG265" s="74">
        <f t="shared" si="1350"/>
        <v>0</v>
      </c>
      <c r="AH265" s="73"/>
      <c r="AI265" s="73"/>
      <c r="AJ265" s="73"/>
      <c r="AK265" s="73"/>
      <c r="AL265" s="74">
        <f t="shared" si="1352"/>
        <v>0</v>
      </c>
    </row>
    <row r="266" spans="1:38" outlineLevel="1" x14ac:dyDescent="0.2">
      <c r="A266" s="167"/>
      <c r="B266" s="212" t="s">
        <v>236</v>
      </c>
      <c r="C266" s="213"/>
      <c r="D266" s="73"/>
      <c r="E266" s="73">
        <v>75</v>
      </c>
      <c r="F266" s="73">
        <v>0</v>
      </c>
      <c r="G266" s="73">
        <f>0-F266-E266-D266</f>
        <v>-75</v>
      </c>
      <c r="H266" s="74">
        <f t="shared" si="1341"/>
        <v>0</v>
      </c>
      <c r="I266" s="73">
        <f>398.9+99</f>
        <v>497.9</v>
      </c>
      <c r="J266" s="73">
        <f>613+494.1-I266</f>
        <v>609.19999999999993</v>
      </c>
      <c r="K266" s="73">
        <f t="shared" ref="K266" si="1354">0-J266-I266</f>
        <v>-1107.0999999999999</v>
      </c>
      <c r="L266" s="73"/>
      <c r="M266" s="74">
        <f t="shared" si="1342"/>
        <v>0</v>
      </c>
      <c r="N266" s="73"/>
      <c r="O266" s="73"/>
      <c r="P266" s="73"/>
      <c r="Q266" s="73"/>
      <c r="R266" s="74">
        <f t="shared" si="1344"/>
        <v>0</v>
      </c>
      <c r="S266" s="73"/>
      <c r="T266" s="73"/>
      <c r="U266" s="73"/>
      <c r="V266" s="73"/>
      <c r="W266" s="74">
        <f t="shared" si="1346"/>
        <v>0</v>
      </c>
      <c r="X266" s="73"/>
      <c r="Y266" s="73"/>
      <c r="Z266" s="73"/>
      <c r="AA266" s="73"/>
      <c r="AB266" s="74">
        <f t="shared" si="1348"/>
        <v>0</v>
      </c>
      <c r="AC266" s="73"/>
      <c r="AD266" s="73"/>
      <c r="AE266" s="73"/>
      <c r="AF266" s="73"/>
      <c r="AG266" s="74">
        <f t="shared" si="1350"/>
        <v>0</v>
      </c>
      <c r="AH266" s="73"/>
      <c r="AI266" s="73"/>
      <c r="AJ266" s="73"/>
      <c r="AK266" s="73"/>
      <c r="AL266" s="74">
        <f t="shared" si="1352"/>
        <v>0</v>
      </c>
    </row>
    <row r="267" spans="1:38" outlineLevel="1" x14ac:dyDescent="0.2">
      <c r="A267" s="167"/>
      <c r="B267" s="42" t="s">
        <v>188</v>
      </c>
      <c r="C267" s="37"/>
      <c r="D267" s="73">
        <v>108.4</v>
      </c>
      <c r="E267" s="73">
        <f>275.7-D267</f>
        <v>167.29999999999998</v>
      </c>
      <c r="F267" s="73">
        <f>358.5-E267-D267</f>
        <v>82.800000000000011</v>
      </c>
      <c r="G267" s="73">
        <f>409.8-F267-E267-D267</f>
        <v>51.300000000000011</v>
      </c>
      <c r="H267" s="74">
        <f t="shared" si="1341"/>
        <v>409.8</v>
      </c>
      <c r="I267" s="73">
        <v>33.1</v>
      </c>
      <c r="J267" s="73">
        <f>65.4-I267</f>
        <v>32.300000000000004</v>
      </c>
      <c r="K267" s="73">
        <f>98.9-J267-I267</f>
        <v>33.499999999999993</v>
      </c>
      <c r="L267" s="73"/>
      <c r="M267" s="74">
        <f t="shared" si="1342"/>
        <v>98.9</v>
      </c>
      <c r="N267" s="73"/>
      <c r="O267" s="73"/>
      <c r="P267" s="73"/>
      <c r="Q267" s="73"/>
      <c r="R267" s="74">
        <f t="shared" si="1344"/>
        <v>0</v>
      </c>
      <c r="S267" s="73"/>
      <c r="T267" s="73"/>
      <c r="U267" s="73"/>
      <c r="V267" s="73"/>
      <c r="W267" s="74">
        <f t="shared" si="1346"/>
        <v>0</v>
      </c>
      <c r="X267" s="73"/>
      <c r="Y267" s="73"/>
      <c r="Z267" s="73"/>
      <c r="AA267" s="73"/>
      <c r="AB267" s="74">
        <f t="shared" si="1348"/>
        <v>0</v>
      </c>
      <c r="AC267" s="73"/>
      <c r="AD267" s="73"/>
      <c r="AE267" s="73"/>
      <c r="AF267" s="73"/>
      <c r="AG267" s="74">
        <f t="shared" si="1350"/>
        <v>0</v>
      </c>
      <c r="AH267" s="73"/>
      <c r="AI267" s="73"/>
      <c r="AJ267" s="73"/>
      <c r="AK267" s="73"/>
      <c r="AL267" s="74">
        <f t="shared" si="1352"/>
        <v>0</v>
      </c>
    </row>
    <row r="268" spans="1:38" outlineLevel="1" x14ac:dyDescent="0.2">
      <c r="A268" s="167"/>
      <c r="B268" s="42" t="s">
        <v>194</v>
      </c>
      <c r="C268" s="37"/>
      <c r="D268" s="73">
        <v>-446.7</v>
      </c>
      <c r="E268" s="73">
        <f>-894.5-D268</f>
        <v>-447.8</v>
      </c>
      <c r="F268" s="73">
        <f>-1330.7-E268-D268</f>
        <v>-436.2000000000001</v>
      </c>
      <c r="G268" s="73">
        <f>-1761.3-F268-E268-D268</f>
        <v>-430.59999999999997</v>
      </c>
      <c r="H268" s="74">
        <f t="shared" si="1341"/>
        <v>-1761.3</v>
      </c>
      <c r="I268" s="73">
        <v>-484.2</v>
      </c>
      <c r="J268" s="73">
        <f>-965.2-I268</f>
        <v>-481.00000000000006</v>
      </c>
      <c r="K268" s="73">
        <f>-1444.2-J268-I268</f>
        <v>-479.00000000000006</v>
      </c>
      <c r="L268" s="369">
        <f>-L43*L38</f>
        <v>-512.13288067658311</v>
      </c>
      <c r="M268" s="74">
        <f t="shared" si="1342"/>
        <v>-1956.332880676583</v>
      </c>
      <c r="N268" s="369">
        <f t="shared" ref="N268:Q268" si="1355">-N43*N38</f>
        <v>-509.23356511722938</v>
      </c>
      <c r="O268" s="369">
        <f t="shared" si="1355"/>
        <v>-507.6371666207159</v>
      </c>
      <c r="P268" s="369">
        <f t="shared" si="1355"/>
        <v>-505.92670565394377</v>
      </c>
      <c r="Q268" s="369">
        <f t="shared" si="1355"/>
        <v>-529.50115353376066</v>
      </c>
      <c r="R268" s="74">
        <f t="shared" si="1344"/>
        <v>-2052.2985909256499</v>
      </c>
      <c r="S268" s="369">
        <f t="shared" ref="S268:V268" si="1356">-S43*S38</f>
        <v>-527.46607924007253</v>
      </c>
      <c r="T268" s="369">
        <f t="shared" si="1356"/>
        <v>-525.66911416286143</v>
      </c>
      <c r="U268" s="369">
        <f t="shared" si="1356"/>
        <v>-523.84251872563448</v>
      </c>
      <c r="V268" s="369">
        <f t="shared" si="1356"/>
        <v>-548.10887414144634</v>
      </c>
      <c r="W268" s="74">
        <f t="shared" si="1346"/>
        <v>-2125.0865862700148</v>
      </c>
      <c r="X268" s="369">
        <f t="shared" ref="X268:AA268" si="1357">-X43*X38</f>
        <v>-546.15422004325433</v>
      </c>
      <c r="Y268" s="369">
        <f t="shared" si="1357"/>
        <v>-544.2443604261897</v>
      </c>
      <c r="Z268" s="369">
        <f t="shared" si="1357"/>
        <v>-542.32889128488955</v>
      </c>
      <c r="AA268" s="369">
        <f t="shared" si="1357"/>
        <v>-567.43478240809691</v>
      </c>
      <c r="AB268" s="74">
        <f t="shared" si="1348"/>
        <v>-2200.1622541624301</v>
      </c>
      <c r="AC268" s="369">
        <f t="shared" ref="AC268:AF268" si="1358">-AC43*AC38</f>
        <v>-565.42711104201112</v>
      </c>
      <c r="AD268" s="369">
        <f t="shared" si="1358"/>
        <v>-563.43047870768248</v>
      </c>
      <c r="AE268" s="369">
        <f t="shared" si="1358"/>
        <v>-561.436043855869</v>
      </c>
      <c r="AF268" s="369">
        <f t="shared" si="1358"/>
        <v>-587.41808263850146</v>
      </c>
      <c r="AG268" s="74">
        <f t="shared" si="1350"/>
        <v>-2277.7117162440641</v>
      </c>
      <c r="AH268" s="369">
        <f t="shared" ref="AH268:AK268" si="1359">-AH43*AH38</f>
        <v>-585.33361359783169</v>
      </c>
      <c r="AI268" s="369">
        <f t="shared" si="1359"/>
        <v>-583.25499585070042</v>
      </c>
      <c r="AJ268" s="369">
        <f t="shared" si="1359"/>
        <v>-581.1808195298072</v>
      </c>
      <c r="AK268" s="369">
        <f t="shared" si="1359"/>
        <v>-608.06718908422317</v>
      </c>
      <c r="AL268" s="74">
        <f t="shared" si="1352"/>
        <v>-2357.8366180625626</v>
      </c>
    </row>
    <row r="269" spans="1:38" outlineLevel="1" x14ac:dyDescent="0.2">
      <c r="A269" s="167"/>
      <c r="B269" s="42" t="s">
        <v>63</v>
      </c>
      <c r="C269" s="93"/>
      <c r="D269" s="73">
        <v>-5114.7</v>
      </c>
      <c r="E269" s="73">
        <f>-7827.9-D269</f>
        <v>-2713.2</v>
      </c>
      <c r="F269" s="73">
        <f>-7972.9-E269-D269</f>
        <v>-145</v>
      </c>
      <c r="G269" s="73">
        <f>-10222.3-F269-E269-D269</f>
        <v>-2249.3999999999996</v>
      </c>
      <c r="H269" s="74">
        <f>SUM(D269:G269)</f>
        <v>-10222.299999999999</v>
      </c>
      <c r="I269" s="73">
        <v>-1091.4000000000001</v>
      </c>
      <c r="J269" s="73">
        <f>-1698.9-I269</f>
        <v>-607.5</v>
      </c>
      <c r="K269" s="73">
        <f>-1698.9-J269-I269</f>
        <v>0</v>
      </c>
      <c r="L269" s="73">
        <f>-L160</f>
        <v>-100</v>
      </c>
      <c r="M269" s="74">
        <f t="shared" si="1342"/>
        <v>-1798.9</v>
      </c>
      <c r="N269" s="73">
        <f t="shared" ref="N269:Q269" si="1360">-N160</f>
        <v>-100</v>
      </c>
      <c r="O269" s="73">
        <f t="shared" si="1360"/>
        <v>-100</v>
      </c>
      <c r="P269" s="73">
        <f t="shared" si="1360"/>
        <v>-100</v>
      </c>
      <c r="Q269" s="73">
        <f t="shared" si="1360"/>
        <v>-100</v>
      </c>
      <c r="R269" s="74">
        <f t="shared" si="1344"/>
        <v>-400</v>
      </c>
      <c r="S269" s="73">
        <f t="shared" ref="S269:V269" si="1361">-S160</f>
        <v>-100</v>
      </c>
      <c r="T269" s="73">
        <f t="shared" si="1361"/>
        <v>-100</v>
      </c>
      <c r="U269" s="73">
        <f t="shared" si="1361"/>
        <v>-100</v>
      </c>
      <c r="V269" s="73">
        <f t="shared" si="1361"/>
        <v>-100</v>
      </c>
      <c r="W269" s="74">
        <f t="shared" si="1346"/>
        <v>-400</v>
      </c>
      <c r="X269" s="73">
        <f t="shared" ref="X269:AA269" si="1362">-X160</f>
        <v>-100</v>
      </c>
      <c r="Y269" s="73">
        <f t="shared" si="1362"/>
        <v>-100</v>
      </c>
      <c r="Z269" s="73">
        <f t="shared" si="1362"/>
        <v>-100</v>
      </c>
      <c r="AA269" s="73">
        <f t="shared" si="1362"/>
        <v>-100</v>
      </c>
      <c r="AB269" s="74">
        <f t="shared" si="1348"/>
        <v>-400</v>
      </c>
      <c r="AC269" s="73">
        <f t="shared" ref="AC269:AF269" si="1363">-AC160</f>
        <v>-100</v>
      </c>
      <c r="AD269" s="73">
        <f t="shared" si="1363"/>
        <v>-100</v>
      </c>
      <c r="AE269" s="73">
        <f t="shared" si="1363"/>
        <v>-100</v>
      </c>
      <c r="AF269" s="73">
        <f t="shared" si="1363"/>
        <v>-100</v>
      </c>
      <c r="AG269" s="74">
        <f t="shared" si="1350"/>
        <v>-400</v>
      </c>
      <c r="AH269" s="73">
        <f t="shared" ref="AH269:AK269" si="1364">-AH160</f>
        <v>-100</v>
      </c>
      <c r="AI269" s="73">
        <f t="shared" si="1364"/>
        <v>-100</v>
      </c>
      <c r="AJ269" s="73">
        <f t="shared" si="1364"/>
        <v>-100</v>
      </c>
      <c r="AK269" s="73">
        <f t="shared" si="1364"/>
        <v>-100</v>
      </c>
      <c r="AL269" s="74">
        <f t="shared" si="1352"/>
        <v>-400</v>
      </c>
    </row>
    <row r="270" spans="1:38" outlineLevel="1" x14ac:dyDescent="0.2">
      <c r="A270" s="167"/>
      <c r="B270" s="42" t="s">
        <v>210</v>
      </c>
      <c r="C270" s="65"/>
      <c r="D270" s="73">
        <v>-55.3</v>
      </c>
      <c r="E270" s="73">
        <f>-56.3-D270</f>
        <v>-1</v>
      </c>
      <c r="F270" s="73">
        <f>-106.1-E270-D270</f>
        <v>-49.8</v>
      </c>
      <c r="G270" s="73">
        <f>-111.6-F270-E270-D270</f>
        <v>-5.5</v>
      </c>
      <c r="H270" s="74">
        <f t="shared" ref="H270" si="1365">SUM(D270:G270)</f>
        <v>-111.6</v>
      </c>
      <c r="I270" s="73">
        <v>-78.400000000000006</v>
      </c>
      <c r="J270" s="73">
        <f>-87.6-I270</f>
        <v>-9.1999999999999886</v>
      </c>
      <c r="K270" s="73">
        <f>-89.1-J270-I270</f>
        <v>-1.5</v>
      </c>
      <c r="L270" s="73">
        <f>(K270/K247)*L247</f>
        <v>-2.1994409103112105</v>
      </c>
      <c r="M270" s="74">
        <f t="shared" si="1342"/>
        <v>-91.299440910311205</v>
      </c>
      <c r="N270" s="73">
        <f>(L270/L247)*N247</f>
        <v>-2.6194968670213088</v>
      </c>
      <c r="O270" s="73">
        <f t="shared" ref="O270:Q270" si="1366">(N270/N247)*O247</f>
        <v>-2.1730794010910746</v>
      </c>
      <c r="P270" s="73">
        <f t="shared" si="1366"/>
        <v>-2.5051965553023439</v>
      </c>
      <c r="Q270" s="73">
        <f t="shared" si="1366"/>
        <v>-2.6524754081703525</v>
      </c>
      <c r="R270" s="74">
        <f t="shared" si="1344"/>
        <v>-9.9502482315850784</v>
      </c>
      <c r="S270" s="73">
        <f>(Q270/Q247)*S247</f>
        <v>-2.6667157391926111</v>
      </c>
      <c r="T270" s="73">
        <f t="shared" ref="T270:V270" si="1367">(S270/S247)*T247</f>
        <v>-2.3126434041537838</v>
      </c>
      <c r="U270" s="73">
        <f t="shared" si="1367"/>
        <v>-2.6501783865840496</v>
      </c>
      <c r="V270" s="73">
        <f t="shared" si="1367"/>
        <v>-2.7859330951192032</v>
      </c>
      <c r="W270" s="74">
        <f t="shared" si="1346"/>
        <v>-10.415470625049647</v>
      </c>
      <c r="X270" s="73">
        <f>(V270/V247)*X247</f>
        <v>-2.7911358904755015</v>
      </c>
      <c r="Y270" s="73">
        <f t="shared" ref="Y270:AA270" si="1368">(X270/X247)*Y247</f>
        <v>-2.4350237297709629</v>
      </c>
      <c r="Z270" s="73">
        <f t="shared" si="1368"/>
        <v>-2.7849024604456205</v>
      </c>
      <c r="AA270" s="73">
        <f t="shared" si="1368"/>
        <v>-2.9255607970083046</v>
      </c>
      <c r="AB270" s="74">
        <f t="shared" si="1348"/>
        <v>-10.93662287770039</v>
      </c>
      <c r="AC270" s="73">
        <f>(AA270/AA247)*AC247</f>
        <v>-2.9341141462270337</v>
      </c>
      <c r="AD270" s="73">
        <f t="shared" ref="AD270:AF270" si="1369">(AC270/AC247)*AD247</f>
        <v>-2.558706557746584</v>
      </c>
      <c r="AE270" s="73">
        <f t="shared" si="1369"/>
        <v>-2.9252279269129757</v>
      </c>
      <c r="AF270" s="73">
        <f t="shared" si="1369"/>
        <v>-3.0733078425126221</v>
      </c>
      <c r="AG270" s="74">
        <f t="shared" si="1350"/>
        <v>-11.491356473399215</v>
      </c>
      <c r="AH270" s="73">
        <f>(AF270/AF247)*AH247</f>
        <v>-3.1020455358956895</v>
      </c>
      <c r="AI270" s="73">
        <f t="shared" ref="AI270:AK270" si="1370">(AH270/AH247)*AI247</f>
        <v>-2.701841254748294</v>
      </c>
      <c r="AJ270" s="73">
        <f t="shared" si="1370"/>
        <v>-3.0890780998300551</v>
      </c>
      <c r="AK270" s="73">
        <f t="shared" si="1370"/>
        <v>-3.246248737996333</v>
      </c>
      <c r="AL270" s="74">
        <f t="shared" si="1352"/>
        <v>-12.139213628470372</v>
      </c>
    </row>
    <row r="271" spans="1:38" ht="18" outlineLevel="1" x14ac:dyDescent="0.35">
      <c r="A271" s="167"/>
      <c r="B271" s="437" t="s">
        <v>64</v>
      </c>
      <c r="C271" s="438"/>
      <c r="D271" s="160">
        <v>-0.3</v>
      </c>
      <c r="E271" s="160">
        <f>0.1-D271</f>
        <v>0.4</v>
      </c>
      <c r="F271" s="160">
        <f>-17.6-E271-D271</f>
        <v>-17.7</v>
      </c>
      <c r="G271" s="160">
        <f>-17.5-F271-E271-D271</f>
        <v>9.9999999999999256E-2</v>
      </c>
      <c r="H271" s="153">
        <f t="shared" ref="H271" si="1371">SUM(D271:G271)</f>
        <v>-17.5</v>
      </c>
      <c r="I271" s="160">
        <v>0</v>
      </c>
      <c r="J271" s="160">
        <f>-10.4-I271</f>
        <v>-10.4</v>
      </c>
      <c r="K271" s="160">
        <f>-37.8-J271-I271</f>
        <v>-27.4</v>
      </c>
      <c r="L271" s="160">
        <v>0</v>
      </c>
      <c r="M271" s="153">
        <f t="shared" si="1342"/>
        <v>-37.799999999999997</v>
      </c>
      <c r="N271" s="160">
        <v>0</v>
      </c>
      <c r="O271" s="160">
        <v>0</v>
      </c>
      <c r="P271" s="160">
        <v>0</v>
      </c>
      <c r="Q271" s="160">
        <v>0</v>
      </c>
      <c r="R271" s="153">
        <f t="shared" si="1344"/>
        <v>0</v>
      </c>
      <c r="S271" s="160">
        <v>0</v>
      </c>
      <c r="T271" s="160">
        <v>0</v>
      </c>
      <c r="U271" s="160">
        <v>0</v>
      </c>
      <c r="V271" s="160">
        <v>0</v>
      </c>
      <c r="W271" s="153">
        <f t="shared" si="1346"/>
        <v>0</v>
      </c>
      <c r="X271" s="160">
        <v>0</v>
      </c>
      <c r="Y271" s="160">
        <v>0</v>
      </c>
      <c r="Z271" s="160">
        <v>0</v>
      </c>
      <c r="AA271" s="160">
        <v>0</v>
      </c>
      <c r="AB271" s="153">
        <f t="shared" si="1348"/>
        <v>0</v>
      </c>
      <c r="AC271" s="160">
        <v>0</v>
      </c>
      <c r="AD271" s="160">
        <v>0</v>
      </c>
      <c r="AE271" s="160">
        <v>0</v>
      </c>
      <c r="AF271" s="160">
        <v>0</v>
      </c>
      <c r="AG271" s="153">
        <f t="shared" si="1350"/>
        <v>0</v>
      </c>
      <c r="AH271" s="160">
        <v>0</v>
      </c>
      <c r="AI271" s="160">
        <v>0</v>
      </c>
      <c r="AJ271" s="160">
        <v>0</v>
      </c>
      <c r="AK271" s="160">
        <v>0</v>
      </c>
      <c r="AL271" s="153">
        <f t="shared" si="1352"/>
        <v>0</v>
      </c>
    </row>
    <row r="272" spans="1:38" outlineLevel="1" x14ac:dyDescent="0.2">
      <c r="A272" s="167"/>
      <c r="B272" s="443" t="s">
        <v>16</v>
      </c>
      <c r="C272" s="444"/>
      <c r="D272" s="72">
        <f t="shared" ref="D272:Q272" si="1372">SUM(D264:D271)</f>
        <v>-5858.6</v>
      </c>
      <c r="E272" s="72">
        <f t="shared" si="1372"/>
        <v>-2919.2999999999997</v>
      </c>
      <c r="F272" s="72">
        <f t="shared" si="1372"/>
        <v>1355.1</v>
      </c>
      <c r="G272" s="72">
        <f t="shared" si="1372"/>
        <v>-2634.1</v>
      </c>
      <c r="H272" s="154">
        <f t="shared" si="1372"/>
        <v>-10056.9</v>
      </c>
      <c r="I272" s="72">
        <f t="shared" si="1372"/>
        <v>-1123.0000000000002</v>
      </c>
      <c r="J272" s="72">
        <f t="shared" si="1372"/>
        <v>1273.1000000000001</v>
      </c>
      <c r="K272" s="72">
        <f t="shared" si="1372"/>
        <v>2342.9000000000005</v>
      </c>
      <c r="L272" s="72">
        <f t="shared" si="1372"/>
        <v>-1051.3323215868945</v>
      </c>
      <c r="M272" s="154">
        <f t="shared" si="1372"/>
        <v>1441.6676784131057</v>
      </c>
      <c r="N272" s="72">
        <f t="shared" si="1372"/>
        <v>-1048.8530619842506</v>
      </c>
      <c r="O272" s="72">
        <f t="shared" si="1372"/>
        <v>-1046.8102460218072</v>
      </c>
      <c r="P272" s="72">
        <f t="shared" si="1372"/>
        <v>-1045.4319022092461</v>
      </c>
      <c r="Q272" s="72">
        <f t="shared" si="1372"/>
        <v>-1070.2536289419311</v>
      </c>
      <c r="R272" s="154">
        <f t="shared" ref="R272:V272" si="1373">SUM(R264:R271)</f>
        <v>-4211.3488391572346</v>
      </c>
      <c r="S272" s="72">
        <f t="shared" si="1373"/>
        <v>-880.1327949792651</v>
      </c>
      <c r="T272" s="72">
        <f t="shared" si="1373"/>
        <v>-877.98175756701517</v>
      </c>
      <c r="U272" s="72">
        <f t="shared" si="1373"/>
        <v>-876.49269711221848</v>
      </c>
      <c r="V272" s="72">
        <f t="shared" si="1373"/>
        <v>-900.8948072365655</v>
      </c>
      <c r="W272" s="154">
        <f t="shared" ref="W272:AL272" si="1374">SUM(W264:W271)</f>
        <v>-3535.5020568950645</v>
      </c>
      <c r="X272" s="72">
        <f t="shared" si="1374"/>
        <v>-898.94535593372984</v>
      </c>
      <c r="Y272" s="72">
        <f t="shared" si="1374"/>
        <v>-896.67938415596063</v>
      </c>
      <c r="Z272" s="72">
        <f t="shared" si="1374"/>
        <v>-895.11379374533522</v>
      </c>
      <c r="AA272" s="72">
        <f t="shared" si="1374"/>
        <v>-920.36034320510521</v>
      </c>
      <c r="AB272" s="154">
        <f t="shared" si="1374"/>
        <v>-3611.0988770401304</v>
      </c>
      <c r="AC272" s="72">
        <f t="shared" si="1374"/>
        <v>-1054.3612251882382</v>
      </c>
      <c r="AD272" s="72">
        <f t="shared" si="1374"/>
        <v>-1050.9891852654291</v>
      </c>
      <c r="AE272" s="72">
        <f t="shared" si="1374"/>
        <v>-1050.3612717827821</v>
      </c>
      <c r="AF272" s="72">
        <f t="shared" si="1374"/>
        <v>-1076.4913904810139</v>
      </c>
      <c r="AG272" s="154">
        <f t="shared" si="1374"/>
        <v>-4232.2030727174633</v>
      </c>
      <c r="AH272" s="72">
        <f t="shared" si="1374"/>
        <v>-1438.4356591337273</v>
      </c>
      <c r="AI272" s="72">
        <f t="shared" si="1374"/>
        <v>-1435.9568371054488</v>
      </c>
      <c r="AJ272" s="72">
        <f t="shared" si="1374"/>
        <v>-1434.2698976296372</v>
      </c>
      <c r="AK272" s="72">
        <f t="shared" si="1374"/>
        <v>-1461.3134378222196</v>
      </c>
      <c r="AL272" s="154">
        <f t="shared" si="1374"/>
        <v>-5769.9758316910329</v>
      </c>
    </row>
    <row r="273" spans="1:38" outlineLevel="1" x14ac:dyDescent="0.2">
      <c r="A273" s="167"/>
      <c r="B273" s="66" t="s">
        <v>66</v>
      </c>
      <c r="C273" s="67"/>
      <c r="D273" s="292">
        <f>-4.7-0.1</f>
        <v>-4.8</v>
      </c>
      <c r="E273" s="224">
        <f>18.3-0.1-D273</f>
        <v>23</v>
      </c>
      <c r="F273" s="224">
        <f>-2.5-E273-D273</f>
        <v>-20.7</v>
      </c>
      <c r="G273" s="224">
        <f>-49-F273-E273-D273</f>
        <v>-46.5</v>
      </c>
      <c r="H273" s="161">
        <f>SUM(D273:G273)</f>
        <v>-49</v>
      </c>
      <c r="I273" s="224">
        <v>27.1</v>
      </c>
      <c r="J273" s="224">
        <f>8.7-I273</f>
        <v>-18.400000000000002</v>
      </c>
      <c r="K273" s="224">
        <f>10.9-J273-I273</f>
        <v>2.2000000000000028</v>
      </c>
      <c r="L273" s="370">
        <v>0</v>
      </c>
      <c r="M273" s="330">
        <f>SUM(I273:L273)</f>
        <v>10.900000000000002</v>
      </c>
      <c r="N273" s="370">
        <v>0</v>
      </c>
      <c r="O273" s="370">
        <v>0</v>
      </c>
      <c r="P273" s="370">
        <v>0</v>
      </c>
      <c r="Q273" s="370">
        <v>0</v>
      </c>
      <c r="R273" s="330"/>
      <c r="S273" s="370">
        <v>0</v>
      </c>
      <c r="T273" s="370">
        <v>0</v>
      </c>
      <c r="U273" s="370">
        <v>0</v>
      </c>
      <c r="V273" s="370">
        <v>0</v>
      </c>
      <c r="W273" s="330"/>
      <c r="X273" s="370">
        <v>0</v>
      </c>
      <c r="Y273" s="370">
        <v>0</v>
      </c>
      <c r="Z273" s="370">
        <v>0</v>
      </c>
      <c r="AA273" s="370">
        <v>0</v>
      </c>
      <c r="AB273" s="330"/>
      <c r="AC273" s="370">
        <v>0</v>
      </c>
      <c r="AD273" s="370">
        <v>0</v>
      </c>
      <c r="AE273" s="370">
        <v>0</v>
      </c>
      <c r="AF273" s="370">
        <v>0</v>
      </c>
      <c r="AG273" s="330"/>
      <c r="AH273" s="370">
        <v>0</v>
      </c>
      <c r="AI273" s="370">
        <v>0</v>
      </c>
      <c r="AJ273" s="370">
        <v>0</v>
      </c>
      <c r="AK273" s="370">
        <v>0</v>
      </c>
      <c r="AL273" s="330"/>
    </row>
    <row r="274" spans="1:38" ht="18" outlineLevel="1" x14ac:dyDescent="0.35">
      <c r="A274" s="167"/>
      <c r="B274" s="421" t="s">
        <v>17</v>
      </c>
      <c r="C274" s="422"/>
      <c r="D274" s="28">
        <f t="shared" ref="D274:R274" si="1375">D272+D262+D257+D273</f>
        <v>-3994.7999999999997</v>
      </c>
      <c r="E274" s="28">
        <f t="shared" si="1375"/>
        <v>-2706.5</v>
      </c>
      <c r="F274" s="28">
        <f t="shared" si="1375"/>
        <v>2708.3000000000011</v>
      </c>
      <c r="G274" s="28">
        <f t="shared" si="1375"/>
        <v>-2076.7999999999993</v>
      </c>
      <c r="H274" s="29">
        <f t="shared" si="1375"/>
        <v>-6069.7999999999938</v>
      </c>
      <c r="I274" s="28">
        <f t="shared" si="1375"/>
        <v>353.89999999999839</v>
      </c>
      <c r="J274" s="28">
        <f t="shared" si="1375"/>
        <v>-468.20000000000061</v>
      </c>
      <c r="K274" s="28">
        <f t="shared" si="1375"/>
        <v>1393.600000000001</v>
      </c>
      <c r="L274" s="184">
        <f t="shared" si="1375"/>
        <v>-455.13735563732746</v>
      </c>
      <c r="M274" s="294">
        <f t="shared" si="1375"/>
        <v>824.16264436267102</v>
      </c>
      <c r="N274" s="184">
        <f t="shared" si="1375"/>
        <v>170.89878857193526</v>
      </c>
      <c r="O274" s="184">
        <f t="shared" si="1375"/>
        <v>-512.18066545088561</v>
      </c>
      <c r="P274" s="184">
        <f t="shared" si="1375"/>
        <v>-606.35544332652785</v>
      </c>
      <c r="Q274" s="184">
        <f t="shared" si="1375"/>
        <v>-324.47269364607951</v>
      </c>
      <c r="R274" s="294">
        <f t="shared" si="1375"/>
        <v>-1272.1100138515549</v>
      </c>
      <c r="S274" s="184">
        <f t="shared" ref="S274:AL274" si="1376">S272+S262+S257+S273</f>
        <v>356.09577397418389</v>
      </c>
      <c r="T274" s="184">
        <f t="shared" si="1376"/>
        <v>-467.63685227424196</v>
      </c>
      <c r="U274" s="184">
        <f t="shared" si="1376"/>
        <v>-146.22757910853852</v>
      </c>
      <c r="V274" s="184">
        <f t="shared" si="1376"/>
        <v>-358.8849311227732</v>
      </c>
      <c r="W274" s="294">
        <f t="shared" si="1376"/>
        <v>-616.6535885313715</v>
      </c>
      <c r="X274" s="184">
        <f t="shared" si="1376"/>
        <v>401.50627554377093</v>
      </c>
      <c r="Y274" s="184">
        <f t="shared" si="1376"/>
        <v>-463.05504215265194</v>
      </c>
      <c r="Z274" s="184">
        <f t="shared" si="1376"/>
        <v>-115.18494399810697</v>
      </c>
      <c r="AA274" s="184">
        <f t="shared" si="1376"/>
        <v>-348.08236689784894</v>
      </c>
      <c r="AB274" s="294">
        <f t="shared" si="1376"/>
        <v>-524.81607750483181</v>
      </c>
      <c r="AC274" s="184">
        <f t="shared" si="1376"/>
        <v>339.2554653678435</v>
      </c>
      <c r="AD274" s="184">
        <f t="shared" si="1376"/>
        <v>-587.41441229847771</v>
      </c>
      <c r="AE274" s="184">
        <f t="shared" si="1376"/>
        <v>-214.8086519185963</v>
      </c>
      <c r="AF274" s="184">
        <f t="shared" si="1376"/>
        <v>-460.28671735562784</v>
      </c>
      <c r="AG274" s="294">
        <f t="shared" si="1376"/>
        <v>-923.25431620486597</v>
      </c>
      <c r="AH274" s="184">
        <f t="shared" si="1376"/>
        <v>57.655032504810151</v>
      </c>
      <c r="AI274" s="184">
        <f t="shared" si="1376"/>
        <v>-925.17863421390018</v>
      </c>
      <c r="AJ274" s="184">
        <f t="shared" si="1376"/>
        <v>-524.26202724906034</v>
      </c>
      <c r="AK274" s="184">
        <f t="shared" si="1376"/>
        <v>-781.90127226783261</v>
      </c>
      <c r="AL274" s="294">
        <f t="shared" si="1376"/>
        <v>-2173.6869012259876</v>
      </c>
    </row>
    <row r="275" spans="1:38" ht="18" outlineLevel="1" x14ac:dyDescent="0.35">
      <c r="A275" s="167"/>
      <c r="B275" s="421" t="s">
        <v>18</v>
      </c>
      <c r="C275" s="422"/>
      <c r="D275" s="28">
        <v>8756.2999999999993</v>
      </c>
      <c r="E275" s="28">
        <f>D276</f>
        <v>4761.6000000000004</v>
      </c>
      <c r="F275" s="28">
        <f>E276</f>
        <v>2055.1000000000004</v>
      </c>
      <c r="G275" s="28">
        <f>F276</f>
        <v>4763.4000000000015</v>
      </c>
      <c r="H275" s="29">
        <f>D275</f>
        <v>8756.2999999999993</v>
      </c>
      <c r="I275" s="184">
        <f>H276</f>
        <v>2686.5000000000055</v>
      </c>
      <c r="J275" s="28">
        <f>I276</f>
        <v>3040.5000000000036</v>
      </c>
      <c r="K275" s="28">
        <f>J276</f>
        <v>2572.3000000000029</v>
      </c>
      <c r="L275" s="184">
        <f>K276</f>
        <v>3965.9000000000042</v>
      </c>
      <c r="M275" s="294">
        <f>H276</f>
        <v>2686.5000000000055</v>
      </c>
      <c r="N275" s="184">
        <f t="shared" ref="N275:AK275" si="1377">M276</f>
        <v>3510.6626443626765</v>
      </c>
      <c r="O275" s="184">
        <f t="shared" si="1377"/>
        <v>3681.5614329346117</v>
      </c>
      <c r="P275" s="184">
        <f t="shared" si="1377"/>
        <v>3169.3807674837262</v>
      </c>
      <c r="Q275" s="184">
        <f t="shared" si="1377"/>
        <v>2563.0253241571982</v>
      </c>
      <c r="R275" s="294">
        <f>M276</f>
        <v>3510.6626443626765</v>
      </c>
      <c r="S275" s="184">
        <f t="shared" si="1377"/>
        <v>2238.5526305111216</v>
      </c>
      <c r="T275" s="184">
        <f t="shared" si="1377"/>
        <v>2594.6484044853055</v>
      </c>
      <c r="U275" s="184">
        <f t="shared" si="1377"/>
        <v>2127.0115522110636</v>
      </c>
      <c r="V275" s="184">
        <f t="shared" si="1377"/>
        <v>1980.7839731025251</v>
      </c>
      <c r="W275" s="294">
        <f>R276</f>
        <v>2238.5526305111216</v>
      </c>
      <c r="X275" s="184">
        <f t="shared" si="1377"/>
        <v>1621.8990419797501</v>
      </c>
      <c r="Y275" s="184">
        <f t="shared" si="1377"/>
        <v>2023.405317523521</v>
      </c>
      <c r="Z275" s="184">
        <f t="shared" si="1377"/>
        <v>1560.350275370869</v>
      </c>
      <c r="AA275" s="184">
        <f t="shared" si="1377"/>
        <v>1445.165331372762</v>
      </c>
      <c r="AB275" s="294">
        <f>W276</f>
        <v>1621.8990419797501</v>
      </c>
      <c r="AC275" s="184">
        <f t="shared" si="1377"/>
        <v>1097.0829644749183</v>
      </c>
      <c r="AD275" s="184">
        <f t="shared" si="1377"/>
        <v>1436.3384298427618</v>
      </c>
      <c r="AE275" s="184">
        <f t="shared" si="1377"/>
        <v>848.92401754428408</v>
      </c>
      <c r="AF275" s="184">
        <f t="shared" si="1377"/>
        <v>634.11536562568779</v>
      </c>
      <c r="AG275" s="294">
        <f>AB276</f>
        <v>1097.0829644749183</v>
      </c>
      <c r="AH275" s="184">
        <f t="shared" si="1377"/>
        <v>173.82864827005233</v>
      </c>
      <c r="AI275" s="184">
        <f t="shared" si="1377"/>
        <v>231.48368077486248</v>
      </c>
      <c r="AJ275" s="184">
        <f t="shared" si="1377"/>
        <v>-693.6949534390377</v>
      </c>
      <c r="AK275" s="184">
        <f t="shared" si="1377"/>
        <v>-1217.9569806880982</v>
      </c>
      <c r="AL275" s="294">
        <f>AG276</f>
        <v>173.82864827005233</v>
      </c>
    </row>
    <row r="276" spans="1:38" outlineLevel="1" x14ac:dyDescent="0.2">
      <c r="A276" s="167"/>
      <c r="B276" s="452" t="s">
        <v>65</v>
      </c>
      <c r="C276" s="453"/>
      <c r="D276" s="199">
        <f>+D275+D274+0.1</f>
        <v>4761.6000000000004</v>
      </c>
      <c r="E276" s="199">
        <f t="shared" ref="E276" si="1378">+E275+E274</f>
        <v>2055.1000000000004</v>
      </c>
      <c r="F276" s="199">
        <f t="shared" ref="F276" si="1379">+F275+F274</f>
        <v>4763.4000000000015</v>
      </c>
      <c r="G276" s="199">
        <f t="shared" ref="G276" si="1380">+G275+G274</f>
        <v>2686.6000000000022</v>
      </c>
      <c r="H276" s="295">
        <f>+D275+H274</f>
        <v>2686.5000000000055</v>
      </c>
      <c r="I276" s="199">
        <f>+I275+I274+0.1</f>
        <v>3040.5000000000036</v>
      </c>
      <c r="J276" s="199">
        <f t="shared" ref="J276:R276" si="1381">+J275+J274</f>
        <v>2572.3000000000029</v>
      </c>
      <c r="K276" s="199">
        <f t="shared" si="1381"/>
        <v>3965.9000000000042</v>
      </c>
      <c r="L276" s="199">
        <f t="shared" si="1381"/>
        <v>3510.7626443626768</v>
      </c>
      <c r="M276" s="295">
        <f t="shared" si="1381"/>
        <v>3510.6626443626765</v>
      </c>
      <c r="N276" s="199">
        <f t="shared" si="1381"/>
        <v>3681.5614329346117</v>
      </c>
      <c r="O276" s="199">
        <f t="shared" si="1381"/>
        <v>3169.3807674837262</v>
      </c>
      <c r="P276" s="199">
        <f t="shared" si="1381"/>
        <v>2563.0253241571982</v>
      </c>
      <c r="Q276" s="199">
        <f t="shared" si="1381"/>
        <v>2238.5526305111189</v>
      </c>
      <c r="R276" s="295">
        <f t="shared" si="1381"/>
        <v>2238.5526305111216</v>
      </c>
      <c r="S276" s="199">
        <f t="shared" ref="S276:AL276" si="1382">+S275+S274</f>
        <v>2594.6484044853055</v>
      </c>
      <c r="T276" s="199">
        <f t="shared" si="1382"/>
        <v>2127.0115522110636</v>
      </c>
      <c r="U276" s="199">
        <f t="shared" si="1382"/>
        <v>1980.7839731025251</v>
      </c>
      <c r="V276" s="199">
        <f t="shared" si="1382"/>
        <v>1621.8990419797519</v>
      </c>
      <c r="W276" s="295">
        <f t="shared" si="1382"/>
        <v>1621.8990419797501</v>
      </c>
      <c r="X276" s="199">
        <f t="shared" si="1382"/>
        <v>2023.405317523521</v>
      </c>
      <c r="Y276" s="199">
        <f t="shared" si="1382"/>
        <v>1560.350275370869</v>
      </c>
      <c r="Z276" s="199">
        <f t="shared" si="1382"/>
        <v>1445.165331372762</v>
      </c>
      <c r="AA276" s="199">
        <f t="shared" si="1382"/>
        <v>1097.0829644749131</v>
      </c>
      <c r="AB276" s="295">
        <f t="shared" si="1382"/>
        <v>1097.0829644749183</v>
      </c>
      <c r="AC276" s="199">
        <f t="shared" si="1382"/>
        <v>1436.3384298427618</v>
      </c>
      <c r="AD276" s="199">
        <f t="shared" si="1382"/>
        <v>848.92401754428408</v>
      </c>
      <c r="AE276" s="199">
        <f t="shared" si="1382"/>
        <v>634.11536562568779</v>
      </c>
      <c r="AF276" s="199">
        <f t="shared" si="1382"/>
        <v>173.82864827005994</v>
      </c>
      <c r="AG276" s="295">
        <f t="shared" si="1382"/>
        <v>173.82864827005233</v>
      </c>
      <c r="AH276" s="199">
        <f t="shared" si="1382"/>
        <v>231.48368077486248</v>
      </c>
      <c r="AI276" s="199">
        <f t="shared" si="1382"/>
        <v>-693.6949534390377</v>
      </c>
      <c r="AJ276" s="199">
        <f t="shared" si="1382"/>
        <v>-1217.9569806880982</v>
      </c>
      <c r="AK276" s="199">
        <f t="shared" si="1382"/>
        <v>-1999.8582529559308</v>
      </c>
      <c r="AL276" s="295">
        <f t="shared" si="1382"/>
        <v>-1999.8582529559353</v>
      </c>
    </row>
    <row r="277" spans="1:38" s="34" customFormat="1" outlineLevel="1" x14ac:dyDescent="0.2">
      <c r="A277" s="232"/>
      <c r="B277" s="448" t="s">
        <v>49</v>
      </c>
      <c r="C277" s="449"/>
      <c r="D277" s="162">
        <f t="shared" ref="D277:K277" si="1383">D257-(-D260)</f>
        <v>1947.6000000000004</v>
      </c>
      <c r="E277" s="162">
        <f t="shared" si="1383"/>
        <v>-23.800000000000352</v>
      </c>
      <c r="F277" s="162">
        <f t="shared" si="1383"/>
        <v>734.30000000000098</v>
      </c>
      <c r="G277" s="162">
        <f t="shared" si="1383"/>
        <v>582.20000000000084</v>
      </c>
      <c r="H277" s="163">
        <f t="shared" si="1383"/>
        <v>3240.3000000000052</v>
      </c>
      <c r="I277" s="162">
        <f>I257-(-I260)+((-I30*(1-$C$314)))</f>
        <v>1530.8208724377475</v>
      </c>
      <c r="J277" s="162">
        <f>J257-(-J260)+((-J30*(1-$C$314)))</f>
        <v>-1629.2078286634969</v>
      </c>
      <c r="K277" s="162">
        <f>K257-(-K260)+((-K30*(1-$C$314)))</f>
        <v>-630.78453329183731</v>
      </c>
      <c r="L277" s="162">
        <f>L257-(-L260)+((-L30*(1-$C$314)))</f>
        <v>499.42569202897477</v>
      </c>
      <c r="M277" s="163">
        <f>SUM(I277:L277)</f>
        <v>-229.74579748861191</v>
      </c>
      <c r="N277" s="162">
        <f>N257-(-N260)+((-N30*(1-$C$314)))</f>
        <v>1306.077297793315</v>
      </c>
      <c r="O277" s="162">
        <f>O257-(-O260)+((-O30*(1-$C$314)))</f>
        <v>586.99556638614592</v>
      </c>
      <c r="P277" s="162">
        <f>P257-(-P260)+((-P30*(1-$C$314)))</f>
        <v>504.91683644395005</v>
      </c>
      <c r="Q277" s="162">
        <f>Q257-(-Q260)+((-Q30*(1-$C$314)))</f>
        <v>823.49442792794559</v>
      </c>
      <c r="R277" s="163">
        <f>SUM(N277:Q277)</f>
        <v>3221.4841285513567</v>
      </c>
      <c r="S277" s="162">
        <f>S257-(-S260)+((-S30*(1-$C$314)))</f>
        <v>1324.75968686701</v>
      </c>
      <c r="T277" s="162">
        <f>T257-(-T260)+((-T30*(1-$C$314)))</f>
        <v>461.75304484706942</v>
      </c>
      <c r="U277" s="162">
        <f>U257-(-U260)+((-U30*(1-$C$314)))</f>
        <v>809.67076824580442</v>
      </c>
      <c r="V277" s="162">
        <f>V257-(-V260)+((-V30*(1-$C$314)))</f>
        <v>619.2013068642641</v>
      </c>
      <c r="W277" s="163">
        <f>SUM(S277:V277)</f>
        <v>3215.3848068241482</v>
      </c>
      <c r="X277" s="162">
        <f>X257-(-X260)+((-X30*(1-$C$314)))</f>
        <v>1389.4918990068047</v>
      </c>
      <c r="Y277" s="162">
        <f>Y257-(-Y260)+((-Y30*(1-$C$314)))</f>
        <v>482.99909447084127</v>
      </c>
      <c r="Z277" s="162">
        <f>Z257-(-Z260)+((-Z30*(1-$C$314)))</f>
        <v>858.94780197469902</v>
      </c>
      <c r="AA277" s="162">
        <f>AA257-(-AA260)+((-AA30*(1-$C$314)))</f>
        <v>648.37780266159734</v>
      </c>
      <c r="AB277" s="163">
        <f>SUM(X277:AA277)</f>
        <v>3379.8165981139423</v>
      </c>
      <c r="AC277" s="162">
        <f>AC257-(-AC260)+((-AC30*(1-$C$314)))</f>
        <v>1478.677343215317</v>
      </c>
      <c r="AD277" s="162">
        <f>AD257-(-AD260)+((-AD30*(1-$C$314)))</f>
        <v>504.71985407701533</v>
      </c>
      <c r="AE277" s="162">
        <f>AE257-(-AE260)+((-AE30*(1-$C$314)))</f>
        <v>907.03243019974741</v>
      </c>
      <c r="AF277" s="162">
        <f>AF257-(-AF260)+((-AF30*(1-$C$314)))</f>
        <v>683.36378863532786</v>
      </c>
      <c r="AG277" s="163">
        <f>SUM(AC277:AF277)</f>
        <v>3573.7934161274079</v>
      </c>
      <c r="AH277" s="162">
        <f>AH257-(-AH260)+((-AH30*(1-$C$314)))</f>
        <v>1565.9912422324014</v>
      </c>
      <c r="AI277" s="162">
        <f>AI257-(-AI260)+((-AI30*(1-$C$314)))</f>
        <v>530.46513299204798</v>
      </c>
      <c r="AJ277" s="162">
        <f>AJ257-(-AJ260)+((-AJ30*(1-$C$314)))</f>
        <v>959.29930694142263</v>
      </c>
      <c r="AK277" s="162">
        <f>AK257-(-AK260)+((-AK30*(1-$C$314)))</f>
        <v>721.35620077236115</v>
      </c>
      <c r="AL277" s="163">
        <f>SUM(AH277:AK277)</f>
        <v>3777.1118829382331</v>
      </c>
    </row>
    <row r="278" spans="1:38" s="34" customFormat="1" outlineLevel="1" x14ac:dyDescent="0.2">
      <c r="A278" s="232"/>
      <c r="B278" s="42" t="s">
        <v>33</v>
      </c>
      <c r="C278" s="37"/>
      <c r="D278" s="73"/>
      <c r="E278" s="73"/>
      <c r="F278" s="225"/>
      <c r="G278" s="73"/>
      <c r="H278" s="74"/>
      <c r="I278" s="73"/>
      <c r="J278" s="73"/>
      <c r="K278" s="73"/>
      <c r="L278" s="73"/>
      <c r="M278" s="74">
        <v>0</v>
      </c>
      <c r="N278" s="73"/>
      <c r="O278" s="73"/>
      <c r="P278" s="73"/>
      <c r="Q278" s="73"/>
      <c r="R278" s="74">
        <f>M278+1</f>
        <v>1</v>
      </c>
      <c r="S278" s="73"/>
      <c r="T278" s="73"/>
      <c r="U278" s="73"/>
      <c r="V278" s="73"/>
      <c r="W278" s="74">
        <f>R278+1</f>
        <v>2</v>
      </c>
      <c r="X278" s="73"/>
      <c r="Y278" s="73"/>
      <c r="Z278" s="73"/>
      <c r="AA278" s="73"/>
      <c r="AB278" s="74">
        <f>W278+1</f>
        <v>3</v>
      </c>
      <c r="AC278" s="73"/>
      <c r="AD278" s="73"/>
      <c r="AE278" s="73"/>
      <c r="AF278" s="73"/>
      <c r="AG278" s="74">
        <f>AB278+1</f>
        <v>4</v>
      </c>
      <c r="AH278" s="73"/>
      <c r="AI278" s="73"/>
      <c r="AJ278" s="73"/>
      <c r="AK278" s="73"/>
      <c r="AL278" s="74">
        <f>AG278+1</f>
        <v>5</v>
      </c>
    </row>
    <row r="279" spans="1:38" s="34" customFormat="1" outlineLevel="1" x14ac:dyDescent="0.2">
      <c r="A279" s="232"/>
      <c r="B279" s="446" t="s">
        <v>24</v>
      </c>
      <c r="C279" s="447"/>
      <c r="D279" s="75"/>
      <c r="E279" s="75"/>
      <c r="F279" s="75"/>
      <c r="G279" s="75"/>
      <c r="H279" s="76"/>
      <c r="I279" s="75"/>
      <c r="J279" s="75"/>
      <c r="K279" s="75"/>
      <c r="L279" s="75"/>
      <c r="M279" s="76">
        <f>M277/(1+$C$316)^M278</f>
        <v>-229.74579748861191</v>
      </c>
      <c r="N279" s="75"/>
      <c r="O279" s="75"/>
      <c r="P279" s="75"/>
      <c r="Q279" s="75"/>
      <c r="R279" s="76">
        <f>R277/(1+$C$316)^R278</f>
        <v>3148.5154104235203</v>
      </c>
      <c r="S279" s="75"/>
      <c r="T279" s="75"/>
      <c r="U279" s="75"/>
      <c r="V279" s="75"/>
      <c r="W279" s="76">
        <f>W277/(1+$C$316)^W278</f>
        <v>3071.3733376261998</v>
      </c>
      <c r="X279" s="75"/>
      <c r="Y279" s="75"/>
      <c r="Z279" s="75"/>
      <c r="AA279" s="75"/>
      <c r="AB279" s="76">
        <f>AB277/(1+$C$316)^AB278</f>
        <v>3155.3142313481403</v>
      </c>
      <c r="AC279" s="75"/>
      <c r="AD279" s="75"/>
      <c r="AE279" s="75"/>
      <c r="AF279" s="75"/>
      <c r="AG279" s="76">
        <f>AG277/(1+$C$316)^AG278</f>
        <v>3260.8344719711899</v>
      </c>
      <c r="AH279" s="75"/>
      <c r="AI279" s="75"/>
      <c r="AJ279" s="75"/>
      <c r="AK279" s="75"/>
      <c r="AL279" s="76">
        <f>AL277/(1+$C$316)^AL278</f>
        <v>3368.2861982190743</v>
      </c>
    </row>
    <row r="280" spans="1:38" outlineLevel="1" x14ac:dyDescent="0.2">
      <c r="A280" s="167"/>
      <c r="B280" s="53" t="s">
        <v>39</v>
      </c>
      <c r="C280" s="67"/>
      <c r="D280" s="15"/>
      <c r="E280" s="15"/>
      <c r="F280" s="15"/>
      <c r="G280" s="15"/>
      <c r="H280" s="16"/>
      <c r="I280" s="15"/>
      <c r="J280" s="15"/>
      <c r="K280" s="15"/>
      <c r="L280" s="15"/>
      <c r="M280" s="16"/>
      <c r="N280" s="15"/>
      <c r="O280" s="15"/>
      <c r="P280" s="15"/>
      <c r="Q280" s="15"/>
      <c r="R280" s="16"/>
      <c r="S280" s="15"/>
      <c r="T280" s="15"/>
      <c r="U280" s="15"/>
      <c r="V280" s="15"/>
      <c r="W280" s="16"/>
      <c r="X280" s="15"/>
      <c r="Y280" s="15"/>
      <c r="Z280" s="15"/>
      <c r="AA280" s="15"/>
      <c r="AB280" s="16"/>
      <c r="AC280" s="15"/>
      <c r="AD280" s="15"/>
      <c r="AE280" s="15"/>
      <c r="AF280" s="15"/>
      <c r="AG280" s="16"/>
      <c r="AH280" s="15"/>
      <c r="AI280" s="15"/>
      <c r="AJ280" s="15"/>
      <c r="AK280" s="15"/>
      <c r="AL280" s="16"/>
    </row>
    <row r="281" spans="1:38" outlineLevel="1" x14ac:dyDescent="0.2">
      <c r="A281" s="167"/>
      <c r="B281" s="60" t="s">
        <v>211</v>
      </c>
      <c r="C281" s="61"/>
      <c r="D281" s="25">
        <f t="shared" ref="D281:AL281" si="1384">+D184+D185+D190</f>
        <v>5256.8</v>
      </c>
      <c r="E281" s="25">
        <f t="shared" si="1384"/>
        <v>2383.6000000000004</v>
      </c>
      <c r="F281" s="25">
        <f t="shared" si="1384"/>
        <v>5058.1000000000022</v>
      </c>
      <c r="G281" s="25">
        <f t="shared" si="1384"/>
        <v>2977.1000000000022</v>
      </c>
      <c r="H281" s="26">
        <f t="shared" si="1384"/>
        <v>2977.1000000000022</v>
      </c>
      <c r="I281" s="25">
        <f t="shared" si="1384"/>
        <v>3308.7000000000039</v>
      </c>
      <c r="J281" s="25">
        <f t="shared" si="1384"/>
        <v>2824.0000000000032</v>
      </c>
      <c r="K281" s="25">
        <f t="shared" si="1384"/>
        <v>4419.2000000000035</v>
      </c>
      <c r="L281" s="25">
        <f t="shared" si="1384"/>
        <v>3794.9043313407255</v>
      </c>
      <c r="M281" s="277">
        <f t="shared" si="1384"/>
        <v>3794.9043313407255</v>
      </c>
      <c r="N281" s="277">
        <f t="shared" si="1384"/>
        <v>3966.155224474338</v>
      </c>
      <c r="O281" s="377">
        <f t="shared" si="1384"/>
        <v>3443.1024856128565</v>
      </c>
      <c r="P281" s="377">
        <f t="shared" si="1384"/>
        <v>2831.005372876095</v>
      </c>
      <c r="Q281" s="376">
        <f t="shared" si="1384"/>
        <v>2505.4071529462353</v>
      </c>
      <c r="R281" s="277">
        <f t="shared" si="1384"/>
        <v>2505.4071529462353</v>
      </c>
      <c r="S281" s="277">
        <f t="shared" si="1384"/>
        <v>2864.668636840629</v>
      </c>
      <c r="T281" s="377">
        <f t="shared" si="1384"/>
        <v>2387.4425232388039</v>
      </c>
      <c r="U281" s="377">
        <f t="shared" si="1384"/>
        <v>2241.4356835840836</v>
      </c>
      <c r="V281" s="376">
        <f t="shared" si="1384"/>
        <v>1882.1592334224397</v>
      </c>
      <c r="W281" s="277">
        <f t="shared" si="1384"/>
        <v>1882.1592334224397</v>
      </c>
      <c r="X281" s="277">
        <f t="shared" si="1384"/>
        <v>2287.5568347756175</v>
      </c>
      <c r="Y281" s="377">
        <f t="shared" si="1384"/>
        <v>1814.8793259272425</v>
      </c>
      <c r="Z281" s="377">
        <f t="shared" si="1384"/>
        <v>1700.5653624749741</v>
      </c>
      <c r="AA281" s="376">
        <f t="shared" si="1384"/>
        <v>1352.6047192212895</v>
      </c>
      <c r="AB281" s="277">
        <f t="shared" si="1384"/>
        <v>1352.6047192212895</v>
      </c>
      <c r="AC281" s="277">
        <f t="shared" si="1384"/>
        <v>1695.3660151138763</v>
      </c>
      <c r="AD281" s="377">
        <f t="shared" si="1384"/>
        <v>1096.9246447617425</v>
      </c>
      <c r="AE281" s="377">
        <f t="shared" si="1384"/>
        <v>882.26468288735032</v>
      </c>
      <c r="AF281" s="376">
        <f t="shared" si="1384"/>
        <v>421.3330529275234</v>
      </c>
      <c r="AG281" s="277">
        <f t="shared" si="1384"/>
        <v>421.3330529275234</v>
      </c>
      <c r="AH281" s="277">
        <f t="shared" si="1384"/>
        <v>480.01097060071231</v>
      </c>
      <c r="AI281" s="377">
        <f t="shared" si="1384"/>
        <v>-459.827257346755</v>
      </c>
      <c r="AJ281" s="377">
        <f t="shared" si="1384"/>
        <v>-986.7982117263075</v>
      </c>
      <c r="AK281" s="376">
        <f t="shared" si="1384"/>
        <v>-1772.2283494718667</v>
      </c>
      <c r="AL281" s="26">
        <f t="shared" si="1384"/>
        <v>-1772.2283494718667</v>
      </c>
    </row>
    <row r="282" spans="1:38" outlineLevel="1" x14ac:dyDescent="0.2">
      <c r="A282" s="167"/>
      <c r="B282" s="60" t="s">
        <v>50</v>
      </c>
      <c r="C282" s="61"/>
      <c r="D282" s="25">
        <f t="shared" ref="D282:K282" si="1385">D206+D209</f>
        <v>9130.7000000000007</v>
      </c>
      <c r="E282" s="25">
        <f t="shared" si="1385"/>
        <v>9216.5</v>
      </c>
      <c r="F282" s="25">
        <f t="shared" si="1385"/>
        <v>11159.1</v>
      </c>
      <c r="G282" s="25">
        <f t="shared" si="1385"/>
        <v>11167</v>
      </c>
      <c r="H282" s="26">
        <f t="shared" si="1385"/>
        <v>11167</v>
      </c>
      <c r="I282" s="25">
        <f t="shared" si="1385"/>
        <v>11649.800000000001</v>
      </c>
      <c r="J282" s="25">
        <f t="shared" si="1385"/>
        <v>14015.2</v>
      </c>
      <c r="K282" s="25">
        <f t="shared" si="1385"/>
        <v>16831.7</v>
      </c>
      <c r="L282" s="25">
        <f t="shared" ref="L282:AL282" si="1386">L206+L209</f>
        <v>16394.7</v>
      </c>
      <c r="M282" s="277">
        <f t="shared" si="1386"/>
        <v>16394.7</v>
      </c>
      <c r="N282" s="277">
        <f t="shared" si="1386"/>
        <v>15957.7</v>
      </c>
      <c r="O282" s="377">
        <f t="shared" si="1386"/>
        <v>15520.7</v>
      </c>
      <c r="P282" s="377">
        <f t="shared" si="1386"/>
        <v>15083.7</v>
      </c>
      <c r="Q282" s="377">
        <f t="shared" si="1386"/>
        <v>14645.6</v>
      </c>
      <c r="R282" s="277">
        <f t="shared" si="1386"/>
        <v>14645.6</v>
      </c>
      <c r="S282" s="277">
        <f t="shared" si="1386"/>
        <v>14395.6</v>
      </c>
      <c r="T282" s="377">
        <f t="shared" si="1386"/>
        <v>14145.6</v>
      </c>
      <c r="U282" s="377">
        <f t="shared" si="1386"/>
        <v>13895.6</v>
      </c>
      <c r="V282" s="377">
        <f t="shared" si="1386"/>
        <v>13645.6</v>
      </c>
      <c r="W282" s="26">
        <f t="shared" si="1386"/>
        <v>13645.6</v>
      </c>
      <c r="X282" s="277">
        <f t="shared" si="1386"/>
        <v>13395.6</v>
      </c>
      <c r="Y282" s="377">
        <f t="shared" si="1386"/>
        <v>13145.6</v>
      </c>
      <c r="Z282" s="377">
        <f t="shared" si="1386"/>
        <v>12895.6</v>
      </c>
      <c r="AA282" s="377">
        <f t="shared" si="1386"/>
        <v>12645.6</v>
      </c>
      <c r="AB282" s="26">
        <f t="shared" si="1386"/>
        <v>12645.6</v>
      </c>
      <c r="AC282" s="277">
        <f t="shared" si="1386"/>
        <v>12259.6</v>
      </c>
      <c r="AD282" s="377">
        <f t="shared" si="1386"/>
        <v>11874.6</v>
      </c>
      <c r="AE282" s="377">
        <f t="shared" si="1386"/>
        <v>11488.6</v>
      </c>
      <c r="AF282" s="377">
        <f t="shared" si="1386"/>
        <v>11102.6</v>
      </c>
      <c r="AG282" s="26">
        <f t="shared" si="1386"/>
        <v>11102.6</v>
      </c>
      <c r="AH282" s="277">
        <f t="shared" si="1386"/>
        <v>10352.6</v>
      </c>
      <c r="AI282" s="377">
        <f t="shared" si="1386"/>
        <v>9602.6</v>
      </c>
      <c r="AJ282" s="377">
        <f t="shared" si="1386"/>
        <v>8852.6</v>
      </c>
      <c r="AK282" s="377">
        <f t="shared" si="1386"/>
        <v>8102.6</v>
      </c>
      <c r="AL282" s="26">
        <f t="shared" si="1386"/>
        <v>8102.6</v>
      </c>
    </row>
    <row r="283" spans="1:38" outlineLevel="1" x14ac:dyDescent="0.2">
      <c r="A283" s="167"/>
      <c r="B283" s="450" t="s">
        <v>51</v>
      </c>
      <c r="C283" s="451"/>
      <c r="D283" s="56">
        <f t="shared" ref="D283:AL283" si="1387">(D281-D282)/D39</f>
        <v>-3.0907132599329823</v>
      </c>
      <c r="E283" s="56">
        <f t="shared" si="1387"/>
        <v>-5.4632605740785154</v>
      </c>
      <c r="F283" s="56">
        <f t="shared" si="1387"/>
        <v>-4.9885527391659839</v>
      </c>
      <c r="G283" s="56">
        <f t="shared" si="1387"/>
        <v>-6.6975821179389685</v>
      </c>
      <c r="H283" s="57">
        <f t="shared" si="1387"/>
        <v>-6.6411774245864397</v>
      </c>
      <c r="I283" s="56">
        <f t="shared" si="1387"/>
        <v>-7.0034424853064623</v>
      </c>
      <c r="J283" s="56">
        <f t="shared" si="1387"/>
        <v>-9.4784449902600123</v>
      </c>
      <c r="K283" s="56">
        <f t="shared" si="1387"/>
        <v>-10.62259306803594</v>
      </c>
      <c r="L283" s="56">
        <f t="shared" si="1387"/>
        <v>-10.82057655739316</v>
      </c>
      <c r="M283" s="57">
        <f t="shared" si="1387"/>
        <v>-10.480132682175528</v>
      </c>
      <c r="N283" s="56">
        <f t="shared" si="1387"/>
        <v>-10.38950301318893</v>
      </c>
      <c r="O283" s="56">
        <f t="shared" si="1387"/>
        <v>-10.535574808498904</v>
      </c>
      <c r="P283" s="56">
        <f t="shared" si="1387"/>
        <v>-10.769995672754302</v>
      </c>
      <c r="Q283" s="56">
        <f t="shared" si="1387"/>
        <v>-10.742356427731817</v>
      </c>
      <c r="R283" s="57">
        <f t="shared" si="1387"/>
        <v>-10.639610649950004</v>
      </c>
      <c r="S283" s="56">
        <f t="shared" si="1387"/>
        <v>-10.27982551971068</v>
      </c>
      <c r="T283" s="56">
        <f t="shared" si="1387"/>
        <v>-10.55770907407272</v>
      </c>
      <c r="U283" s="56">
        <f t="shared" si="1387"/>
        <v>-10.540432984655483</v>
      </c>
      <c r="V283" s="56">
        <f t="shared" si="1387"/>
        <v>-10.715657601130374</v>
      </c>
      <c r="W283" s="57">
        <f t="shared" si="1387"/>
        <v>-10.609604882303639</v>
      </c>
      <c r="X283" s="56">
        <f t="shared" si="1387"/>
        <v>-10.192565775161768</v>
      </c>
      <c r="Y283" s="56">
        <f t="shared" si="1387"/>
        <v>-10.472337061372679</v>
      </c>
      <c r="Z283" s="56">
        <f t="shared" si="1387"/>
        <v>-10.422201688864716</v>
      </c>
      <c r="AA283" s="56">
        <f t="shared" si="1387"/>
        <v>-10.5898905581971</v>
      </c>
      <c r="AB283" s="57">
        <f t="shared" si="1387"/>
        <v>-10.483813342122033</v>
      </c>
      <c r="AC283" s="56">
        <f t="shared" si="1387"/>
        <v>-9.978815555044223</v>
      </c>
      <c r="AD283" s="56">
        <f t="shared" si="1387"/>
        <v>-10.254727059251275</v>
      </c>
      <c r="AE283" s="56">
        <f t="shared" si="1387"/>
        <v>-10.165457794249095</v>
      </c>
      <c r="AF283" s="56">
        <f t="shared" si="1387"/>
        <v>-10.312184492387852</v>
      </c>
      <c r="AG283" s="57">
        <f t="shared" si="1387"/>
        <v>-10.208070600793477</v>
      </c>
      <c r="AH283" s="56">
        <f t="shared" si="1387"/>
        <v>-9.6012961749940278</v>
      </c>
      <c r="AI283" s="56">
        <f t="shared" si="1387"/>
        <v>-9.8577002194801402</v>
      </c>
      <c r="AJ283" s="56">
        <f t="shared" si="1387"/>
        <v>-9.7100065415549199</v>
      </c>
      <c r="AK283" s="56">
        <f t="shared" si="1387"/>
        <v>-9.816634998089766</v>
      </c>
      <c r="AL283" s="57">
        <f t="shared" si="1387"/>
        <v>-9.7168599026829412</v>
      </c>
    </row>
    <row r="284" spans="1:38" x14ac:dyDescent="0.2">
      <c r="A284" s="167"/>
      <c r="B284" s="445"/>
      <c r="C284" s="445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</row>
    <row r="285" spans="1:38" ht="16" x14ac:dyDescent="0.2">
      <c r="A285" s="167"/>
      <c r="B285" s="417" t="s">
        <v>22</v>
      </c>
      <c r="C285" s="436"/>
      <c r="D285" s="22" t="s">
        <v>59</v>
      </c>
      <c r="E285" s="22" t="s">
        <v>213</v>
      </c>
      <c r="F285" s="22" t="s">
        <v>215</v>
      </c>
      <c r="G285" s="22" t="s">
        <v>73</v>
      </c>
      <c r="H285" s="77" t="s">
        <v>73</v>
      </c>
      <c r="I285" s="22" t="s">
        <v>74</v>
      </c>
      <c r="J285" s="22" t="s">
        <v>75</v>
      </c>
      <c r="K285" s="22" t="s">
        <v>76</v>
      </c>
      <c r="L285" s="24" t="s">
        <v>77</v>
      </c>
      <c r="M285" s="79" t="s">
        <v>77</v>
      </c>
      <c r="N285" s="24" t="s">
        <v>78</v>
      </c>
      <c r="O285" s="24" t="s">
        <v>79</v>
      </c>
      <c r="P285" s="24" t="s">
        <v>80</v>
      </c>
      <c r="Q285" s="24" t="s">
        <v>81</v>
      </c>
      <c r="R285" s="79" t="s">
        <v>81</v>
      </c>
      <c r="S285" s="24" t="s">
        <v>82</v>
      </c>
      <c r="T285" s="24" t="s">
        <v>83</v>
      </c>
      <c r="U285" s="24" t="s">
        <v>84</v>
      </c>
      <c r="V285" s="24" t="s">
        <v>85</v>
      </c>
      <c r="W285" s="79" t="s">
        <v>85</v>
      </c>
      <c r="X285" s="24" t="s">
        <v>86</v>
      </c>
      <c r="Y285" s="24" t="s">
        <v>87</v>
      </c>
      <c r="Z285" s="24" t="s">
        <v>88</v>
      </c>
      <c r="AA285" s="24" t="s">
        <v>89</v>
      </c>
      <c r="AB285" s="79" t="s">
        <v>89</v>
      </c>
      <c r="AC285" s="24" t="s">
        <v>217</v>
      </c>
      <c r="AD285" s="24" t="s">
        <v>218</v>
      </c>
      <c r="AE285" s="24" t="s">
        <v>219</v>
      </c>
      <c r="AF285" s="24" t="s">
        <v>220</v>
      </c>
      <c r="AG285" s="79" t="s">
        <v>220</v>
      </c>
      <c r="AH285" s="24" t="s">
        <v>250</v>
      </c>
      <c r="AI285" s="24" t="s">
        <v>251</v>
      </c>
      <c r="AJ285" s="24" t="s">
        <v>252</v>
      </c>
      <c r="AK285" s="24" t="s">
        <v>253</v>
      </c>
      <c r="AL285" s="79" t="s">
        <v>253</v>
      </c>
    </row>
    <row r="286" spans="1:38" ht="18" x14ac:dyDescent="0.35">
      <c r="A286" s="167"/>
      <c r="B286" s="432"/>
      <c r="C286" s="433"/>
      <c r="D286" s="23" t="s">
        <v>72</v>
      </c>
      <c r="E286" s="23" t="s">
        <v>212</v>
      </c>
      <c r="F286" s="23" t="s">
        <v>216</v>
      </c>
      <c r="G286" s="23" t="s">
        <v>226</v>
      </c>
      <c r="H286" s="78" t="s">
        <v>227</v>
      </c>
      <c r="I286" s="23" t="s">
        <v>228</v>
      </c>
      <c r="J286" s="23" t="s">
        <v>229</v>
      </c>
      <c r="K286" s="23" t="s">
        <v>230</v>
      </c>
      <c r="L286" s="21" t="s">
        <v>90</v>
      </c>
      <c r="M286" s="80" t="s">
        <v>91</v>
      </c>
      <c r="N286" s="21" t="s">
        <v>92</v>
      </c>
      <c r="O286" s="21" t="s">
        <v>93</v>
      </c>
      <c r="P286" s="21" t="s">
        <v>94</v>
      </c>
      <c r="Q286" s="21" t="s">
        <v>95</v>
      </c>
      <c r="R286" s="80" t="s">
        <v>96</v>
      </c>
      <c r="S286" s="21" t="s">
        <v>97</v>
      </c>
      <c r="T286" s="21" t="s">
        <v>98</v>
      </c>
      <c r="U286" s="21" t="s">
        <v>99</v>
      </c>
      <c r="V286" s="21" t="s">
        <v>100</v>
      </c>
      <c r="W286" s="80" t="s">
        <v>101</v>
      </c>
      <c r="X286" s="21" t="s">
        <v>102</v>
      </c>
      <c r="Y286" s="21" t="s">
        <v>103</v>
      </c>
      <c r="Z286" s="21" t="s">
        <v>104</v>
      </c>
      <c r="AA286" s="21" t="s">
        <v>105</v>
      </c>
      <c r="AB286" s="80" t="s">
        <v>106</v>
      </c>
      <c r="AC286" s="21" t="s">
        <v>221</v>
      </c>
      <c r="AD286" s="21" t="s">
        <v>222</v>
      </c>
      <c r="AE286" s="21" t="s">
        <v>223</v>
      </c>
      <c r="AF286" s="21" t="s">
        <v>224</v>
      </c>
      <c r="AG286" s="80" t="s">
        <v>225</v>
      </c>
      <c r="AH286" s="21" t="s">
        <v>254</v>
      </c>
      <c r="AI286" s="21" t="s">
        <v>255</v>
      </c>
      <c r="AJ286" s="21" t="s">
        <v>256</v>
      </c>
      <c r="AK286" s="21" t="s">
        <v>257</v>
      </c>
      <c r="AL286" s="80" t="s">
        <v>258</v>
      </c>
    </row>
    <row r="287" spans="1:38" ht="18" outlineLevel="1" x14ac:dyDescent="0.35">
      <c r="A287" s="167"/>
      <c r="B287" s="430" t="s">
        <v>53</v>
      </c>
      <c r="C287" s="431"/>
      <c r="D287" s="9"/>
      <c r="E287" s="9"/>
      <c r="F287" s="9"/>
      <c r="G287" s="9"/>
      <c r="H287" s="10"/>
      <c r="I287" s="9"/>
      <c r="J287" s="9"/>
      <c r="K287" s="9"/>
      <c r="L287" s="331"/>
      <c r="M287" s="332"/>
      <c r="N287" s="331"/>
      <c r="O287" s="331"/>
      <c r="P287" s="331"/>
      <c r="Q287" s="331"/>
      <c r="R287" s="332"/>
      <c r="S287" s="331"/>
      <c r="T287" s="331"/>
      <c r="U287" s="331"/>
      <c r="V287" s="331"/>
      <c r="W287" s="332"/>
      <c r="X287" s="331"/>
      <c r="Y287" s="331"/>
      <c r="Z287" s="331"/>
      <c r="AA287" s="331"/>
      <c r="AB287" s="332"/>
      <c r="AC287" s="331"/>
      <c r="AD287" s="331"/>
      <c r="AE287" s="331"/>
      <c r="AF287" s="331"/>
      <c r="AG287" s="332"/>
      <c r="AH287" s="331"/>
      <c r="AI287" s="331"/>
      <c r="AJ287" s="331"/>
      <c r="AK287" s="331"/>
      <c r="AL287" s="332"/>
    </row>
    <row r="288" spans="1:38" s="34" customFormat="1" outlineLevel="1" x14ac:dyDescent="0.2">
      <c r="A288" s="232"/>
      <c r="B288" s="60" t="s">
        <v>56</v>
      </c>
      <c r="C288" s="61"/>
      <c r="D288" s="40">
        <f t="shared" ref="D288:K288" si="1388">D247/D16</f>
        <v>1.4669742337208073E-2</v>
      </c>
      <c r="E288" s="230">
        <f t="shared" si="1388"/>
        <v>1.5033540018078308E-2</v>
      </c>
      <c r="F288" s="192">
        <f t="shared" si="1388"/>
        <v>9.2774439396160081E-3</v>
      </c>
      <c r="G288" s="192">
        <f t="shared" si="1388"/>
        <v>7.7960575070401619E-3</v>
      </c>
      <c r="H288" s="231">
        <f t="shared" si="1388"/>
        <v>1.1618870857004896E-2</v>
      </c>
      <c r="I288" s="192">
        <f t="shared" si="1388"/>
        <v>1.2723506784461259E-2</v>
      </c>
      <c r="J288" s="192">
        <f t="shared" si="1388"/>
        <v>9.3900628783961833E-3</v>
      </c>
      <c r="K288" s="192">
        <f t="shared" si="1388"/>
        <v>9.8055470026763899E-3</v>
      </c>
      <c r="L288" s="357">
        <f>AVERAGE(G288,I288,J288,K288)</f>
        <v>9.9287935431434989E-3</v>
      </c>
      <c r="M288" s="231"/>
      <c r="N288" s="357">
        <f>AVERAGE(I288,J288,K288,L288)</f>
        <v>1.0461977552169334E-2</v>
      </c>
      <c r="O288" s="357">
        <f>AVERAGE(N288,L288,K288,J288)</f>
        <v>9.8965952440963519E-3</v>
      </c>
      <c r="P288" s="357">
        <f>AVERAGE(O288,N288,L288,K288)</f>
        <v>1.0023228335521394E-2</v>
      </c>
      <c r="Q288" s="357">
        <f>AVERAGE(P288,O288,N288,L288)</f>
        <v>1.0077648668732645E-2</v>
      </c>
      <c r="R288" s="231"/>
      <c r="S288" s="357">
        <f>AVERAGE(N288,O288,P288,Q288)</f>
        <v>1.011486245012993E-2</v>
      </c>
      <c r="T288" s="357">
        <f>AVERAGE(S288,Q288,P288,O288)</f>
        <v>1.002808367462008E-2</v>
      </c>
      <c r="U288" s="357">
        <f>AVERAGE(T288,S288,Q288,P288)</f>
        <v>1.0060955782251014E-2</v>
      </c>
      <c r="V288" s="357">
        <f>AVERAGE(U288,T288,S288,Q288)</f>
        <v>1.0070387643933417E-2</v>
      </c>
      <c r="W288" s="231"/>
      <c r="X288" s="357">
        <f>AVERAGE(S288,T288,U288,V288)</f>
        <v>1.006857238773361E-2</v>
      </c>
      <c r="Y288" s="357">
        <f>AVERAGE(X288,V288,U288,T288)</f>
        <v>1.005699987213453E-2</v>
      </c>
      <c r="Z288" s="357">
        <f>AVERAGE(Y288,X288,V288,U288)</f>
        <v>1.0064228921513143E-2</v>
      </c>
      <c r="AA288" s="357">
        <f>AVERAGE(Z288,Y288,X288,V288)</f>
        <v>1.0065047206328675E-2</v>
      </c>
      <c r="AB288" s="231"/>
      <c r="AC288" s="357">
        <f>AVERAGE(X288,Y288,Z288,AA288)</f>
        <v>1.0063712096927491E-2</v>
      </c>
      <c r="AD288" s="357">
        <f>AVERAGE(AC288,AA288,Z288,Y288)</f>
        <v>1.006249702422596E-2</v>
      </c>
      <c r="AE288" s="357">
        <f>AVERAGE(AD288,AC288,AA288,Z288)</f>
        <v>1.0063871312248817E-2</v>
      </c>
      <c r="AF288" s="357">
        <f>AVERAGE(AE288,AD288,AC288,AA288)</f>
        <v>1.0063781909932736E-2</v>
      </c>
      <c r="AG288" s="231"/>
      <c r="AH288" s="357">
        <f>AVERAGE(AC288,AD288,AE288,AF288)</f>
        <v>1.006346558583375E-2</v>
      </c>
      <c r="AI288" s="357">
        <f>AVERAGE(AH288,AF288,AE288,AD288)</f>
        <v>1.0063403958060315E-2</v>
      </c>
      <c r="AJ288" s="357">
        <f>AVERAGE(AI288,AH288,AF288,AE288)</f>
        <v>1.0063630691518905E-2</v>
      </c>
      <c r="AK288" s="357">
        <f>AVERAGE(AJ288,AI288,AH288,AF288)</f>
        <v>1.0063570536336426E-2</v>
      </c>
      <c r="AL288" s="231"/>
    </row>
    <row r="289" spans="1:38" s="34" customFormat="1" outlineLevel="1" x14ac:dyDescent="0.2">
      <c r="A289" s="232"/>
      <c r="B289" s="60" t="s">
        <v>200</v>
      </c>
      <c r="C289" s="61"/>
      <c r="D289" s="40">
        <f>+D245/-D244</f>
        <v>1.1581818181818182</v>
      </c>
      <c r="E289" s="40">
        <f>+E245/-E244</f>
        <v>0.55639097744360888</v>
      </c>
      <c r="F289" s="192">
        <f t="shared" ref="F289:K289" si="1389">+F245/-F244</f>
        <v>1.0682852807283763</v>
      </c>
      <c r="G289" s="192">
        <f t="shared" si="1389"/>
        <v>0.69411764705882406</v>
      </c>
      <c r="H289" s="231">
        <f t="shared" si="1389"/>
        <v>0.86512370311252995</v>
      </c>
      <c r="I289" s="192">
        <f t="shared" si="1389"/>
        <v>1.0222575516693164</v>
      </c>
      <c r="J289" s="192">
        <f t="shared" si="1389"/>
        <v>0.63295880149812733</v>
      </c>
      <c r="K289" s="192">
        <f t="shared" si="1389"/>
        <v>1.0227272727272729</v>
      </c>
      <c r="L289" s="357">
        <v>1</v>
      </c>
      <c r="M289" s="231"/>
      <c r="N289" s="357">
        <v>1</v>
      </c>
      <c r="O289" s="357">
        <v>1</v>
      </c>
      <c r="P289" s="357">
        <v>1</v>
      </c>
      <c r="Q289" s="357">
        <v>1</v>
      </c>
      <c r="R289" s="231"/>
      <c r="S289" s="357">
        <v>1</v>
      </c>
      <c r="T289" s="357">
        <v>1</v>
      </c>
      <c r="U289" s="357">
        <v>1</v>
      </c>
      <c r="V289" s="357">
        <v>1</v>
      </c>
      <c r="W289" s="231"/>
      <c r="X289" s="357">
        <v>1</v>
      </c>
      <c r="Y289" s="357">
        <v>1</v>
      </c>
      <c r="Z289" s="357">
        <v>1</v>
      </c>
      <c r="AA289" s="357">
        <v>1</v>
      </c>
      <c r="AB289" s="231"/>
      <c r="AC289" s="357">
        <v>1</v>
      </c>
      <c r="AD289" s="357">
        <v>1</v>
      </c>
      <c r="AE289" s="357">
        <v>1</v>
      </c>
      <c r="AF289" s="357">
        <v>1</v>
      </c>
      <c r="AG289" s="231"/>
      <c r="AH289" s="357">
        <v>1</v>
      </c>
      <c r="AI289" s="357">
        <v>1</v>
      </c>
      <c r="AJ289" s="357">
        <v>1</v>
      </c>
      <c r="AK289" s="357">
        <v>1</v>
      </c>
      <c r="AL289" s="231"/>
    </row>
    <row r="290" spans="1:38" s="34" customFormat="1" outlineLevel="1" x14ac:dyDescent="0.2">
      <c r="A290" s="232"/>
      <c r="B290" s="421" t="s">
        <v>42</v>
      </c>
      <c r="C290" s="422"/>
      <c r="D290" s="43"/>
      <c r="E290" s="43"/>
      <c r="F290" s="43"/>
      <c r="G290" s="43"/>
      <c r="H290" s="52"/>
      <c r="I290" s="43">
        <f t="shared" ref="I290:K290" si="1390">I257/D257-1</f>
        <v>-0.22820512820512895</v>
      </c>
      <c r="J290" s="43">
        <f t="shared" si="1390"/>
        <v>-4.4869364754098413</v>
      </c>
      <c r="K290" s="43">
        <f t="shared" si="1390"/>
        <v>-1.314434752864716</v>
      </c>
      <c r="L290" s="229">
        <f>L257/G257-1</f>
        <v>-0.33348471521757228</v>
      </c>
      <c r="M290" s="333">
        <f>M257/H257-1</f>
        <v>-0.83243860843935757</v>
      </c>
      <c r="N290" s="43">
        <f t="shared" ref="N290" si="1391">N257/I257-1</f>
        <v>-0.13058839866450855</v>
      </c>
      <c r="O290" s="43">
        <f t="shared" ref="O290" si="1392">O257/J257-1</f>
        <v>-1.6093798543800006</v>
      </c>
      <c r="P290" s="43">
        <f t="shared" ref="P290" si="1393">P257/K257-1</f>
        <v>-3.1785767716423181</v>
      </c>
      <c r="Q290" s="229">
        <f>Q257/L257-1</f>
        <v>0.55019690204454519</v>
      </c>
      <c r="R290" s="333">
        <f>R257/M257-1</f>
        <v>4.1697269793155263</v>
      </c>
      <c r="S290" s="43">
        <f t="shared" ref="S290" si="1394">S257/N257-1</f>
        <v>3.3772738489072918E-2</v>
      </c>
      <c r="T290" s="43">
        <f t="shared" ref="T290" si="1395">T257/O257-1</f>
        <v>-0.11465490789840038</v>
      </c>
      <c r="U290" s="43">
        <f t="shared" ref="U290" si="1396">U257/P257-1</f>
        <v>0.42131293620222965</v>
      </c>
      <c r="V290" s="229">
        <f>V257/Q257-1</f>
        <v>-0.15111839617652412</v>
      </c>
      <c r="W290" s="333">
        <f>W257/R257-1</f>
        <v>2.8198468354714068E-2</v>
      </c>
      <c r="X290" s="43">
        <f t="shared" ref="X290" si="1397">X257/S257-1</f>
        <v>5.7440134707835488E-2</v>
      </c>
      <c r="Y290" s="43">
        <f t="shared" ref="Y290" si="1398">Y257/T257-1</f>
        <v>6.52011979168583E-2</v>
      </c>
      <c r="Z290" s="43">
        <f t="shared" ref="Z290" si="1399">Z257/U257-1</f>
        <v>6.9289184530395342E-2</v>
      </c>
      <c r="AA290" s="229">
        <f>AA257/V257-1</f>
        <v>6.1713283026625154E-2</v>
      </c>
      <c r="AB290" s="333">
        <f>AB257/W257-1</f>
        <v>6.2633290380944562E-2</v>
      </c>
      <c r="AC290" s="43">
        <f t="shared" ref="AC290" si="1400">AC257/X257-1</f>
        <v>6.9065506826530454E-2</v>
      </c>
      <c r="AD290" s="43">
        <f t="shared" ref="AD290" si="1401">AD257/Y257-1</f>
        <v>6.4519439994078276E-2</v>
      </c>
      <c r="AE290" s="43">
        <f t="shared" ref="AE290" si="1402">AE257/Z257-1</f>
        <v>6.6396297631669432E-2</v>
      </c>
      <c r="AF290" s="229">
        <f>AF257/AA257-1</f>
        <v>6.7869203704150172E-2</v>
      </c>
      <c r="AG290" s="333">
        <f>AG257/AB257-1</f>
        <v>6.7382212325003188E-2</v>
      </c>
      <c r="AH290" s="43">
        <f t="shared" ref="AH290" si="1403">AH257/AC257-1</f>
        <v>6.7897555179853963E-2</v>
      </c>
      <c r="AI290" s="43">
        <f t="shared" ref="AI290" si="1404">AI257/AD257-1</f>
        <v>7.6524214443859373E-2</v>
      </c>
      <c r="AJ290" s="43">
        <f t="shared" ref="AJ290" si="1405">AJ257/AE257-1</f>
        <v>7.4311689877450293E-2</v>
      </c>
      <c r="AK290" s="229">
        <f>AK257/AF257-1</f>
        <v>7.8463429675342811E-2</v>
      </c>
      <c r="AL290" s="333">
        <f>AL257/AG257-1</f>
        <v>7.3223451491323255E-2</v>
      </c>
    </row>
    <row r="291" spans="1:38" outlineLevel="1" x14ac:dyDescent="0.2">
      <c r="A291" s="167"/>
      <c r="B291" s="70" t="s">
        <v>54</v>
      </c>
      <c r="C291" s="150"/>
      <c r="D291" s="40">
        <f t="shared" ref="D291:K291" si="1406">-D260/D16</f>
        <v>6.5041385860961587E-2</v>
      </c>
      <c r="E291" s="40">
        <f t="shared" si="1406"/>
        <v>6.5684517673924428E-2</v>
      </c>
      <c r="F291" s="192">
        <f t="shared" si="1406"/>
        <v>6.3769602814011436E-2</v>
      </c>
      <c r="G291" s="192">
        <f t="shared" si="1406"/>
        <v>7.7945753668297008E-2</v>
      </c>
      <c r="H291" s="228">
        <f t="shared" si="1406"/>
        <v>6.8151467825535855E-2</v>
      </c>
      <c r="I291" s="229">
        <f t="shared" si="1406"/>
        <v>5.555790393259219E-2</v>
      </c>
      <c r="J291" s="201">
        <f t="shared" si="1406"/>
        <v>6.0710175625865198E-2</v>
      </c>
      <c r="K291" s="201">
        <f t="shared" si="1406"/>
        <v>9.0026290234717338E-2</v>
      </c>
      <c r="L291" s="356">
        <v>0.06</v>
      </c>
      <c r="M291" s="228">
        <f>M26/M16</f>
        <v>2.1303610500741161E-2</v>
      </c>
      <c r="N291" s="366">
        <v>0.06</v>
      </c>
      <c r="O291" s="366">
        <v>0.06</v>
      </c>
      <c r="P291" s="366">
        <v>0.06</v>
      </c>
      <c r="Q291" s="366">
        <v>0.06</v>
      </c>
      <c r="R291" s="228">
        <f>R26/R16</f>
        <v>1.4462057485777108E-2</v>
      </c>
      <c r="S291" s="366">
        <v>0.06</v>
      </c>
      <c r="T291" s="366">
        <v>0.06</v>
      </c>
      <c r="U291" s="366">
        <v>0.06</v>
      </c>
      <c r="V291" s="366">
        <v>0.06</v>
      </c>
      <c r="W291" s="228">
        <f>W26/W16</f>
        <v>1.8170466167125324E-2</v>
      </c>
      <c r="X291" s="366">
        <v>0.06</v>
      </c>
      <c r="Y291" s="366">
        <v>0.06</v>
      </c>
      <c r="Z291" s="366">
        <v>0.06</v>
      </c>
      <c r="AA291" s="366">
        <v>0.06</v>
      </c>
      <c r="AB291" s="228">
        <f>AB26/AB16</f>
        <v>1.6719936095025541E-2</v>
      </c>
      <c r="AC291" s="366">
        <v>0.06</v>
      </c>
      <c r="AD291" s="366">
        <v>0.06</v>
      </c>
      <c r="AE291" s="366">
        <v>0.06</v>
      </c>
      <c r="AF291" s="366">
        <v>0.06</v>
      </c>
      <c r="AG291" s="228">
        <f>AG26/AG16</f>
        <v>1.6212965239586246E-2</v>
      </c>
      <c r="AH291" s="366">
        <v>0.06</v>
      </c>
      <c r="AI291" s="366">
        <v>0.06</v>
      </c>
      <c r="AJ291" s="366">
        <v>0.06</v>
      </c>
      <c r="AK291" s="366">
        <v>0.06</v>
      </c>
      <c r="AL291" s="228">
        <f>AL26/AL16</f>
        <v>1.5246056688028996E-2</v>
      </c>
    </row>
    <row r="292" spans="1:38" ht="18" x14ac:dyDescent="0.35">
      <c r="A292" s="167"/>
      <c r="B292" s="12"/>
      <c r="C292" s="12"/>
      <c r="D292" s="20"/>
      <c r="E292" s="20"/>
      <c r="F292" s="20"/>
      <c r="G292" s="20"/>
      <c r="H292" s="19"/>
      <c r="I292" s="20"/>
      <c r="J292" s="20"/>
      <c r="K292" s="20"/>
      <c r="L292" s="334"/>
      <c r="M292" s="335"/>
      <c r="N292" s="334"/>
      <c r="O292" s="334"/>
      <c r="P292" s="334"/>
      <c r="Q292" s="334"/>
      <c r="R292" s="335"/>
      <c r="S292" s="334"/>
      <c r="T292" s="334"/>
      <c r="U292" s="334"/>
      <c r="V292" s="334"/>
      <c r="W292" s="335"/>
      <c r="X292" s="334"/>
      <c r="Y292" s="334"/>
      <c r="Z292" s="334"/>
      <c r="AA292" s="334"/>
      <c r="AB292" s="335"/>
      <c r="AC292" s="334"/>
      <c r="AD292" s="334"/>
      <c r="AE292" s="334"/>
      <c r="AF292" s="334"/>
      <c r="AG292" s="335"/>
      <c r="AH292" s="334"/>
      <c r="AI292" s="334"/>
      <c r="AJ292" s="334"/>
      <c r="AK292" s="334"/>
      <c r="AL292" s="335"/>
    </row>
    <row r="294" spans="1:38" ht="16" x14ac:dyDescent="0.2">
      <c r="B294" s="417" t="s">
        <v>289</v>
      </c>
      <c r="C294" s="418"/>
    </row>
    <row r="295" spans="1:38" x14ac:dyDescent="0.2">
      <c r="B295" s="48" t="s">
        <v>290</v>
      </c>
      <c r="C295" s="90">
        <v>62</v>
      </c>
    </row>
    <row r="296" spans="1:38" x14ac:dyDescent="0.2">
      <c r="B296" s="48" t="s">
        <v>291</v>
      </c>
      <c r="C296" s="381">
        <v>66.099999999999994</v>
      </c>
    </row>
    <row r="297" spans="1:38" x14ac:dyDescent="0.2">
      <c r="B297" s="48" t="s">
        <v>292</v>
      </c>
      <c r="C297" s="382">
        <v>53.82</v>
      </c>
    </row>
    <row r="298" spans="1:38" x14ac:dyDescent="0.2">
      <c r="B298" s="379" t="s">
        <v>293</v>
      </c>
      <c r="C298" s="383">
        <v>62</v>
      </c>
    </row>
    <row r="299" spans="1:38" ht="18" x14ac:dyDescent="0.35">
      <c r="B299" s="379" t="s">
        <v>294</v>
      </c>
      <c r="C299" s="384">
        <v>0</v>
      </c>
    </row>
    <row r="300" spans="1:38" x14ac:dyDescent="0.2">
      <c r="B300" s="385" t="s">
        <v>295</v>
      </c>
      <c r="C300" s="386">
        <f>(C298*(L43+N43+O43+P43))</f>
        <v>108.79759999999999</v>
      </c>
    </row>
    <row r="301" spans="1:38" x14ac:dyDescent="0.2">
      <c r="B301" s="387" t="s">
        <v>296</v>
      </c>
      <c r="C301" s="388">
        <f>C304-C327</f>
        <v>5.7778050341050431</v>
      </c>
    </row>
    <row r="302" spans="1:38" ht="16" x14ac:dyDescent="0.2">
      <c r="B302" s="417" t="s">
        <v>297</v>
      </c>
      <c r="C302" s="418"/>
    </row>
    <row r="303" spans="1:38" x14ac:dyDescent="0.2">
      <c r="B303" s="389" t="s">
        <v>298</v>
      </c>
      <c r="C303" s="390"/>
    </row>
    <row r="304" spans="1:38" x14ac:dyDescent="0.2">
      <c r="B304" s="391" t="s">
        <v>299</v>
      </c>
      <c r="C304" s="392">
        <f>C300</f>
        <v>108.79759999999999</v>
      </c>
    </row>
    <row r="305" spans="2:3" ht="18" x14ac:dyDescent="0.35">
      <c r="B305" s="391" t="s">
        <v>300</v>
      </c>
      <c r="C305" s="393">
        <f>K39</f>
        <v>1168.5</v>
      </c>
    </row>
    <row r="306" spans="2:3" x14ac:dyDescent="0.2">
      <c r="B306" s="394" t="s">
        <v>301</v>
      </c>
      <c r="C306" s="395">
        <f>C305*C304</f>
        <v>127129.99559999998</v>
      </c>
    </row>
    <row r="307" spans="2:3" x14ac:dyDescent="0.2">
      <c r="B307" s="391" t="s">
        <v>302</v>
      </c>
      <c r="C307" s="396">
        <v>1.07</v>
      </c>
    </row>
    <row r="308" spans="2:3" x14ac:dyDescent="0.2">
      <c r="B308" s="391" t="s">
        <v>303</v>
      </c>
      <c r="C308" s="397">
        <v>0.33</v>
      </c>
    </row>
    <row r="309" spans="2:3" x14ac:dyDescent="0.2">
      <c r="B309" s="391" t="s">
        <v>304</v>
      </c>
      <c r="C309" s="398">
        <v>0.245</v>
      </c>
    </row>
    <row r="310" spans="2:3" x14ac:dyDescent="0.2">
      <c r="B310" s="399" t="s">
        <v>305</v>
      </c>
      <c r="C310" s="400">
        <f>C308*C309</f>
        <v>8.0850000000000005E-2</v>
      </c>
    </row>
    <row r="311" spans="2:3" x14ac:dyDescent="0.2">
      <c r="B311" s="391" t="s">
        <v>306</v>
      </c>
      <c r="C311" s="401">
        <v>9.4000000000000004E-3</v>
      </c>
    </row>
    <row r="312" spans="2:3" x14ac:dyDescent="0.2">
      <c r="B312" s="394" t="s">
        <v>307</v>
      </c>
      <c r="C312" s="402">
        <f>C311+(C307*C310)</f>
        <v>9.5909500000000023E-2</v>
      </c>
    </row>
    <row r="313" spans="2:3" x14ac:dyDescent="0.2">
      <c r="B313" s="48" t="s">
        <v>308</v>
      </c>
      <c r="C313" s="403">
        <f>C306/(C306+K206+K209)</f>
        <v>0.88308209395666493</v>
      </c>
    </row>
    <row r="314" spans="2:3" x14ac:dyDescent="0.2">
      <c r="B314" s="48" t="s">
        <v>309</v>
      </c>
      <c r="C314" s="403">
        <f>K152*4</f>
        <v>3.1328917978792031E-2</v>
      </c>
    </row>
    <row r="315" spans="2:3" x14ac:dyDescent="0.2">
      <c r="B315" s="48" t="s">
        <v>2</v>
      </c>
      <c r="C315" s="343">
        <f>M150</f>
        <v>0.26024910738176771</v>
      </c>
    </row>
    <row r="316" spans="2:3" x14ac:dyDescent="0.2">
      <c r="B316" s="48" t="s">
        <v>310</v>
      </c>
      <c r="C316" s="403">
        <f>C314*(1-C315)</f>
        <v>2.3175595039574792E-2</v>
      </c>
    </row>
    <row r="317" spans="2:3" x14ac:dyDescent="0.2">
      <c r="B317" s="404" t="s">
        <v>311</v>
      </c>
      <c r="C317" s="405">
        <f>(C313*C312)+((1-C313)*C316)</f>
        <v>8.7405604133672168E-2</v>
      </c>
    </row>
    <row r="318" spans="2:3" x14ac:dyDescent="0.2">
      <c r="B318" s="419" t="s">
        <v>312</v>
      </c>
      <c r="C318" s="420"/>
    </row>
    <row r="319" spans="2:3" x14ac:dyDescent="0.2">
      <c r="B319" s="48" t="s">
        <v>313</v>
      </c>
      <c r="C319" s="406">
        <v>6.5000000000000002E-2</v>
      </c>
    </row>
    <row r="320" spans="2:3" x14ac:dyDescent="0.2">
      <c r="B320" s="48" t="s">
        <v>314</v>
      </c>
      <c r="C320" s="406">
        <v>6.5000000000000002E-2</v>
      </c>
    </row>
    <row r="321" spans="2:3" x14ac:dyDescent="0.2">
      <c r="B321" s="48" t="s">
        <v>315</v>
      </c>
      <c r="C321" s="406">
        <v>0.05</v>
      </c>
    </row>
    <row r="322" spans="2:3" x14ac:dyDescent="0.2">
      <c r="B322" s="48" t="s">
        <v>316</v>
      </c>
      <c r="C322" s="406">
        <f>(C313*(0.062+(0.85*(0.312*0.19))))+((1-C313)*C316)</f>
        <v>0.10195747241893703</v>
      </c>
    </row>
    <row r="323" spans="2:3" x14ac:dyDescent="0.2">
      <c r="B323" s="407" t="s">
        <v>317</v>
      </c>
      <c r="C323" s="390"/>
    </row>
    <row r="324" spans="2:3" x14ac:dyDescent="0.2">
      <c r="B324" s="48" t="s">
        <v>318</v>
      </c>
      <c r="C324" s="376">
        <f>((((AL257*(1+C320))-(C321*AL17*(1+C319))+(C316*(AL207+AL210))))/(C322-C319))/(1+$C$321)^5</f>
        <v>116786.80676806011</v>
      </c>
    </row>
    <row r="325" spans="2:3" x14ac:dyDescent="0.2">
      <c r="B325" s="48" t="s">
        <v>319</v>
      </c>
      <c r="C325" s="376">
        <f>R279+W279+AB279+AG279+AL279</f>
        <v>16004.323649588125</v>
      </c>
    </row>
    <row r="326" spans="2:3" ht="18" x14ac:dyDescent="0.35">
      <c r="B326" s="48" t="s">
        <v>320</v>
      </c>
      <c r="C326" s="408">
        <f>+K283</f>
        <v>-10.62259306803594</v>
      </c>
    </row>
    <row r="327" spans="2:3" x14ac:dyDescent="0.2">
      <c r="B327" s="385" t="s">
        <v>321</v>
      </c>
      <c r="C327" s="409">
        <f>(C324+C325)/C305+C326</f>
        <v>103.01979496589495</v>
      </c>
    </row>
    <row r="328" spans="2:3" x14ac:dyDescent="0.2">
      <c r="C328" s="410"/>
    </row>
    <row r="329" spans="2:3" ht="16" x14ac:dyDescent="0.2">
      <c r="B329" s="417" t="s">
        <v>322</v>
      </c>
      <c r="C329" s="418"/>
    </row>
    <row r="330" spans="2:3" x14ac:dyDescent="0.2">
      <c r="B330" s="411" t="s">
        <v>323</v>
      </c>
      <c r="C330" s="412">
        <f>'Std Dev'!E19</f>
        <v>-1.9234698666983432E-3</v>
      </c>
    </row>
    <row r="331" spans="2:3" x14ac:dyDescent="0.2">
      <c r="B331" s="48" t="s">
        <v>324</v>
      </c>
      <c r="C331" s="413">
        <f>'Std Dev'!G22</f>
        <v>8.7263643117330078E-2</v>
      </c>
    </row>
    <row r="332" spans="2:3" x14ac:dyDescent="0.2">
      <c r="B332" s="48" t="s">
        <v>325</v>
      </c>
      <c r="C332" s="414">
        <f>C8</f>
        <v>105.90869748294747</v>
      </c>
    </row>
    <row r="333" spans="2:3" x14ac:dyDescent="0.2">
      <c r="B333" s="48" t="s">
        <v>326</v>
      </c>
      <c r="C333" s="414">
        <f>C332*(1+(C330+(2*C331)))</f>
        <v>124.18894285506416</v>
      </c>
    </row>
    <row r="334" spans="2:3" x14ac:dyDescent="0.2">
      <c r="B334" s="415" t="s">
        <v>327</v>
      </c>
      <c r="C334" s="416">
        <f>C332*(1+(C330-(2*C331)))</f>
        <v>87.221027734371347</v>
      </c>
    </row>
  </sheetData>
  <dataConsolidate/>
  <mergeCells count="123">
    <mergeCell ref="B264:C264"/>
    <mergeCell ref="B171:C171"/>
    <mergeCell ref="B178:C178"/>
    <mergeCell ref="B168:C168"/>
    <mergeCell ref="B169:C169"/>
    <mergeCell ref="B227:C227"/>
    <mergeCell ref="B228:C228"/>
    <mergeCell ref="B46:C46"/>
    <mergeCell ref="B45:C45"/>
    <mergeCell ref="B56:C56"/>
    <mergeCell ref="B101:C101"/>
    <mergeCell ref="B102:C102"/>
    <mergeCell ref="B80:C80"/>
    <mergeCell ref="B81:C81"/>
    <mergeCell ref="B89:C89"/>
    <mergeCell ref="B92:C92"/>
    <mergeCell ref="B96:C96"/>
    <mergeCell ref="B97:C97"/>
    <mergeCell ref="B214:C214"/>
    <mergeCell ref="B213:C213"/>
    <mergeCell ref="B201:C201"/>
    <mergeCell ref="B200:C200"/>
    <mergeCell ref="B198:C198"/>
    <mergeCell ref="B64:C64"/>
    <mergeCell ref="B215:C215"/>
    <mergeCell ref="B68:C68"/>
    <mergeCell ref="B69:C69"/>
    <mergeCell ref="B48:C48"/>
    <mergeCell ref="B59:C59"/>
    <mergeCell ref="B63:C63"/>
    <mergeCell ref="B131:C131"/>
    <mergeCell ref="B117:C117"/>
    <mergeCell ref="B128:C128"/>
    <mergeCell ref="B129:C129"/>
    <mergeCell ref="B115:C115"/>
    <mergeCell ref="B114:C114"/>
    <mergeCell ref="B146:C146"/>
    <mergeCell ref="B184:C184"/>
    <mergeCell ref="B183:C183"/>
    <mergeCell ref="B181:C181"/>
    <mergeCell ref="B164:C164"/>
    <mergeCell ref="B199:C199"/>
    <mergeCell ref="B275:C275"/>
    <mergeCell ref="B161:C161"/>
    <mergeCell ref="B160:C160"/>
    <mergeCell ref="B260:C260"/>
    <mergeCell ref="B222:C222"/>
    <mergeCell ref="B197:C197"/>
    <mergeCell ref="B3:C3"/>
    <mergeCell ref="B162:C162"/>
    <mergeCell ref="B163:C163"/>
    <mergeCell ref="B4:C4"/>
    <mergeCell ref="B5:C5"/>
    <mergeCell ref="B12:C12"/>
    <mergeCell ref="B41:C41"/>
    <mergeCell ref="B40:C40"/>
    <mergeCell ref="B39:C39"/>
    <mergeCell ref="B38:C38"/>
    <mergeCell ref="B33:C33"/>
    <mergeCell ref="B16:C16"/>
    <mergeCell ref="B32:C32"/>
    <mergeCell ref="B31:C31"/>
    <mergeCell ref="B13:C13"/>
    <mergeCell ref="B14:C14"/>
    <mergeCell ref="B15:C15"/>
    <mergeCell ref="B17:C17"/>
    <mergeCell ref="B290:C290"/>
    <mergeCell ref="B287:C287"/>
    <mergeCell ref="B286:C286"/>
    <mergeCell ref="B285:C285"/>
    <mergeCell ref="B284:C284"/>
    <mergeCell ref="B279:C279"/>
    <mergeCell ref="B277:C277"/>
    <mergeCell ref="B283:C283"/>
    <mergeCell ref="B276:C276"/>
    <mergeCell ref="B186:C186"/>
    <mergeCell ref="B147:C147"/>
    <mergeCell ref="B231:C231"/>
    <mergeCell ref="B258:C258"/>
    <mergeCell ref="B225:C225"/>
    <mergeCell ref="B219:C219"/>
    <mergeCell ref="B2:C2"/>
    <mergeCell ref="B274:C274"/>
    <mergeCell ref="B272:C272"/>
    <mergeCell ref="B271:C271"/>
    <mergeCell ref="B24:C24"/>
    <mergeCell ref="B11:C11"/>
    <mergeCell ref="B257:C257"/>
    <mergeCell ref="B252:C252"/>
    <mergeCell ref="B253:C253"/>
    <mergeCell ref="B250:C250"/>
    <mergeCell ref="B249:C249"/>
    <mergeCell ref="B238:C238"/>
    <mergeCell ref="B230:C230"/>
    <mergeCell ref="B229:C229"/>
    <mergeCell ref="B226:C226"/>
    <mergeCell ref="B256:C256"/>
    <mergeCell ref="B217:C217"/>
    <mergeCell ref="B216:C216"/>
    <mergeCell ref="B294:C294"/>
    <mergeCell ref="B302:C302"/>
    <mergeCell ref="B318:C318"/>
    <mergeCell ref="B329:C329"/>
    <mergeCell ref="B261:C261"/>
    <mergeCell ref="A11:A12"/>
    <mergeCell ref="B47:C47"/>
    <mergeCell ref="B263:C263"/>
    <mergeCell ref="B262:C262"/>
    <mergeCell ref="B240:C240"/>
    <mergeCell ref="B223:C223"/>
    <mergeCell ref="B220:C220"/>
    <mergeCell ref="B158:C158"/>
    <mergeCell ref="B157:C157"/>
    <mergeCell ref="B150:C150"/>
    <mergeCell ref="B152:C152"/>
    <mergeCell ref="B140:C140"/>
    <mergeCell ref="B212:C212"/>
    <mergeCell ref="B149:C149"/>
    <mergeCell ref="B159:C159"/>
    <mergeCell ref="B148:C148"/>
    <mergeCell ref="B151:C151"/>
    <mergeCell ref="B156:C156"/>
    <mergeCell ref="B188:C188"/>
  </mergeCells>
  <pageMargins left="0.7" right="0.7" top="0.75" bottom="0.75" header="0.3" footer="0.3"/>
  <pageSetup scale="10" orientation="landscape" r:id="rId1"/>
  <headerFooter>
    <oddFooter>&amp;CGutenberg Research LLC prohibits the redistribution of this document in whole or part without the written permission. 
© Gutenberg Research LLC 2019.</oddFooter>
  </headerFooter>
  <rowBreaks count="1" manualBreakCount="1">
    <brk id="1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workbookViewId="0">
      <selection activeCell="E17" sqref="E17"/>
    </sheetView>
  </sheetViews>
  <sheetFormatPr baseColWidth="10" defaultColWidth="8.83203125" defaultRowHeight="15" x14ac:dyDescent="0.2"/>
  <cols>
    <col min="1" max="1" width="1.33203125" customWidth="1"/>
    <col min="2" max="2" width="12.33203125" customWidth="1"/>
    <col min="4" max="4" width="9.5" customWidth="1"/>
    <col min="7" max="7" width="9.5" bestFit="1" customWidth="1"/>
  </cols>
  <sheetData>
    <row r="1" spans="2:7" x14ac:dyDescent="0.2">
      <c r="B1" t="s">
        <v>328</v>
      </c>
    </row>
    <row r="2" spans="2:7" x14ac:dyDescent="0.2">
      <c r="B2" t="s">
        <v>329</v>
      </c>
    </row>
    <row r="3" spans="2:7" ht="30" x14ac:dyDescent="0.2">
      <c r="B3" s="486" t="s">
        <v>330</v>
      </c>
      <c r="C3" s="486" t="s">
        <v>331</v>
      </c>
      <c r="D3" s="486" t="s">
        <v>332</v>
      </c>
      <c r="E3" s="486" t="s">
        <v>333</v>
      </c>
      <c r="F3" s="486" t="s">
        <v>334</v>
      </c>
      <c r="G3" s="486" t="s">
        <v>335</v>
      </c>
    </row>
    <row r="4" spans="2:7" x14ac:dyDescent="0.2">
      <c r="B4" s="487">
        <v>43677</v>
      </c>
      <c r="C4" s="488">
        <v>92.400169000000005</v>
      </c>
      <c r="D4" s="489"/>
      <c r="E4" s="490"/>
      <c r="F4" s="491"/>
      <c r="G4" s="492"/>
    </row>
    <row r="5" spans="2:7" x14ac:dyDescent="0.2">
      <c r="B5" s="487">
        <v>43707</v>
      </c>
      <c r="C5" s="488">
        <v>94.582076999999998</v>
      </c>
      <c r="D5" s="493">
        <v>2.3613679754200367E-2</v>
      </c>
      <c r="E5" s="494">
        <f>+C5/C4-1</f>
        <v>2.3613679754200367E-2</v>
      </c>
      <c r="F5" s="495">
        <f t="shared" ref="F5:F18" si="0">E5-$E$19</f>
        <v>2.5537149620898709E-2</v>
      </c>
      <c r="G5" s="496">
        <f>F5^2</f>
        <v>6.521460107601671E-4</v>
      </c>
    </row>
    <row r="6" spans="2:7" x14ac:dyDescent="0.2">
      <c r="B6" s="487">
        <v>43738</v>
      </c>
      <c r="C6" s="488">
        <v>86.608810000000005</v>
      </c>
      <c r="D6" s="493">
        <v>-8.429997789115995E-2</v>
      </c>
      <c r="E6" s="494">
        <f>+C6/C5-1</f>
        <v>-8.429997789115995E-2</v>
      </c>
      <c r="F6" s="495">
        <f t="shared" si="0"/>
        <v>-8.23765080244616E-2</v>
      </c>
      <c r="G6" s="496">
        <f>F6^2</f>
        <v>6.7858890743041867E-3</v>
      </c>
    </row>
    <row r="7" spans="2:7" x14ac:dyDescent="0.2">
      <c r="B7" s="487">
        <v>43769</v>
      </c>
      <c r="C7" s="488">
        <v>82.827881000000005</v>
      </c>
      <c r="D7" s="493">
        <v>-4.3655247081676785E-2</v>
      </c>
      <c r="E7" s="494">
        <f t="shared" ref="E7:E18" si="1">+C7/C6-1</f>
        <v>-4.3655247081676785E-2</v>
      </c>
      <c r="F7" s="495">
        <f t="shared" si="0"/>
        <v>-4.1731777214978442E-2</v>
      </c>
      <c r="G7" s="496">
        <f t="shared" ref="G7:G15" si="2">F7^2</f>
        <v>1.7415412295205938E-3</v>
      </c>
    </row>
    <row r="8" spans="2:7" x14ac:dyDescent="0.2">
      <c r="B8" s="487">
        <v>43798</v>
      </c>
      <c r="C8" s="497">
        <v>84.098358000000005</v>
      </c>
      <c r="D8" s="493">
        <v>1.5338760145270358E-2</v>
      </c>
      <c r="E8" s="494">
        <f t="shared" si="1"/>
        <v>1.5338760145270358E-2</v>
      </c>
      <c r="F8" s="495">
        <f t="shared" si="0"/>
        <v>1.72622300119687E-2</v>
      </c>
      <c r="G8" s="496">
        <f t="shared" si="2"/>
        <v>2.9798458498611293E-4</v>
      </c>
    </row>
    <row r="9" spans="2:7" x14ac:dyDescent="0.2">
      <c r="B9" s="487">
        <v>43830</v>
      </c>
      <c r="C9" s="497">
        <v>86.549553000000003</v>
      </c>
      <c r="D9" s="493">
        <v>2.9146764078318954E-2</v>
      </c>
      <c r="E9" s="494">
        <f t="shared" si="1"/>
        <v>2.9146764078318954E-2</v>
      </c>
      <c r="F9" s="495">
        <f t="shared" si="0"/>
        <v>3.1070233945017296E-2</v>
      </c>
      <c r="G9" s="496">
        <f t="shared" si="2"/>
        <v>9.6535943739810509E-4</v>
      </c>
    </row>
    <row r="10" spans="2:7" x14ac:dyDescent="0.2">
      <c r="B10" s="487">
        <v>43861</v>
      </c>
      <c r="C10" s="497">
        <v>83.507712999999995</v>
      </c>
      <c r="D10" s="493">
        <v>-3.5145646563882416E-2</v>
      </c>
      <c r="E10" s="494">
        <f t="shared" si="1"/>
        <v>-3.5145646563882416E-2</v>
      </c>
      <c r="F10" s="495">
        <f t="shared" si="0"/>
        <v>-3.3222176697184073E-2</v>
      </c>
      <c r="G10" s="496">
        <f t="shared" si="2"/>
        <v>1.1037130244989206E-3</v>
      </c>
    </row>
    <row r="11" spans="2:7" x14ac:dyDescent="0.2">
      <c r="B11" s="487">
        <v>43889</v>
      </c>
      <c r="C11" s="497">
        <v>77.567307</v>
      </c>
      <c r="D11" s="493">
        <v>-7.1136015903105809E-2</v>
      </c>
      <c r="E11" s="494">
        <f t="shared" si="1"/>
        <v>-7.1136015903105809E-2</v>
      </c>
      <c r="F11" s="495">
        <f t="shared" si="0"/>
        <v>-6.921254603640746E-2</v>
      </c>
      <c r="G11" s="496">
        <f t="shared" si="2"/>
        <v>4.7903765288418217E-3</v>
      </c>
    </row>
    <row r="12" spans="2:7" x14ac:dyDescent="0.2">
      <c r="B12" s="487">
        <v>43921</v>
      </c>
      <c r="C12" s="497">
        <v>65.016891000000001</v>
      </c>
      <c r="D12" s="493">
        <v>-0.16180033167839636</v>
      </c>
      <c r="E12" s="494">
        <f t="shared" si="1"/>
        <v>-0.16180033167839636</v>
      </c>
      <c r="F12" s="495">
        <f t="shared" si="0"/>
        <v>-0.15987686181169802</v>
      </c>
      <c r="G12" s="496">
        <f t="shared" si="2"/>
        <v>2.5560610942756787E-2</v>
      </c>
    </row>
    <row r="13" spans="2:7" x14ac:dyDescent="0.2">
      <c r="B13" s="487">
        <v>43951</v>
      </c>
      <c r="C13" s="497">
        <v>75.886009000000001</v>
      </c>
      <c r="D13" s="493">
        <v>0.1671737579700634</v>
      </c>
      <c r="E13" s="494">
        <f t="shared" si="1"/>
        <v>0.1671737579700634</v>
      </c>
      <c r="F13" s="495">
        <f t="shared" si="0"/>
        <v>0.16909722783676173</v>
      </c>
      <c r="G13" s="496">
        <f t="shared" si="2"/>
        <v>2.8593872462077705E-2</v>
      </c>
    </row>
    <row r="14" spans="2:7" x14ac:dyDescent="0.2">
      <c r="B14" s="487">
        <v>43980</v>
      </c>
      <c r="C14" s="497">
        <v>77.568047000000007</v>
      </c>
      <c r="D14" s="493">
        <v>2.2165324308990986E-2</v>
      </c>
      <c r="E14" s="494">
        <f>+C14/C13-1</f>
        <v>2.2165324308990986E-2</v>
      </c>
      <c r="F14" s="495">
        <f t="shared" si="0"/>
        <v>2.4088794175689328E-2</v>
      </c>
      <c r="G14" s="496">
        <f t="shared" si="2"/>
        <v>5.8027000483872407E-4</v>
      </c>
    </row>
    <row r="15" spans="2:7" x14ac:dyDescent="0.2">
      <c r="B15" s="487">
        <v>44012</v>
      </c>
      <c r="C15" s="497">
        <v>73.191849000000005</v>
      </c>
      <c r="D15" s="493">
        <v>-5.6417534916149203E-2</v>
      </c>
      <c r="E15" s="494">
        <f t="shared" si="1"/>
        <v>-5.6417534916149203E-2</v>
      </c>
      <c r="F15" s="495">
        <f t="shared" si="0"/>
        <v>-5.4494065049450861E-2</v>
      </c>
      <c r="G15" s="496">
        <f t="shared" si="2"/>
        <v>2.9696031256137819E-3</v>
      </c>
    </row>
    <row r="16" spans="2:7" x14ac:dyDescent="0.2">
      <c r="B16" s="487">
        <v>44043</v>
      </c>
      <c r="C16" s="497">
        <v>76.115943999999999</v>
      </c>
      <c r="D16" s="516">
        <v>3.9951101658874499E-2</v>
      </c>
      <c r="E16" s="517">
        <f t="shared" si="1"/>
        <v>3.9951101658874499E-2</v>
      </c>
      <c r="F16" s="518">
        <f t="shared" si="0"/>
        <v>4.1874571525572842E-2</v>
      </c>
      <c r="G16" s="519">
        <f>F16^2</f>
        <v>1.7534797404503157E-3</v>
      </c>
    </row>
    <row r="17" spans="2:7" x14ac:dyDescent="0.2">
      <c r="B17" s="487">
        <v>44074</v>
      </c>
      <c r="C17" s="497">
        <v>76.53</v>
      </c>
      <c r="D17" s="516">
        <f>C17/C16-1</f>
        <v>5.4398064090226406E-3</v>
      </c>
      <c r="E17" s="517">
        <f t="shared" si="1"/>
        <v>5.4398064090226406E-3</v>
      </c>
      <c r="F17" s="518">
        <f t="shared" si="0"/>
        <v>7.3632762757209836E-3</v>
      </c>
      <c r="G17" s="519">
        <f t="shared" ref="G17:G18" si="3">F17^2</f>
        <v>5.4217837512595475E-5</v>
      </c>
    </row>
    <row r="18" spans="2:7" x14ac:dyDescent="0.2">
      <c r="B18" s="498">
        <v>44104</v>
      </c>
      <c r="C18" s="499">
        <v>85.92</v>
      </c>
      <c r="D18" s="520">
        <f>C18/C17-1</f>
        <v>0.12269698157585252</v>
      </c>
      <c r="E18" s="521">
        <f t="shared" si="1"/>
        <v>0.12269698157585252</v>
      </c>
      <c r="F18" s="522">
        <f t="shared" si="0"/>
        <v>0.12462045144255086</v>
      </c>
      <c r="G18" s="523">
        <f t="shared" si="3"/>
        <v>1.5530256917745178E-2</v>
      </c>
    </row>
    <row r="19" spans="2:7" x14ac:dyDescent="0.2">
      <c r="C19" s="500"/>
      <c r="D19" s="501" t="s">
        <v>336</v>
      </c>
      <c r="E19" s="502">
        <f>AVERAGE(E5:E18)</f>
        <v>-1.9234698666983432E-3</v>
      </c>
      <c r="G19" s="503"/>
    </row>
    <row r="20" spans="2:7" x14ac:dyDescent="0.2">
      <c r="C20" s="500"/>
      <c r="F20" s="504" t="s">
        <v>337</v>
      </c>
      <c r="G20" s="505">
        <f>SUM(G5:G18)</f>
        <v>9.1379320921304991E-2</v>
      </c>
    </row>
    <row r="21" spans="2:7" x14ac:dyDescent="0.2">
      <c r="C21" s="500"/>
      <c r="F21" s="504" t="s">
        <v>338</v>
      </c>
      <c r="G21" s="506">
        <f>G20/12</f>
        <v>7.6149434101087489E-3</v>
      </c>
    </row>
    <row r="22" spans="2:7" x14ac:dyDescent="0.2">
      <c r="C22" s="500"/>
      <c r="E22" s="507"/>
      <c r="F22" s="508" t="s">
        <v>339</v>
      </c>
      <c r="G22" s="509">
        <f>SQRT(G21)</f>
        <v>8.7263643117330078E-2</v>
      </c>
    </row>
    <row r="23" spans="2:7" x14ac:dyDescent="0.2">
      <c r="C23" s="500"/>
      <c r="F23" s="510" t="s">
        <v>340</v>
      </c>
      <c r="G23" s="511">
        <f>_xlfn.STDEV.P(E5:E18)-G22</f>
        <v>-6.4732083399272194E-3</v>
      </c>
    </row>
    <row r="24" spans="2:7" x14ac:dyDescent="0.2">
      <c r="C24" s="512"/>
      <c r="D24" s="513"/>
      <c r="E24" s="513"/>
      <c r="F24" s="514" t="s">
        <v>341</v>
      </c>
      <c r="G24" s="515">
        <f>ABS(E19)</f>
        <v>1.9234698666983432E-3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Earnings Model</vt:lpstr>
      <vt:lpstr>Std Dev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2015-01-03T01:11:29Z</cp:lastPrinted>
  <dcterms:created xsi:type="dcterms:W3CDTF">2014-10-18T18:34:10Z</dcterms:created>
  <dcterms:modified xsi:type="dcterms:W3CDTF">2020-10-24T03:48:54Z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